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Web Materials\Virtual Blots - Yash\Files for Virtual Blots\"/>
    </mc:Choice>
  </mc:AlternateContent>
  <xr:revisionPtr revIDLastSave="0" documentId="13_ncr:1_{856F36AA-9A7F-48B6-8242-D5DE9A9FABE4}" xr6:coauthVersionLast="47" xr6:coauthVersionMax="47" xr10:uidLastSave="{00000000-0000-0000-0000-000000000000}"/>
  <bookViews>
    <workbookView xWindow="-25095" yWindow="390" windowWidth="24840" windowHeight="13425" xr2:uid="{204C2A1A-9F7B-43E4-AB29-70A14F4572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612" i="1" l="1"/>
  <c r="E8611" i="1"/>
  <c r="E8610" i="1"/>
  <c r="E8609" i="1"/>
  <c r="E8608" i="1"/>
  <c r="E8607" i="1"/>
  <c r="E8606" i="1"/>
  <c r="E8605" i="1"/>
  <c r="E8604" i="1"/>
  <c r="E8603" i="1"/>
  <c r="E8602" i="1"/>
  <c r="E8601" i="1"/>
  <c r="E8600" i="1"/>
  <c r="E8599" i="1"/>
  <c r="E8598" i="1"/>
  <c r="E8597" i="1"/>
  <c r="E8596" i="1"/>
  <c r="E8595" i="1"/>
  <c r="E8594" i="1"/>
  <c r="E8593" i="1"/>
  <c r="E8592" i="1"/>
  <c r="E8591" i="1"/>
  <c r="E8590" i="1"/>
  <c r="E8589" i="1"/>
  <c r="E8588" i="1"/>
  <c r="E8587" i="1"/>
  <c r="E8586" i="1"/>
  <c r="E8585" i="1"/>
  <c r="E8584" i="1"/>
  <c r="E8583" i="1"/>
  <c r="E8582" i="1"/>
  <c r="E8581" i="1"/>
  <c r="E8580" i="1"/>
  <c r="E8579" i="1"/>
  <c r="E8578" i="1"/>
  <c r="E8577" i="1"/>
  <c r="E8576" i="1"/>
  <c r="E8575" i="1"/>
  <c r="E8574" i="1"/>
  <c r="E8573" i="1"/>
  <c r="E8572" i="1"/>
  <c r="E8571" i="1"/>
  <c r="E8570" i="1"/>
  <c r="E8569" i="1"/>
  <c r="E8568" i="1"/>
  <c r="E8567" i="1"/>
  <c r="E8566" i="1"/>
  <c r="E8565" i="1"/>
  <c r="E8564" i="1"/>
  <c r="E8563" i="1"/>
  <c r="E8562" i="1"/>
  <c r="E8561" i="1"/>
  <c r="E8560" i="1"/>
  <c r="E8559" i="1"/>
  <c r="E8558" i="1"/>
  <c r="E8557" i="1"/>
  <c r="E8556" i="1"/>
  <c r="E8555" i="1"/>
  <c r="E8554" i="1"/>
  <c r="E8553" i="1"/>
  <c r="E8552" i="1"/>
  <c r="E8551" i="1"/>
  <c r="E8550" i="1"/>
  <c r="E8549" i="1"/>
  <c r="E8548" i="1"/>
  <c r="E8547" i="1"/>
  <c r="E8546" i="1"/>
  <c r="E8545" i="1"/>
  <c r="E8544" i="1"/>
  <c r="E8543" i="1"/>
  <c r="E8542" i="1"/>
  <c r="E8541" i="1"/>
  <c r="E8540" i="1"/>
  <c r="E8539" i="1"/>
  <c r="E8538" i="1"/>
  <c r="E8537" i="1"/>
  <c r="E8536" i="1"/>
  <c r="E8535" i="1"/>
  <c r="E8534" i="1"/>
  <c r="E8533" i="1"/>
  <c r="E8532" i="1"/>
  <c r="E8531" i="1"/>
  <c r="E8530" i="1"/>
  <c r="E8529" i="1"/>
  <c r="E8528" i="1"/>
  <c r="E8527" i="1"/>
  <c r="E8526" i="1"/>
  <c r="E8525" i="1"/>
  <c r="E8524" i="1"/>
  <c r="E8523" i="1"/>
  <c r="E8522" i="1"/>
  <c r="E8521" i="1"/>
  <c r="E8520" i="1"/>
  <c r="E8519" i="1"/>
  <c r="E8518" i="1"/>
  <c r="E8517" i="1"/>
  <c r="E8516" i="1"/>
  <c r="E8515" i="1"/>
  <c r="E8514" i="1"/>
  <c r="E8513" i="1"/>
  <c r="E8512" i="1"/>
  <c r="E8511" i="1"/>
  <c r="E8510" i="1"/>
  <c r="E8509" i="1"/>
  <c r="E8508" i="1"/>
  <c r="E8507" i="1"/>
  <c r="E8506" i="1"/>
  <c r="E8505" i="1"/>
  <c r="E8504" i="1"/>
  <c r="E8503" i="1"/>
  <c r="E8502" i="1"/>
  <c r="E8501" i="1"/>
  <c r="E8500" i="1"/>
  <c r="E8499" i="1"/>
  <c r="E8498" i="1"/>
  <c r="E8497" i="1"/>
  <c r="E8496" i="1"/>
  <c r="E8495" i="1"/>
  <c r="E8494" i="1"/>
  <c r="E8493" i="1"/>
  <c r="E8492" i="1"/>
  <c r="E8491" i="1"/>
  <c r="E8490" i="1"/>
  <c r="E8489" i="1"/>
  <c r="E8488" i="1"/>
  <c r="E8487" i="1"/>
  <c r="E8486" i="1"/>
  <c r="E8485" i="1"/>
  <c r="E8484" i="1"/>
  <c r="E8483" i="1"/>
  <c r="E8482" i="1"/>
  <c r="E8481" i="1"/>
  <c r="E8480" i="1"/>
  <c r="E8479" i="1"/>
  <c r="E8478" i="1"/>
  <c r="E8477" i="1"/>
  <c r="E8476" i="1"/>
  <c r="E8475" i="1"/>
  <c r="E8474" i="1"/>
  <c r="E8473" i="1"/>
  <c r="E8472" i="1"/>
  <c r="E8471" i="1"/>
  <c r="E8470" i="1"/>
  <c r="E8469" i="1"/>
  <c r="E8468" i="1"/>
  <c r="E8467" i="1"/>
  <c r="E8466" i="1"/>
  <c r="E8465" i="1"/>
  <c r="E8464" i="1"/>
  <c r="E8463" i="1"/>
  <c r="E8462" i="1"/>
  <c r="E8461" i="1"/>
  <c r="E8460" i="1"/>
  <c r="E8459" i="1"/>
  <c r="E8458" i="1"/>
  <c r="E8457" i="1"/>
  <c r="E8456" i="1"/>
  <c r="E8455" i="1"/>
  <c r="E8454" i="1"/>
  <c r="E8453" i="1"/>
  <c r="E8452" i="1"/>
  <c r="E8451" i="1"/>
  <c r="E8450" i="1"/>
  <c r="E8449" i="1"/>
  <c r="E8448" i="1"/>
  <c r="E8447" i="1"/>
  <c r="E8446" i="1"/>
  <c r="E8445" i="1"/>
  <c r="E8444" i="1"/>
  <c r="E8443" i="1"/>
  <c r="E8442" i="1"/>
  <c r="E8441" i="1"/>
  <c r="E8440" i="1"/>
  <c r="E8439" i="1"/>
  <c r="E8438" i="1"/>
  <c r="E8437" i="1"/>
  <c r="E8436" i="1"/>
  <c r="E8435" i="1"/>
  <c r="E8434" i="1"/>
  <c r="E8433" i="1"/>
  <c r="E8432" i="1"/>
  <c r="E8431" i="1"/>
  <c r="E8430" i="1"/>
  <c r="E8429" i="1"/>
  <c r="E8428" i="1"/>
  <c r="E8427" i="1"/>
  <c r="E8426" i="1"/>
  <c r="E8425" i="1"/>
  <c r="E8424" i="1"/>
  <c r="E8423" i="1"/>
  <c r="E8422" i="1"/>
  <c r="E8421" i="1"/>
  <c r="E8420" i="1"/>
  <c r="E8419" i="1"/>
  <c r="E8418" i="1"/>
  <c r="E8417" i="1"/>
  <c r="E8416" i="1"/>
  <c r="E8415" i="1"/>
  <c r="E8414" i="1"/>
  <c r="E8413" i="1"/>
  <c r="E8412" i="1"/>
  <c r="E8411" i="1"/>
  <c r="E8410" i="1"/>
  <c r="E8409" i="1"/>
  <c r="E8408" i="1"/>
  <c r="E8407" i="1"/>
  <c r="E8406" i="1"/>
  <c r="E8405" i="1"/>
  <c r="E8404" i="1"/>
  <c r="E8403" i="1"/>
  <c r="E8402" i="1"/>
  <c r="E8401" i="1"/>
  <c r="E8400" i="1"/>
  <c r="E8399" i="1"/>
  <c r="E8398" i="1"/>
  <c r="E8397" i="1"/>
  <c r="E8396" i="1"/>
  <c r="E8395" i="1"/>
  <c r="E8394" i="1"/>
  <c r="E8393" i="1"/>
  <c r="E8392" i="1"/>
  <c r="E8391" i="1"/>
  <c r="E8390" i="1"/>
  <c r="E8389" i="1"/>
  <c r="E8388" i="1"/>
  <c r="E8387" i="1"/>
  <c r="E8386" i="1"/>
  <c r="E8385" i="1"/>
  <c r="E8384" i="1"/>
  <c r="E8383" i="1"/>
  <c r="E8382" i="1"/>
  <c r="E8381" i="1"/>
  <c r="E8380" i="1"/>
  <c r="E8379" i="1"/>
  <c r="E8378" i="1"/>
  <c r="E8377" i="1"/>
  <c r="E8376" i="1"/>
  <c r="E8375" i="1"/>
  <c r="E8374" i="1"/>
  <c r="E8373" i="1"/>
  <c r="E8372" i="1"/>
  <c r="E8371" i="1"/>
  <c r="E8370" i="1"/>
  <c r="E8369" i="1"/>
  <c r="E8368" i="1"/>
  <c r="E8367" i="1"/>
  <c r="E8366" i="1"/>
  <c r="E8365" i="1"/>
  <c r="E8364" i="1"/>
  <c r="E8363" i="1"/>
  <c r="E8362" i="1"/>
  <c r="E8361" i="1"/>
  <c r="E8360" i="1"/>
  <c r="E8359" i="1"/>
  <c r="E8358" i="1"/>
  <c r="E8357" i="1"/>
  <c r="E8356" i="1"/>
  <c r="E8355" i="1"/>
  <c r="E8354" i="1"/>
  <c r="E8353" i="1"/>
  <c r="E8352" i="1"/>
  <c r="E8351" i="1"/>
  <c r="E8350" i="1"/>
  <c r="E8349" i="1"/>
  <c r="E8348" i="1"/>
  <c r="E8347" i="1"/>
  <c r="E8346" i="1"/>
  <c r="E8345" i="1"/>
  <c r="E8344" i="1"/>
  <c r="E8343" i="1"/>
  <c r="E8342" i="1"/>
  <c r="E8341" i="1"/>
  <c r="E8340" i="1"/>
  <c r="E8339" i="1"/>
  <c r="E8338" i="1"/>
  <c r="E8337" i="1"/>
  <c r="E8336" i="1"/>
  <c r="E8335" i="1"/>
  <c r="E8334" i="1"/>
  <c r="E8333" i="1"/>
  <c r="E8332" i="1"/>
  <c r="E8331" i="1"/>
  <c r="E8330" i="1"/>
  <c r="E8329" i="1"/>
  <c r="E8328" i="1"/>
  <c r="E8327" i="1"/>
  <c r="E8326" i="1"/>
  <c r="E8325" i="1"/>
  <c r="E8324" i="1"/>
  <c r="E8323" i="1"/>
  <c r="E8322" i="1"/>
  <c r="E8321" i="1"/>
  <c r="E8320" i="1"/>
  <c r="E8319" i="1"/>
  <c r="E8318" i="1"/>
  <c r="E8317" i="1"/>
  <c r="E8316" i="1"/>
  <c r="E8315" i="1"/>
  <c r="E8314" i="1"/>
  <c r="E8313" i="1"/>
  <c r="E8312" i="1"/>
  <c r="E8311" i="1"/>
  <c r="E8310" i="1"/>
  <c r="E8309" i="1"/>
  <c r="E8308" i="1"/>
  <c r="E8307" i="1"/>
  <c r="E8306" i="1"/>
  <c r="E8305" i="1"/>
  <c r="E8304" i="1"/>
  <c r="E8303" i="1"/>
  <c r="E8302" i="1"/>
  <c r="E8301" i="1"/>
  <c r="E8300" i="1"/>
  <c r="E8299" i="1"/>
  <c r="E8298" i="1"/>
  <c r="E8297" i="1"/>
  <c r="E8296" i="1"/>
  <c r="E8295" i="1"/>
  <c r="E8294" i="1"/>
  <c r="E8293" i="1"/>
  <c r="E8292" i="1"/>
  <c r="E8291" i="1"/>
  <c r="E8290" i="1"/>
  <c r="E8289" i="1"/>
  <c r="E8288" i="1"/>
  <c r="E8287" i="1"/>
  <c r="E8286" i="1"/>
  <c r="E8285" i="1"/>
  <c r="E8284" i="1"/>
  <c r="E8283" i="1"/>
  <c r="E8282" i="1"/>
  <c r="E8281" i="1"/>
  <c r="E8280" i="1"/>
  <c r="E8279" i="1"/>
  <c r="E8278" i="1"/>
  <c r="E8277" i="1"/>
  <c r="E8276" i="1"/>
  <c r="E8275" i="1"/>
  <c r="E8274" i="1"/>
  <c r="E8273" i="1"/>
  <c r="E8272" i="1"/>
  <c r="E8271" i="1"/>
  <c r="E8270" i="1"/>
  <c r="E8269" i="1"/>
  <c r="E8268" i="1"/>
  <c r="E8267" i="1"/>
  <c r="E8266" i="1"/>
  <c r="E8265" i="1"/>
  <c r="E8264" i="1"/>
  <c r="E8263" i="1"/>
  <c r="E8262" i="1"/>
  <c r="E8261" i="1"/>
  <c r="E8260" i="1"/>
  <c r="E8259" i="1"/>
  <c r="E8258" i="1"/>
  <c r="E8257" i="1"/>
  <c r="E8256" i="1"/>
  <c r="E8255" i="1"/>
  <c r="E8254" i="1"/>
  <c r="E8253" i="1"/>
  <c r="E8252" i="1"/>
  <c r="E8251" i="1"/>
  <c r="E8250" i="1"/>
  <c r="E8249" i="1"/>
  <c r="E8248" i="1"/>
  <c r="E8247" i="1"/>
  <c r="E8246" i="1"/>
  <c r="E8245" i="1"/>
  <c r="E8244" i="1"/>
  <c r="E8243" i="1"/>
  <c r="E8242" i="1"/>
  <c r="E8241" i="1"/>
  <c r="E8240" i="1"/>
  <c r="E8239" i="1"/>
  <c r="E8238" i="1"/>
  <c r="E8237" i="1"/>
  <c r="E8236" i="1"/>
  <c r="E8235" i="1"/>
  <c r="E8234" i="1"/>
  <c r="E8233" i="1"/>
  <c r="E8232" i="1"/>
  <c r="E8231" i="1"/>
  <c r="E8230" i="1"/>
  <c r="E8229" i="1"/>
  <c r="E8228" i="1"/>
  <c r="E8227" i="1"/>
  <c r="E8226" i="1"/>
  <c r="E8225" i="1"/>
  <c r="E8224" i="1"/>
  <c r="E8223" i="1"/>
  <c r="E8222" i="1"/>
  <c r="E8221" i="1"/>
  <c r="E8220" i="1"/>
  <c r="E8219" i="1"/>
  <c r="E8218" i="1"/>
  <c r="E8217" i="1"/>
  <c r="E8216" i="1"/>
  <c r="E8215" i="1"/>
  <c r="E8214" i="1"/>
  <c r="E8213" i="1"/>
  <c r="E8212" i="1"/>
  <c r="E8211" i="1"/>
  <c r="E8210" i="1"/>
  <c r="E8209" i="1"/>
  <c r="E8208" i="1"/>
  <c r="E8207" i="1"/>
  <c r="E8206" i="1"/>
  <c r="E8205" i="1"/>
  <c r="E8204" i="1"/>
  <c r="E8203" i="1"/>
  <c r="E8202" i="1"/>
  <c r="E8201" i="1"/>
  <c r="E8200" i="1"/>
  <c r="E8199" i="1"/>
  <c r="E8198" i="1"/>
  <c r="E8197" i="1"/>
  <c r="E8196" i="1"/>
  <c r="E8195" i="1"/>
  <c r="E8194" i="1"/>
  <c r="E8193" i="1"/>
  <c r="E8192" i="1"/>
  <c r="E8191" i="1"/>
  <c r="E8190" i="1"/>
  <c r="E8189" i="1"/>
  <c r="E8188" i="1"/>
  <c r="E8187" i="1"/>
  <c r="E8186" i="1"/>
  <c r="E8185" i="1"/>
  <c r="E8184" i="1"/>
  <c r="E8183" i="1"/>
  <c r="E8182" i="1"/>
  <c r="E8181" i="1"/>
  <c r="E8180" i="1"/>
  <c r="E8179" i="1"/>
  <c r="E8178" i="1"/>
  <c r="E8177" i="1"/>
  <c r="E8176" i="1"/>
  <c r="E8175" i="1"/>
  <c r="E8174" i="1"/>
  <c r="E8173" i="1"/>
  <c r="E8172" i="1"/>
  <c r="E8171" i="1"/>
  <c r="E8170" i="1"/>
  <c r="E8169" i="1"/>
  <c r="E8168" i="1"/>
  <c r="E8167" i="1"/>
  <c r="E8166" i="1"/>
  <c r="E8165" i="1"/>
  <c r="E8164" i="1"/>
  <c r="E8163" i="1"/>
  <c r="E8162" i="1"/>
  <c r="E8161" i="1"/>
  <c r="E8160" i="1"/>
  <c r="E8159" i="1"/>
  <c r="E8158" i="1"/>
  <c r="E8157" i="1"/>
  <c r="E8156" i="1"/>
  <c r="E8155" i="1"/>
  <c r="E8154" i="1"/>
  <c r="E8153" i="1"/>
  <c r="E8152" i="1"/>
  <c r="E8151" i="1"/>
  <c r="E8150" i="1"/>
  <c r="E8149" i="1"/>
  <c r="E8148" i="1"/>
  <c r="E8147" i="1"/>
  <c r="E8146" i="1"/>
  <c r="E8145" i="1"/>
  <c r="E8144" i="1"/>
  <c r="E8143" i="1"/>
  <c r="E8142" i="1"/>
  <c r="E8141" i="1"/>
  <c r="E8140" i="1"/>
  <c r="E8139" i="1"/>
  <c r="E8138" i="1"/>
  <c r="E8137" i="1"/>
  <c r="E8136" i="1"/>
  <c r="E8135" i="1"/>
  <c r="E8134" i="1"/>
  <c r="E8133" i="1"/>
  <c r="E8132" i="1"/>
  <c r="E8131" i="1"/>
  <c r="E8130" i="1"/>
  <c r="E8129" i="1"/>
  <c r="E8128" i="1"/>
  <c r="E8127" i="1"/>
  <c r="E8126" i="1"/>
  <c r="E8125" i="1"/>
  <c r="E8124" i="1"/>
  <c r="E8123" i="1"/>
  <c r="E8122" i="1"/>
  <c r="E8121" i="1"/>
  <c r="E8120" i="1"/>
  <c r="E8119" i="1"/>
  <c r="E8118" i="1"/>
  <c r="E8117" i="1"/>
  <c r="E8116" i="1"/>
  <c r="E8115" i="1"/>
  <c r="E8114" i="1"/>
  <c r="E8113" i="1"/>
  <c r="E8112" i="1"/>
  <c r="E8111" i="1"/>
  <c r="E8110" i="1"/>
  <c r="E8109" i="1"/>
  <c r="E8108" i="1"/>
  <c r="E8107" i="1"/>
  <c r="E8106" i="1"/>
  <c r="E8105" i="1"/>
  <c r="E8104" i="1"/>
  <c r="E8103" i="1"/>
  <c r="E8102" i="1"/>
  <c r="E8101" i="1"/>
  <c r="E8100" i="1"/>
  <c r="E8099" i="1"/>
  <c r="E8098" i="1"/>
  <c r="E8097" i="1"/>
  <c r="E8096" i="1"/>
  <c r="E8095" i="1"/>
  <c r="E8094" i="1"/>
  <c r="E8093" i="1"/>
  <c r="E8092" i="1"/>
  <c r="E8091" i="1"/>
  <c r="E8090" i="1"/>
  <c r="E8089" i="1"/>
  <c r="E8088" i="1"/>
  <c r="E8087" i="1"/>
  <c r="E8086" i="1"/>
  <c r="E8085" i="1"/>
  <c r="E8084" i="1"/>
  <c r="E8083" i="1"/>
  <c r="E8082" i="1"/>
  <c r="E8081" i="1"/>
  <c r="E8080" i="1"/>
  <c r="E8079" i="1"/>
  <c r="E8078" i="1"/>
  <c r="E8077" i="1"/>
  <c r="E8076" i="1"/>
  <c r="E8075" i="1"/>
  <c r="E8074" i="1"/>
  <c r="E8073" i="1"/>
  <c r="E8072" i="1"/>
  <c r="E8071" i="1"/>
  <c r="E8070" i="1"/>
  <c r="E8069" i="1"/>
  <c r="E8068" i="1"/>
  <c r="E8067" i="1"/>
  <c r="E8066" i="1"/>
  <c r="E8065" i="1"/>
  <c r="E8064" i="1"/>
  <c r="E8063" i="1"/>
  <c r="E8062" i="1"/>
  <c r="E8061" i="1"/>
  <c r="E8060" i="1"/>
  <c r="E8059" i="1"/>
  <c r="E8058" i="1"/>
  <c r="E8057" i="1"/>
  <c r="E8056" i="1"/>
  <c r="E8055" i="1"/>
  <c r="E8054" i="1"/>
  <c r="E8053" i="1"/>
  <c r="E8052" i="1"/>
  <c r="E8051" i="1"/>
  <c r="E8050" i="1"/>
  <c r="E8049" i="1"/>
  <c r="E8048" i="1"/>
  <c r="E8047" i="1"/>
  <c r="E8046" i="1"/>
  <c r="E8045" i="1"/>
  <c r="E8044" i="1"/>
  <c r="E8043" i="1"/>
  <c r="E8042" i="1"/>
  <c r="E8041" i="1"/>
  <c r="E8040" i="1"/>
  <c r="E8039" i="1"/>
  <c r="E8038" i="1"/>
  <c r="E8037" i="1"/>
  <c r="E8036" i="1"/>
  <c r="E8035" i="1"/>
  <c r="E8034" i="1"/>
  <c r="E8033" i="1"/>
  <c r="E8032" i="1"/>
  <c r="E8031" i="1"/>
  <c r="E8030" i="1"/>
  <c r="E8029" i="1"/>
  <c r="E8028" i="1"/>
  <c r="E8027" i="1"/>
  <c r="E8026" i="1"/>
  <c r="E8025" i="1"/>
  <c r="E8024" i="1"/>
  <c r="E8023" i="1"/>
  <c r="E8022" i="1"/>
  <c r="E8021" i="1"/>
  <c r="E8020" i="1"/>
  <c r="E8019" i="1"/>
  <c r="E8018" i="1"/>
  <c r="E8017" i="1"/>
  <c r="E8016" i="1"/>
  <c r="E8015" i="1"/>
  <c r="E8014" i="1"/>
  <c r="E8013" i="1"/>
  <c r="E8012" i="1"/>
  <c r="E8011" i="1"/>
  <c r="E8010" i="1"/>
  <c r="E8009" i="1"/>
  <c r="E8008" i="1"/>
  <c r="E8007" i="1"/>
  <c r="E8006" i="1"/>
  <c r="E8005" i="1"/>
  <c r="E8004" i="1"/>
  <c r="E8003" i="1"/>
  <c r="E8002" i="1"/>
  <c r="E8001" i="1"/>
  <c r="E8000" i="1"/>
  <c r="E7999" i="1"/>
  <c r="E7998" i="1"/>
  <c r="E7997" i="1"/>
  <c r="E7996" i="1"/>
  <c r="E7995" i="1"/>
  <c r="E7994" i="1"/>
  <c r="E7993" i="1"/>
  <c r="E7992" i="1"/>
  <c r="E7991" i="1"/>
  <c r="E7990" i="1"/>
  <c r="E7989" i="1"/>
  <c r="E7988" i="1"/>
  <c r="E7987" i="1"/>
  <c r="E7986" i="1"/>
  <c r="E7985" i="1"/>
  <c r="E7984" i="1"/>
  <c r="E7983" i="1"/>
  <c r="E7982" i="1"/>
  <c r="E7981" i="1"/>
  <c r="E7980" i="1"/>
  <c r="E7979" i="1"/>
  <c r="E7978" i="1"/>
  <c r="E7977" i="1"/>
  <c r="E7976" i="1"/>
  <c r="E7975" i="1"/>
  <c r="E7974" i="1"/>
  <c r="E7973" i="1"/>
  <c r="E7972" i="1"/>
  <c r="E7971" i="1"/>
  <c r="E7970" i="1"/>
  <c r="E7969" i="1"/>
  <c r="E7968" i="1"/>
  <c r="E7967" i="1"/>
  <c r="E7966" i="1"/>
  <c r="E7965" i="1"/>
  <c r="E7964" i="1"/>
  <c r="E7963" i="1"/>
  <c r="E7962" i="1"/>
  <c r="E7961" i="1"/>
  <c r="E7960" i="1"/>
  <c r="E7959" i="1"/>
  <c r="E7958" i="1"/>
  <c r="E7957" i="1"/>
  <c r="E7956" i="1"/>
  <c r="E7955" i="1"/>
  <c r="E7954" i="1"/>
  <c r="E7953" i="1"/>
  <c r="E7952" i="1"/>
  <c r="E7951" i="1"/>
  <c r="E7950" i="1"/>
  <c r="E7949" i="1"/>
  <c r="E7948" i="1"/>
  <c r="E7947" i="1"/>
  <c r="E7946" i="1"/>
  <c r="E7945" i="1"/>
  <c r="E7944" i="1"/>
  <c r="E7943" i="1"/>
  <c r="E7942" i="1"/>
  <c r="E7941" i="1"/>
  <c r="E7940" i="1"/>
  <c r="E7939" i="1"/>
  <c r="E7938" i="1"/>
  <c r="E7937" i="1"/>
  <c r="E7936" i="1"/>
  <c r="E7935" i="1"/>
  <c r="E7934" i="1"/>
  <c r="E7933" i="1"/>
  <c r="E7932" i="1"/>
  <c r="E7931" i="1"/>
  <c r="E7930" i="1"/>
  <c r="E7929" i="1"/>
  <c r="E7928" i="1"/>
  <c r="E7927" i="1"/>
  <c r="E7926" i="1"/>
  <c r="E7925" i="1"/>
  <c r="E7924" i="1"/>
  <c r="E7923" i="1"/>
  <c r="E7922" i="1"/>
  <c r="E7921" i="1"/>
  <c r="E7920" i="1"/>
  <c r="E7919" i="1"/>
  <c r="E7918" i="1"/>
  <c r="E7917" i="1"/>
  <c r="E7916" i="1"/>
  <c r="E7915" i="1"/>
  <c r="E7914" i="1"/>
  <c r="E7913" i="1"/>
  <c r="E7912" i="1"/>
  <c r="E7911" i="1"/>
  <c r="E7910" i="1"/>
  <c r="E7909" i="1"/>
  <c r="E7908" i="1"/>
  <c r="E7907" i="1"/>
  <c r="E7906" i="1"/>
  <c r="E7905" i="1"/>
  <c r="E7904" i="1"/>
  <c r="E7903" i="1"/>
  <c r="E7902" i="1"/>
  <c r="E7901" i="1"/>
  <c r="E7900" i="1"/>
  <c r="E7899" i="1"/>
  <c r="E7898" i="1"/>
  <c r="E7897" i="1"/>
  <c r="E7896" i="1"/>
  <c r="E7895" i="1"/>
  <c r="E7894" i="1"/>
  <c r="E7893" i="1"/>
  <c r="E7892" i="1"/>
  <c r="E7891" i="1"/>
  <c r="E7890" i="1"/>
  <c r="E7889" i="1"/>
  <c r="E7888" i="1"/>
  <c r="E7887" i="1"/>
  <c r="E7886" i="1"/>
  <c r="E7885" i="1"/>
  <c r="E7884" i="1"/>
  <c r="E7883" i="1"/>
  <c r="E7882" i="1"/>
  <c r="E7881" i="1"/>
  <c r="E7880" i="1"/>
  <c r="E7879" i="1"/>
  <c r="E7878" i="1"/>
  <c r="E7877" i="1"/>
  <c r="E7876" i="1"/>
  <c r="E7875" i="1"/>
  <c r="E7874" i="1"/>
  <c r="E7873" i="1"/>
  <c r="E7872" i="1"/>
  <c r="E7871" i="1"/>
  <c r="E7870" i="1"/>
  <c r="E7869" i="1"/>
  <c r="E7868" i="1"/>
  <c r="E7867" i="1"/>
  <c r="E7866" i="1"/>
  <c r="E7865" i="1"/>
  <c r="E7864" i="1"/>
  <c r="E7863" i="1"/>
  <c r="E7862" i="1"/>
  <c r="E7861" i="1"/>
  <c r="E7860" i="1"/>
  <c r="E7859" i="1"/>
  <c r="E7858" i="1"/>
  <c r="E7857" i="1"/>
  <c r="E7856" i="1"/>
  <c r="E7855" i="1"/>
  <c r="E7854" i="1"/>
  <c r="E7853" i="1"/>
  <c r="E7852" i="1"/>
  <c r="E7851" i="1"/>
  <c r="E7850" i="1"/>
  <c r="E7849" i="1"/>
  <c r="E7848" i="1"/>
  <c r="E7847" i="1"/>
  <c r="E7846" i="1"/>
  <c r="E7845" i="1"/>
  <c r="E7844" i="1"/>
  <c r="E7843" i="1"/>
  <c r="E7842" i="1"/>
  <c r="E7841" i="1"/>
  <c r="E7840" i="1"/>
  <c r="E7839" i="1"/>
  <c r="E7838" i="1"/>
  <c r="E7837" i="1"/>
  <c r="E7836" i="1"/>
  <c r="E7835" i="1"/>
  <c r="E7834" i="1"/>
  <c r="E7833" i="1"/>
  <c r="E7832" i="1"/>
  <c r="E7831" i="1"/>
  <c r="E7830" i="1"/>
  <c r="E7829" i="1"/>
  <c r="E7828" i="1"/>
  <c r="E7827" i="1"/>
  <c r="E7826" i="1"/>
  <c r="E7825" i="1"/>
  <c r="E7824" i="1"/>
  <c r="E7823" i="1"/>
  <c r="E7822" i="1"/>
  <c r="E7821" i="1"/>
  <c r="E7820" i="1"/>
  <c r="E7819" i="1"/>
  <c r="E7818" i="1"/>
  <c r="E7817" i="1"/>
  <c r="E7816" i="1"/>
  <c r="E7815" i="1"/>
  <c r="E7814" i="1"/>
  <c r="E7813" i="1"/>
  <c r="E7812" i="1"/>
  <c r="E7811" i="1"/>
  <c r="E7810" i="1"/>
  <c r="E7809" i="1"/>
  <c r="E7808" i="1"/>
  <c r="E7807" i="1"/>
  <c r="E7806" i="1"/>
  <c r="E7805" i="1"/>
  <c r="E7804" i="1"/>
  <c r="E7803" i="1"/>
  <c r="E7802" i="1"/>
  <c r="E7801" i="1"/>
  <c r="E7800" i="1"/>
  <c r="E7799" i="1"/>
  <c r="E7798" i="1"/>
  <c r="E7797" i="1"/>
  <c r="E7796" i="1"/>
  <c r="E7795" i="1"/>
  <c r="E7794" i="1"/>
  <c r="E7793" i="1"/>
  <c r="E7792" i="1"/>
  <c r="E7791" i="1"/>
  <c r="E7790" i="1"/>
  <c r="E7789" i="1"/>
  <c r="E7788" i="1"/>
  <c r="E7787" i="1"/>
  <c r="E7786" i="1"/>
  <c r="E7785" i="1"/>
  <c r="E7784" i="1"/>
  <c r="E7783" i="1"/>
  <c r="E7782" i="1"/>
  <c r="E7781" i="1"/>
  <c r="E7780" i="1"/>
  <c r="E7779" i="1"/>
  <c r="E7778" i="1"/>
  <c r="E7777" i="1"/>
  <c r="E7776" i="1"/>
  <c r="E7775" i="1"/>
  <c r="E7774" i="1"/>
  <c r="E7773" i="1"/>
  <c r="E7772" i="1"/>
  <c r="E7771" i="1"/>
  <c r="E7770" i="1"/>
  <c r="E7769" i="1"/>
  <c r="E7768" i="1"/>
  <c r="E7767" i="1"/>
  <c r="E7766" i="1"/>
  <c r="E7765" i="1"/>
  <c r="E7764" i="1"/>
  <c r="E7763" i="1"/>
  <c r="E7762" i="1"/>
  <c r="E7761" i="1"/>
  <c r="E7760" i="1"/>
  <c r="E7759" i="1"/>
  <c r="E7758" i="1"/>
  <c r="E7757" i="1"/>
  <c r="E7756" i="1"/>
  <c r="E7755" i="1"/>
  <c r="E7754" i="1"/>
  <c r="E7753" i="1"/>
  <c r="E7752" i="1"/>
  <c r="E7751" i="1"/>
  <c r="E7750" i="1"/>
  <c r="E7749" i="1"/>
  <c r="E7748" i="1"/>
  <c r="E7747" i="1"/>
  <c r="E7746" i="1"/>
  <c r="E7745" i="1"/>
  <c r="E7744" i="1"/>
  <c r="E7743" i="1"/>
  <c r="E7742" i="1"/>
  <c r="E7741" i="1"/>
  <c r="E7740" i="1"/>
  <c r="E7739" i="1"/>
  <c r="E7738" i="1"/>
  <c r="E7737" i="1"/>
  <c r="E7736" i="1"/>
  <c r="E7735" i="1"/>
  <c r="E7734" i="1"/>
  <c r="E7733" i="1"/>
  <c r="E7732" i="1"/>
  <c r="E7731" i="1"/>
  <c r="E7730" i="1"/>
  <c r="E7729" i="1"/>
  <c r="E7728" i="1"/>
  <c r="E7727" i="1"/>
  <c r="E7726" i="1"/>
  <c r="E7725" i="1"/>
  <c r="E7724" i="1"/>
  <c r="E7723" i="1"/>
  <c r="E7722" i="1"/>
  <c r="E7721" i="1"/>
  <c r="E7720" i="1"/>
  <c r="E7719" i="1"/>
  <c r="E7718" i="1"/>
  <c r="E7717" i="1"/>
  <c r="E7716" i="1"/>
  <c r="E7715" i="1"/>
  <c r="E7714" i="1"/>
  <c r="E7713" i="1"/>
  <c r="E7712" i="1"/>
  <c r="E7711" i="1"/>
  <c r="E7710" i="1"/>
  <c r="E7709" i="1"/>
  <c r="E7708" i="1"/>
  <c r="E7707" i="1"/>
  <c r="E7706" i="1"/>
  <c r="E7705" i="1"/>
  <c r="E7704" i="1"/>
  <c r="E7703" i="1"/>
  <c r="E7702" i="1"/>
  <c r="E7701" i="1"/>
  <c r="E7700" i="1"/>
  <c r="E7699" i="1"/>
  <c r="E7698" i="1"/>
  <c r="E7697" i="1"/>
  <c r="E7696" i="1"/>
  <c r="E7695" i="1"/>
  <c r="E7694" i="1"/>
  <c r="E7693" i="1"/>
  <c r="E7692" i="1"/>
  <c r="E7691" i="1"/>
  <c r="E7690" i="1"/>
  <c r="E7689" i="1"/>
  <c r="E7688" i="1"/>
  <c r="E7687" i="1"/>
  <c r="E7686" i="1"/>
  <c r="E7685" i="1"/>
  <c r="E7684" i="1"/>
  <c r="E7683" i="1"/>
  <c r="E7682" i="1"/>
  <c r="E7681" i="1"/>
  <c r="E7680" i="1"/>
  <c r="E7679" i="1"/>
  <c r="E7678" i="1"/>
  <c r="E7677" i="1"/>
  <c r="E7676" i="1"/>
  <c r="E7675" i="1"/>
  <c r="E7674" i="1"/>
  <c r="E7673" i="1"/>
  <c r="E7672" i="1"/>
  <c r="E7671" i="1"/>
  <c r="E7670" i="1"/>
  <c r="E7669" i="1"/>
  <c r="E7668" i="1"/>
  <c r="E7667" i="1"/>
  <c r="E7666" i="1"/>
  <c r="E7665" i="1"/>
  <c r="E7664" i="1"/>
  <c r="E7663" i="1"/>
  <c r="E7662" i="1"/>
  <c r="E7661" i="1"/>
  <c r="E7660" i="1"/>
  <c r="E7659" i="1"/>
  <c r="E7658" i="1"/>
  <c r="E7657" i="1"/>
  <c r="E7656" i="1"/>
  <c r="E7655" i="1"/>
  <c r="E7654" i="1"/>
  <c r="E7653" i="1"/>
  <c r="E7652" i="1"/>
  <c r="E7651" i="1"/>
  <c r="E7650" i="1"/>
  <c r="E7649" i="1"/>
  <c r="E7648" i="1"/>
  <c r="E7647" i="1"/>
  <c r="E7646" i="1"/>
  <c r="E7645" i="1"/>
  <c r="E7644" i="1"/>
  <c r="E7643" i="1"/>
  <c r="E7642" i="1"/>
  <c r="E7641" i="1"/>
  <c r="E7640" i="1"/>
  <c r="E7639" i="1"/>
  <c r="E7638" i="1"/>
  <c r="E7637" i="1"/>
  <c r="E7636" i="1"/>
  <c r="E7635" i="1"/>
  <c r="E7634" i="1"/>
  <c r="E7633" i="1"/>
  <c r="E7632" i="1"/>
  <c r="E7631" i="1"/>
  <c r="E7630" i="1"/>
  <c r="E7629" i="1"/>
  <c r="E7628" i="1"/>
  <c r="E7627" i="1"/>
  <c r="E7626" i="1"/>
  <c r="E7625" i="1"/>
  <c r="E7624" i="1"/>
  <c r="E7623" i="1"/>
  <c r="E7622" i="1"/>
  <c r="E7621" i="1"/>
  <c r="E7620" i="1"/>
  <c r="E7619" i="1"/>
  <c r="E7618" i="1"/>
  <c r="E7617" i="1"/>
  <c r="E7616" i="1"/>
  <c r="E7615" i="1"/>
  <c r="E7614" i="1"/>
  <c r="E7613" i="1"/>
  <c r="E7612" i="1"/>
  <c r="E7611" i="1"/>
  <c r="E7610" i="1"/>
  <c r="E7609" i="1"/>
  <c r="E7608" i="1"/>
  <c r="E7607" i="1"/>
  <c r="E7606" i="1"/>
  <c r="E7605" i="1"/>
  <c r="E7604" i="1"/>
  <c r="E7603" i="1"/>
  <c r="E7602" i="1"/>
  <c r="E7601" i="1"/>
  <c r="E7600" i="1"/>
  <c r="E7599" i="1"/>
  <c r="E7598" i="1"/>
  <c r="E7597" i="1"/>
  <c r="E7596" i="1"/>
  <c r="E7595" i="1"/>
  <c r="E7594" i="1"/>
  <c r="E7593" i="1"/>
  <c r="E7592" i="1"/>
  <c r="E7591" i="1"/>
  <c r="E7590" i="1"/>
  <c r="E7589" i="1"/>
  <c r="E7588" i="1"/>
  <c r="E7587" i="1"/>
  <c r="E7586" i="1"/>
  <c r="E7585" i="1"/>
  <c r="E7584" i="1"/>
  <c r="E7583" i="1"/>
  <c r="E7582" i="1"/>
  <c r="E7581" i="1"/>
  <c r="E7580" i="1"/>
  <c r="E7579" i="1"/>
  <c r="E7578" i="1"/>
  <c r="E7577" i="1"/>
  <c r="E7576" i="1"/>
  <c r="E7575" i="1"/>
  <c r="E7574" i="1"/>
  <c r="E7573" i="1"/>
  <c r="E7572" i="1"/>
  <c r="E7571" i="1"/>
  <c r="E7570" i="1"/>
  <c r="E7569" i="1"/>
  <c r="E7568" i="1"/>
  <c r="E7567" i="1"/>
  <c r="E7566" i="1"/>
  <c r="E7565" i="1"/>
  <c r="E7564" i="1"/>
  <c r="E7563" i="1"/>
  <c r="E7562" i="1"/>
  <c r="E7561" i="1"/>
  <c r="E7560" i="1"/>
  <c r="E7559" i="1"/>
  <c r="E7558" i="1"/>
  <c r="E7557" i="1"/>
  <c r="E7556" i="1"/>
  <c r="E7555" i="1"/>
  <c r="E7554" i="1"/>
  <c r="E7553" i="1"/>
  <c r="E7552" i="1"/>
  <c r="E7551" i="1"/>
  <c r="E7550" i="1"/>
  <c r="E7549" i="1"/>
  <c r="E7548" i="1"/>
  <c r="E7547" i="1"/>
  <c r="E7546" i="1"/>
  <c r="E7545" i="1"/>
  <c r="E7544" i="1"/>
  <c r="E7543" i="1"/>
  <c r="E7542" i="1"/>
  <c r="E7541" i="1"/>
  <c r="E7540" i="1"/>
  <c r="E7539" i="1"/>
  <c r="E7538" i="1"/>
  <c r="E7537" i="1"/>
  <c r="E7536" i="1"/>
  <c r="E7535" i="1"/>
  <c r="E7534" i="1"/>
  <c r="E7533" i="1"/>
  <c r="E7532" i="1"/>
  <c r="E7531" i="1"/>
  <c r="E7530" i="1"/>
  <c r="E7529" i="1"/>
  <c r="E7528" i="1"/>
  <c r="E7527" i="1"/>
  <c r="E7526" i="1"/>
  <c r="E7525" i="1"/>
  <c r="E7524" i="1"/>
  <c r="E7523" i="1"/>
  <c r="E7522" i="1"/>
  <c r="E7521" i="1"/>
  <c r="E7520" i="1"/>
  <c r="E7519" i="1"/>
  <c r="E7518" i="1"/>
  <c r="E7517" i="1"/>
  <c r="E7516" i="1"/>
  <c r="E7515" i="1"/>
  <c r="E7514" i="1"/>
  <c r="E7513" i="1"/>
  <c r="E7512" i="1"/>
  <c r="E7511" i="1"/>
  <c r="E7510" i="1"/>
  <c r="E7509" i="1"/>
  <c r="E7508" i="1"/>
  <c r="E7507" i="1"/>
  <c r="E7506" i="1"/>
  <c r="E7505" i="1"/>
  <c r="E7504" i="1"/>
  <c r="E7503" i="1"/>
  <c r="E7502" i="1"/>
  <c r="E7501" i="1"/>
  <c r="E7500" i="1"/>
  <c r="E7499" i="1"/>
  <c r="E7498" i="1"/>
  <c r="E7497" i="1"/>
  <c r="E7496" i="1"/>
  <c r="E7495" i="1"/>
  <c r="E7494" i="1"/>
  <c r="E7493" i="1"/>
  <c r="E7492" i="1"/>
  <c r="E7491" i="1"/>
  <c r="E7490" i="1"/>
  <c r="E7489" i="1"/>
  <c r="E7488" i="1"/>
  <c r="E7487" i="1"/>
  <c r="E7486" i="1"/>
  <c r="E7485" i="1"/>
  <c r="E7484" i="1"/>
  <c r="E7483" i="1"/>
  <c r="E7482" i="1"/>
  <c r="E7481" i="1"/>
  <c r="E7480" i="1"/>
  <c r="E7479" i="1"/>
  <c r="E7478" i="1"/>
  <c r="E7477" i="1"/>
  <c r="E7476" i="1"/>
  <c r="E7475" i="1"/>
  <c r="E7474" i="1"/>
  <c r="E7473" i="1"/>
  <c r="E7472" i="1"/>
  <c r="E7471" i="1"/>
  <c r="E7470" i="1"/>
  <c r="E7469" i="1"/>
  <c r="E7468" i="1"/>
  <c r="E7467" i="1"/>
  <c r="E7466" i="1"/>
  <c r="E7465" i="1"/>
  <c r="E7464" i="1"/>
  <c r="E7463" i="1"/>
  <c r="E7462" i="1"/>
  <c r="E7461" i="1"/>
  <c r="E7460" i="1"/>
  <c r="E7459" i="1"/>
  <c r="E7458" i="1"/>
  <c r="E7457" i="1"/>
  <c r="E7456" i="1"/>
  <c r="E7455" i="1"/>
  <c r="E7454" i="1"/>
  <c r="E7453" i="1"/>
  <c r="E7452" i="1"/>
  <c r="E7451" i="1"/>
  <c r="E7450" i="1"/>
  <c r="E7449" i="1"/>
  <c r="E7448" i="1"/>
  <c r="E7447" i="1"/>
  <c r="E7446" i="1"/>
  <c r="E7445" i="1"/>
  <c r="E7444" i="1"/>
  <c r="E7443" i="1"/>
  <c r="E7442" i="1"/>
  <c r="E7441" i="1"/>
  <c r="E7440" i="1"/>
  <c r="E7439" i="1"/>
  <c r="E7438" i="1"/>
  <c r="E7437" i="1"/>
  <c r="E7436" i="1"/>
  <c r="E7435" i="1"/>
  <c r="E7434" i="1"/>
  <c r="E7433" i="1"/>
  <c r="E7432" i="1"/>
  <c r="E7431" i="1"/>
  <c r="E7430" i="1"/>
  <c r="E7429" i="1"/>
  <c r="E7428" i="1"/>
  <c r="E7427" i="1"/>
  <c r="E7426" i="1"/>
  <c r="E7425" i="1"/>
  <c r="E7424" i="1"/>
  <c r="E7423" i="1"/>
  <c r="E7422" i="1"/>
  <c r="E7421" i="1"/>
  <c r="E7420" i="1"/>
  <c r="E7419" i="1"/>
  <c r="E7418" i="1"/>
  <c r="E7417" i="1"/>
  <c r="E7416" i="1"/>
  <c r="E7415" i="1"/>
  <c r="E7414" i="1"/>
  <c r="E7413" i="1"/>
  <c r="E7412" i="1"/>
  <c r="E7411" i="1"/>
  <c r="E7410" i="1"/>
  <c r="E7409" i="1"/>
  <c r="E7408" i="1"/>
  <c r="E7407" i="1"/>
  <c r="E7406" i="1"/>
  <c r="E7405" i="1"/>
  <c r="E7404" i="1"/>
  <c r="E7403" i="1"/>
  <c r="E7402" i="1"/>
  <c r="E7401" i="1"/>
  <c r="E7400" i="1"/>
  <c r="E7399" i="1"/>
  <c r="E7398" i="1"/>
  <c r="E7397" i="1"/>
  <c r="E7396" i="1"/>
  <c r="E7395" i="1"/>
  <c r="E7394" i="1"/>
  <c r="E7393" i="1"/>
  <c r="E7392" i="1"/>
  <c r="E7391" i="1"/>
  <c r="E7390" i="1"/>
  <c r="E7389" i="1"/>
  <c r="E7388" i="1"/>
  <c r="E7387" i="1"/>
  <c r="E7386" i="1"/>
  <c r="E7385" i="1"/>
  <c r="E7384" i="1"/>
  <c r="E7383" i="1"/>
  <c r="E7382" i="1"/>
  <c r="E7381" i="1"/>
  <c r="E7380" i="1"/>
  <c r="E7379" i="1"/>
  <c r="E7378" i="1"/>
  <c r="E7377" i="1"/>
  <c r="E7376" i="1"/>
  <c r="E7375" i="1"/>
  <c r="E7374" i="1"/>
  <c r="E7373" i="1"/>
  <c r="E7372" i="1"/>
  <c r="E7371" i="1"/>
  <c r="E7370" i="1"/>
  <c r="E7369" i="1"/>
  <c r="E7368" i="1"/>
  <c r="E7367" i="1"/>
  <c r="E7366" i="1"/>
  <c r="E7365" i="1"/>
  <c r="E7364" i="1"/>
  <c r="E7363" i="1"/>
  <c r="E7362" i="1"/>
  <c r="E7361" i="1"/>
  <c r="E7360" i="1"/>
  <c r="E7359" i="1"/>
  <c r="E7358" i="1"/>
  <c r="E7357" i="1"/>
  <c r="E7356" i="1"/>
  <c r="E7355" i="1"/>
  <c r="E7354" i="1"/>
  <c r="E7353" i="1"/>
  <c r="E7352" i="1"/>
  <c r="E7351" i="1"/>
  <c r="E7350" i="1"/>
  <c r="E7349" i="1"/>
  <c r="E7348" i="1"/>
  <c r="E7347" i="1"/>
  <c r="E7346" i="1"/>
  <c r="E7345" i="1"/>
  <c r="E7344" i="1"/>
  <c r="E7343" i="1"/>
  <c r="E7342" i="1"/>
  <c r="E7341" i="1"/>
  <c r="E7340" i="1"/>
  <c r="E7339" i="1"/>
  <c r="E7338" i="1"/>
  <c r="E7337" i="1"/>
  <c r="E7336" i="1"/>
  <c r="E7335" i="1"/>
  <c r="E7334" i="1"/>
  <c r="E7333" i="1"/>
  <c r="E7332" i="1"/>
  <c r="E7331" i="1"/>
  <c r="E7330" i="1"/>
  <c r="E7329" i="1"/>
  <c r="E7328" i="1"/>
  <c r="E7327" i="1"/>
  <c r="E7326" i="1"/>
  <c r="E7325" i="1"/>
  <c r="E7324" i="1"/>
  <c r="E7323" i="1"/>
  <c r="E7322" i="1"/>
  <c r="E7321" i="1"/>
  <c r="E7320" i="1"/>
  <c r="E7319" i="1"/>
  <c r="E7318" i="1"/>
  <c r="E7317" i="1"/>
  <c r="E7316" i="1"/>
  <c r="E7315" i="1"/>
  <c r="E7314" i="1"/>
  <c r="E7313" i="1"/>
  <c r="E7312" i="1"/>
  <c r="E7311" i="1"/>
  <c r="E7310" i="1"/>
  <c r="E7309" i="1"/>
  <c r="E7308" i="1"/>
  <c r="E7307" i="1"/>
  <c r="E7306" i="1"/>
  <c r="E7305" i="1"/>
  <c r="E7304" i="1"/>
  <c r="E7303" i="1"/>
  <c r="E7302" i="1"/>
  <c r="E7301" i="1"/>
  <c r="E7300" i="1"/>
  <c r="E7299" i="1"/>
  <c r="E7298" i="1"/>
  <c r="E7297" i="1"/>
  <c r="E7296" i="1"/>
  <c r="E7295" i="1"/>
  <c r="E7294" i="1"/>
  <c r="E7293" i="1"/>
  <c r="E7292" i="1"/>
  <c r="E7291" i="1"/>
  <c r="E7290" i="1"/>
  <c r="E7289" i="1"/>
  <c r="E7288" i="1"/>
  <c r="E7287" i="1"/>
  <c r="E7286" i="1"/>
  <c r="E7285" i="1"/>
  <c r="E7284" i="1"/>
  <c r="E7283" i="1"/>
  <c r="E7282" i="1"/>
  <c r="E7281" i="1"/>
  <c r="E7280" i="1"/>
  <c r="E7279" i="1"/>
  <c r="E7278" i="1"/>
  <c r="E7277" i="1"/>
  <c r="E7276" i="1"/>
  <c r="E7275" i="1"/>
  <c r="E7274" i="1"/>
  <c r="E7273" i="1"/>
  <c r="E7272" i="1"/>
  <c r="E7271" i="1"/>
  <c r="E7270" i="1"/>
  <c r="E7269" i="1"/>
  <c r="E7268" i="1"/>
  <c r="E7267" i="1"/>
  <c r="E7266" i="1"/>
  <c r="E7265" i="1"/>
  <c r="E7264" i="1"/>
  <c r="E7263" i="1"/>
  <c r="E7262" i="1"/>
  <c r="E7261" i="1"/>
  <c r="E7260" i="1"/>
  <c r="E7259" i="1"/>
  <c r="E7258" i="1"/>
  <c r="E7257" i="1"/>
  <c r="E7256" i="1"/>
  <c r="E7255" i="1"/>
  <c r="E7254" i="1"/>
  <c r="E7253" i="1"/>
  <c r="E7252" i="1"/>
  <c r="E7251" i="1"/>
  <c r="E7250" i="1"/>
  <c r="E7249" i="1"/>
  <c r="E7248" i="1"/>
  <c r="E7247" i="1"/>
  <c r="E7246" i="1"/>
  <c r="E7245" i="1"/>
  <c r="E7244" i="1"/>
  <c r="E7243" i="1"/>
  <c r="E7242" i="1"/>
  <c r="E7241" i="1"/>
  <c r="E7240" i="1"/>
  <c r="E7239" i="1"/>
  <c r="E7238" i="1"/>
  <c r="E7237" i="1"/>
  <c r="E7236" i="1"/>
  <c r="E7235" i="1"/>
  <c r="E7234" i="1"/>
  <c r="E7233" i="1"/>
  <c r="E7232" i="1"/>
  <c r="E7231" i="1"/>
  <c r="E7230" i="1"/>
  <c r="E7229" i="1"/>
  <c r="E7228" i="1"/>
  <c r="E7227" i="1"/>
  <c r="E7226" i="1"/>
  <c r="E7225" i="1"/>
  <c r="E7224" i="1"/>
  <c r="E7223" i="1"/>
  <c r="E7222" i="1"/>
  <c r="E7221" i="1"/>
  <c r="E7220" i="1"/>
  <c r="E7219" i="1"/>
  <c r="E7218" i="1"/>
  <c r="E7217" i="1"/>
  <c r="E7216" i="1"/>
  <c r="E7215" i="1"/>
  <c r="E7214" i="1"/>
  <c r="E7213" i="1"/>
  <c r="E7212" i="1"/>
  <c r="E7211" i="1"/>
  <c r="E7210" i="1"/>
  <c r="E7209" i="1"/>
  <c r="E7208" i="1"/>
  <c r="E7207" i="1"/>
  <c r="E7206" i="1"/>
  <c r="E7205" i="1"/>
  <c r="E7204" i="1"/>
  <c r="E7203" i="1"/>
  <c r="E7202" i="1"/>
  <c r="E7201" i="1"/>
  <c r="E7200" i="1"/>
  <c r="E7199" i="1"/>
  <c r="E7198" i="1"/>
  <c r="E7197" i="1"/>
  <c r="E7196" i="1"/>
  <c r="E7195" i="1"/>
  <c r="E7194" i="1"/>
  <c r="E7193" i="1"/>
  <c r="E7192" i="1"/>
  <c r="E7191" i="1"/>
  <c r="E7190" i="1"/>
  <c r="E7189" i="1"/>
  <c r="E7188" i="1"/>
  <c r="E7187" i="1"/>
  <c r="E7186" i="1"/>
  <c r="E7185" i="1"/>
  <c r="E7184" i="1"/>
  <c r="E7183" i="1"/>
  <c r="E7182" i="1"/>
  <c r="E7181" i="1"/>
  <c r="E7180" i="1"/>
  <c r="E7179" i="1"/>
  <c r="E7178" i="1"/>
  <c r="E7177" i="1"/>
  <c r="E7176" i="1"/>
  <c r="E7175" i="1"/>
  <c r="E7174" i="1"/>
  <c r="E7173" i="1"/>
  <c r="E7172" i="1"/>
  <c r="E7171" i="1"/>
  <c r="E7170" i="1"/>
  <c r="E7169" i="1"/>
  <c r="E7168" i="1"/>
  <c r="E7167" i="1"/>
  <c r="E7166" i="1"/>
  <c r="E7165" i="1"/>
  <c r="E7164" i="1"/>
  <c r="E7163" i="1"/>
  <c r="E7162" i="1"/>
  <c r="E7161" i="1"/>
  <c r="E7160" i="1"/>
  <c r="E7159" i="1"/>
  <c r="E7158" i="1"/>
  <c r="E7157" i="1"/>
  <c r="E7156" i="1"/>
  <c r="E7155" i="1"/>
  <c r="E7154" i="1"/>
  <c r="E7153" i="1"/>
  <c r="E7152" i="1"/>
  <c r="E7151" i="1"/>
  <c r="E7150" i="1"/>
  <c r="E7149" i="1"/>
  <c r="E7148" i="1"/>
  <c r="E7147" i="1"/>
  <c r="E7146" i="1"/>
  <c r="E7145" i="1"/>
  <c r="E7144" i="1"/>
  <c r="E7143" i="1"/>
  <c r="E7142" i="1"/>
  <c r="E7141" i="1"/>
  <c r="E7140" i="1"/>
  <c r="E7139" i="1"/>
  <c r="E7138" i="1"/>
  <c r="E7137" i="1"/>
  <c r="E7136" i="1"/>
  <c r="E7135" i="1"/>
  <c r="E7134" i="1"/>
  <c r="E7133" i="1"/>
  <c r="E7132" i="1"/>
  <c r="E7131" i="1"/>
  <c r="E7130" i="1"/>
  <c r="E7129" i="1"/>
  <c r="E7128" i="1"/>
  <c r="E7127" i="1"/>
  <c r="E7126" i="1"/>
  <c r="E7125" i="1"/>
  <c r="E7124" i="1"/>
  <c r="E7123" i="1"/>
  <c r="E7122" i="1"/>
  <c r="E7121" i="1"/>
  <c r="E7120" i="1"/>
  <c r="E7119" i="1"/>
  <c r="E7118" i="1"/>
  <c r="E7117" i="1"/>
  <c r="E7116" i="1"/>
  <c r="E7115" i="1"/>
  <c r="E7114" i="1"/>
  <c r="E7113" i="1"/>
  <c r="E7112" i="1"/>
  <c r="E7111" i="1"/>
  <c r="E7110" i="1"/>
  <c r="E7109" i="1"/>
  <c r="E7108" i="1"/>
  <c r="E7107" i="1"/>
  <c r="E7106" i="1"/>
  <c r="E7105" i="1"/>
  <c r="E7104" i="1"/>
  <c r="E7103" i="1"/>
  <c r="E7102" i="1"/>
  <c r="E7101" i="1"/>
  <c r="E7100" i="1"/>
  <c r="E7099" i="1"/>
  <c r="E7098" i="1"/>
  <c r="E7097" i="1"/>
  <c r="E7096" i="1"/>
  <c r="E7095" i="1"/>
  <c r="E7094" i="1"/>
  <c r="E7093" i="1"/>
  <c r="E7092" i="1"/>
  <c r="E7091" i="1"/>
  <c r="E7090" i="1"/>
  <c r="E7089" i="1"/>
  <c r="E7088" i="1"/>
  <c r="E7087" i="1"/>
  <c r="E7086" i="1"/>
  <c r="E7085" i="1"/>
  <c r="E7084" i="1"/>
  <c r="E7083" i="1"/>
  <c r="E7082" i="1"/>
  <c r="E7081" i="1"/>
  <c r="E7080" i="1"/>
  <c r="E7079" i="1"/>
  <c r="E7078" i="1"/>
  <c r="E7077" i="1"/>
  <c r="E7076" i="1"/>
  <c r="E7075" i="1"/>
  <c r="E7074" i="1"/>
  <c r="E7073" i="1"/>
  <c r="E7072" i="1"/>
  <c r="E7071" i="1"/>
  <c r="E7070" i="1"/>
  <c r="E7069" i="1"/>
  <c r="E7068" i="1"/>
  <c r="E7067" i="1"/>
  <c r="E7066" i="1"/>
  <c r="E7065" i="1"/>
  <c r="E7064" i="1"/>
  <c r="E7063" i="1"/>
  <c r="E7062" i="1"/>
  <c r="E7061" i="1"/>
  <c r="E7060" i="1"/>
  <c r="E7059" i="1"/>
  <c r="E7058" i="1"/>
  <c r="E7057" i="1"/>
  <c r="E7056" i="1"/>
  <c r="E7055" i="1"/>
  <c r="E7054" i="1"/>
  <c r="E7053" i="1"/>
  <c r="E7052" i="1"/>
  <c r="E7051" i="1"/>
  <c r="E7050" i="1"/>
  <c r="E7049" i="1"/>
  <c r="E7048" i="1"/>
  <c r="E7047" i="1"/>
  <c r="E7046" i="1"/>
  <c r="E7045" i="1"/>
  <c r="E7044" i="1"/>
  <c r="E7043" i="1"/>
  <c r="E7042" i="1"/>
  <c r="E7041" i="1"/>
  <c r="E7040" i="1"/>
  <c r="E7039" i="1"/>
  <c r="E7038" i="1"/>
  <c r="E7037" i="1"/>
  <c r="E7036" i="1"/>
  <c r="E7035" i="1"/>
  <c r="E7034" i="1"/>
  <c r="E7033" i="1"/>
  <c r="E7032" i="1"/>
  <c r="E7031" i="1"/>
  <c r="E7030" i="1"/>
  <c r="E7029" i="1"/>
  <c r="E7028" i="1"/>
  <c r="E7027" i="1"/>
  <c r="E7026" i="1"/>
  <c r="E7025" i="1"/>
  <c r="E7024" i="1"/>
  <c r="E7023" i="1"/>
  <c r="E7022" i="1"/>
  <c r="E7021" i="1"/>
  <c r="E7020" i="1"/>
  <c r="E7019" i="1"/>
  <c r="E7018" i="1"/>
  <c r="E7017" i="1"/>
  <c r="E7016" i="1"/>
  <c r="E7015" i="1"/>
  <c r="E7014" i="1"/>
  <c r="E7013" i="1"/>
  <c r="E7012" i="1"/>
  <c r="E7011" i="1"/>
  <c r="E7010" i="1"/>
  <c r="E7009" i="1"/>
  <c r="E7008" i="1"/>
  <c r="E7007" i="1"/>
  <c r="E7006" i="1"/>
  <c r="E7005" i="1"/>
  <c r="E7004" i="1"/>
  <c r="E7003" i="1"/>
  <c r="E7002" i="1"/>
  <c r="E7001" i="1"/>
  <c r="E7000" i="1"/>
  <c r="E6999" i="1"/>
  <c r="E6998" i="1"/>
  <c r="E6997" i="1"/>
  <c r="E6996" i="1"/>
  <c r="E6995" i="1"/>
  <c r="E6994" i="1"/>
  <c r="E6993" i="1"/>
  <c r="E6992" i="1"/>
  <c r="E6991" i="1"/>
  <c r="E6990" i="1"/>
  <c r="E6989" i="1"/>
  <c r="E6988" i="1"/>
  <c r="E6987" i="1"/>
  <c r="E6986" i="1"/>
  <c r="E6985" i="1"/>
  <c r="E6984" i="1"/>
  <c r="E6983" i="1"/>
  <c r="E6982" i="1"/>
  <c r="E6981" i="1"/>
  <c r="E6980" i="1"/>
  <c r="E6979" i="1"/>
  <c r="E6978" i="1"/>
  <c r="E6977" i="1"/>
  <c r="E6976" i="1"/>
  <c r="E6975" i="1"/>
  <c r="E6974" i="1"/>
  <c r="E6973" i="1"/>
  <c r="E6972" i="1"/>
  <c r="E6971" i="1"/>
  <c r="E6970" i="1"/>
  <c r="E6969" i="1"/>
  <c r="E6968" i="1"/>
  <c r="E6967" i="1"/>
  <c r="E6966" i="1"/>
  <c r="E6965" i="1"/>
  <c r="E6964" i="1"/>
  <c r="E6963" i="1"/>
  <c r="E6962" i="1"/>
  <c r="E6961" i="1"/>
  <c r="E6960" i="1"/>
  <c r="E6959" i="1"/>
  <c r="E6958" i="1"/>
  <c r="E6957" i="1"/>
  <c r="E6956" i="1"/>
  <c r="E6955" i="1"/>
  <c r="E6954" i="1"/>
  <c r="E6953" i="1"/>
  <c r="E6952" i="1"/>
  <c r="E6951" i="1"/>
  <c r="E6950" i="1"/>
  <c r="E6949" i="1"/>
  <c r="E6948" i="1"/>
  <c r="E6947" i="1"/>
  <c r="E6946" i="1"/>
  <c r="E6945" i="1"/>
  <c r="E6944" i="1"/>
  <c r="E6943" i="1"/>
  <c r="E6942" i="1"/>
  <c r="E6941" i="1"/>
  <c r="E6940" i="1"/>
  <c r="E6939" i="1"/>
  <c r="E6938" i="1"/>
  <c r="E6937" i="1"/>
  <c r="E6936" i="1"/>
  <c r="E6935" i="1"/>
  <c r="E6934" i="1"/>
  <c r="E6933" i="1"/>
  <c r="E6932" i="1"/>
  <c r="E6931" i="1"/>
  <c r="E6930" i="1"/>
  <c r="E6929" i="1"/>
  <c r="E6928" i="1"/>
  <c r="E6927" i="1"/>
  <c r="E6926" i="1"/>
  <c r="E6925" i="1"/>
  <c r="E6924" i="1"/>
  <c r="E6923" i="1"/>
  <c r="E6922" i="1"/>
  <c r="E6921" i="1"/>
  <c r="E6920" i="1"/>
  <c r="E6919" i="1"/>
  <c r="E6918" i="1"/>
  <c r="E6917" i="1"/>
  <c r="E6916" i="1"/>
  <c r="E6915" i="1"/>
  <c r="E6914" i="1"/>
  <c r="E6913" i="1"/>
  <c r="E6912" i="1"/>
  <c r="E6911" i="1"/>
  <c r="E6910" i="1"/>
  <c r="E6909" i="1"/>
  <c r="E6908" i="1"/>
  <c r="E6907" i="1"/>
  <c r="E6906" i="1"/>
  <c r="E6905" i="1"/>
  <c r="E6904" i="1"/>
  <c r="E6903" i="1"/>
  <c r="E6902" i="1"/>
  <c r="E6901" i="1"/>
  <c r="E6900" i="1"/>
  <c r="E6899" i="1"/>
  <c r="E6898" i="1"/>
  <c r="E6897" i="1"/>
  <c r="E6896" i="1"/>
  <c r="E6895" i="1"/>
  <c r="E6894" i="1"/>
  <c r="E6893" i="1"/>
  <c r="E6892" i="1"/>
  <c r="E6891" i="1"/>
  <c r="E6890" i="1"/>
  <c r="E6889" i="1"/>
  <c r="E6888" i="1"/>
  <c r="E6887" i="1"/>
  <c r="E6886" i="1"/>
  <c r="E6885" i="1"/>
  <c r="E6884" i="1"/>
  <c r="E6883" i="1"/>
  <c r="E6882" i="1"/>
  <c r="E6881" i="1"/>
  <c r="E6880" i="1"/>
  <c r="E6879" i="1"/>
  <c r="E6878" i="1"/>
  <c r="E6877" i="1"/>
  <c r="E6876" i="1"/>
  <c r="E6875" i="1"/>
  <c r="E6874" i="1"/>
  <c r="E6873" i="1"/>
  <c r="E6872" i="1"/>
  <c r="E6871" i="1"/>
  <c r="E6870" i="1"/>
  <c r="E6869" i="1"/>
  <c r="E6868" i="1"/>
  <c r="E6867" i="1"/>
  <c r="E6866" i="1"/>
  <c r="E6865" i="1"/>
  <c r="E6864" i="1"/>
  <c r="E6863" i="1"/>
  <c r="E6862" i="1"/>
  <c r="E6861" i="1"/>
  <c r="E6860" i="1"/>
  <c r="E6859" i="1"/>
  <c r="E6858" i="1"/>
  <c r="E6857" i="1"/>
  <c r="E6856" i="1"/>
  <c r="E6855" i="1"/>
  <c r="E6854" i="1"/>
  <c r="E6853" i="1"/>
  <c r="E6852" i="1"/>
  <c r="E6851" i="1"/>
  <c r="E6850" i="1"/>
  <c r="E6849" i="1"/>
  <c r="E6848" i="1"/>
  <c r="E6847" i="1"/>
  <c r="E6846" i="1"/>
  <c r="E6845" i="1"/>
  <c r="E6844" i="1"/>
  <c r="E6843" i="1"/>
  <c r="E6842" i="1"/>
  <c r="E6841" i="1"/>
  <c r="E6840" i="1"/>
  <c r="E6839" i="1"/>
  <c r="E6838" i="1"/>
  <c r="E6837" i="1"/>
  <c r="E6836" i="1"/>
  <c r="E6835" i="1"/>
  <c r="E6834" i="1"/>
  <c r="E6833" i="1"/>
  <c r="E6832" i="1"/>
  <c r="E6831" i="1"/>
  <c r="E6830" i="1"/>
  <c r="E6829" i="1"/>
  <c r="E6828" i="1"/>
  <c r="E6827" i="1"/>
  <c r="E6826" i="1"/>
  <c r="E6825" i="1"/>
  <c r="E6824" i="1"/>
  <c r="E6823" i="1"/>
  <c r="E6822" i="1"/>
  <c r="E6821" i="1"/>
  <c r="E6820" i="1"/>
  <c r="E6819" i="1"/>
  <c r="E6818" i="1"/>
  <c r="E6817" i="1"/>
  <c r="E6816" i="1"/>
  <c r="E6815" i="1"/>
  <c r="E6814" i="1"/>
  <c r="E6813" i="1"/>
  <c r="E6812" i="1"/>
  <c r="E6811" i="1"/>
  <c r="E6810" i="1"/>
  <c r="E6809" i="1"/>
  <c r="E6808" i="1"/>
  <c r="E6807" i="1"/>
  <c r="E6806" i="1"/>
  <c r="E6805" i="1"/>
  <c r="E6804" i="1"/>
  <c r="E6803" i="1"/>
  <c r="E6802" i="1"/>
  <c r="E6801" i="1"/>
  <c r="E6800" i="1"/>
  <c r="E6799" i="1"/>
  <c r="E6798" i="1"/>
  <c r="E6797" i="1"/>
  <c r="E6796" i="1"/>
  <c r="E6795" i="1"/>
  <c r="E6794" i="1"/>
  <c r="E6793" i="1"/>
  <c r="E6792" i="1"/>
  <c r="E6791" i="1"/>
  <c r="E6790" i="1"/>
  <c r="E6789" i="1"/>
  <c r="E6788" i="1"/>
  <c r="E6787" i="1"/>
  <c r="E6786" i="1"/>
  <c r="E6785" i="1"/>
  <c r="E6784" i="1"/>
  <c r="E6783" i="1"/>
  <c r="E6782" i="1"/>
  <c r="E6781" i="1"/>
  <c r="E6780" i="1"/>
  <c r="E6779" i="1"/>
  <c r="E6778" i="1"/>
  <c r="E6777" i="1"/>
  <c r="E6776" i="1"/>
  <c r="E6775" i="1"/>
  <c r="E6774" i="1"/>
  <c r="E6773" i="1"/>
  <c r="E6772" i="1"/>
  <c r="E6771" i="1"/>
  <c r="E6770" i="1"/>
  <c r="E6769" i="1"/>
  <c r="E6768" i="1"/>
  <c r="E6767" i="1"/>
  <c r="E6766" i="1"/>
  <c r="E6765" i="1"/>
  <c r="E6764" i="1"/>
  <c r="E6763" i="1"/>
  <c r="E6762" i="1"/>
  <c r="E6761" i="1"/>
  <c r="E6760" i="1"/>
  <c r="E6759" i="1"/>
  <c r="E6758" i="1"/>
  <c r="E6757" i="1"/>
  <c r="E6756" i="1"/>
  <c r="E6755" i="1"/>
  <c r="E6754" i="1"/>
  <c r="E6753" i="1"/>
  <c r="E6752" i="1"/>
  <c r="E6751" i="1"/>
  <c r="E6750" i="1"/>
  <c r="E6749" i="1"/>
  <c r="E6748" i="1"/>
  <c r="E6747" i="1"/>
  <c r="E6746" i="1"/>
  <c r="E6745" i="1"/>
  <c r="E6744" i="1"/>
  <c r="E6743" i="1"/>
  <c r="E6742" i="1"/>
  <c r="E6741" i="1"/>
  <c r="E6740" i="1"/>
  <c r="E6739" i="1"/>
  <c r="E6738" i="1"/>
  <c r="E6737" i="1"/>
  <c r="E6736" i="1"/>
  <c r="E6735" i="1"/>
  <c r="E6734" i="1"/>
  <c r="E6733" i="1"/>
  <c r="E6732" i="1"/>
  <c r="E6731" i="1"/>
  <c r="E6730" i="1"/>
  <c r="E6729" i="1"/>
  <c r="E6728" i="1"/>
  <c r="E6727" i="1"/>
  <c r="E6726" i="1"/>
  <c r="E6725" i="1"/>
  <c r="E6724" i="1"/>
  <c r="E6723" i="1"/>
  <c r="E6722" i="1"/>
  <c r="E6721" i="1"/>
  <c r="E6720" i="1"/>
  <c r="E6719" i="1"/>
  <c r="E6718" i="1"/>
  <c r="E6717" i="1"/>
  <c r="E6716" i="1"/>
  <c r="E6715" i="1"/>
  <c r="E6714" i="1"/>
  <c r="E6713" i="1"/>
  <c r="E6712" i="1"/>
  <c r="E6711" i="1"/>
  <c r="E6710" i="1"/>
  <c r="E6709" i="1"/>
  <c r="E6708" i="1"/>
  <c r="E6707" i="1"/>
  <c r="E6706" i="1"/>
  <c r="E6705" i="1"/>
  <c r="E6704" i="1"/>
  <c r="E6703" i="1"/>
  <c r="E6702" i="1"/>
  <c r="E6701" i="1"/>
  <c r="E6700" i="1"/>
  <c r="E6699" i="1"/>
  <c r="E6698" i="1"/>
  <c r="E6697" i="1"/>
  <c r="E6696" i="1"/>
  <c r="E6695" i="1"/>
  <c r="E6694" i="1"/>
  <c r="E6693" i="1"/>
  <c r="E6692" i="1"/>
  <c r="E6691" i="1"/>
  <c r="E6690" i="1"/>
  <c r="E6689" i="1"/>
  <c r="E6688" i="1"/>
  <c r="E6687" i="1"/>
  <c r="E6686" i="1"/>
  <c r="E6685" i="1"/>
  <c r="E6684" i="1"/>
  <c r="E6683" i="1"/>
  <c r="E6682" i="1"/>
  <c r="E6681" i="1"/>
  <c r="E6680" i="1"/>
  <c r="E6679" i="1"/>
  <c r="E6678" i="1"/>
  <c r="E6677" i="1"/>
  <c r="E6676" i="1"/>
  <c r="E6675" i="1"/>
  <c r="E6674" i="1"/>
  <c r="E6673" i="1"/>
  <c r="E6672" i="1"/>
  <c r="E6671" i="1"/>
  <c r="E6670" i="1"/>
  <c r="E6669" i="1"/>
  <c r="E6668" i="1"/>
  <c r="E6667" i="1"/>
  <c r="E6666" i="1"/>
  <c r="E6665" i="1"/>
  <c r="E6664" i="1"/>
  <c r="E6663" i="1"/>
  <c r="E6662" i="1"/>
  <c r="E6661" i="1"/>
  <c r="E6660" i="1"/>
  <c r="E6659" i="1"/>
  <c r="E6658" i="1"/>
  <c r="E6657" i="1"/>
  <c r="E6656" i="1"/>
  <c r="E6655" i="1"/>
  <c r="E6654" i="1"/>
  <c r="E6653" i="1"/>
  <c r="E6652" i="1"/>
  <c r="E6651" i="1"/>
  <c r="E6650" i="1"/>
  <c r="E6649" i="1"/>
  <c r="E6648" i="1"/>
  <c r="E6647" i="1"/>
  <c r="E6646" i="1"/>
  <c r="E6645" i="1"/>
  <c r="E6644" i="1"/>
  <c r="E6643" i="1"/>
  <c r="E6642" i="1"/>
  <c r="E6641" i="1"/>
  <c r="E6640" i="1"/>
  <c r="E6639" i="1"/>
  <c r="E6638" i="1"/>
  <c r="E6637" i="1"/>
  <c r="E6636" i="1"/>
  <c r="E6635" i="1"/>
  <c r="E6634" i="1"/>
  <c r="E6633" i="1"/>
  <c r="E6632" i="1"/>
  <c r="E6631" i="1"/>
  <c r="E6630" i="1"/>
  <c r="E6629" i="1"/>
  <c r="E6628" i="1"/>
  <c r="E6627" i="1"/>
  <c r="E6626" i="1"/>
  <c r="E6625" i="1"/>
  <c r="E6624" i="1"/>
  <c r="E6623" i="1"/>
  <c r="E6622" i="1"/>
  <c r="E6621" i="1"/>
  <c r="E6620" i="1"/>
  <c r="E6619" i="1"/>
  <c r="E6618" i="1"/>
  <c r="E6617" i="1"/>
  <c r="E6616" i="1"/>
  <c r="E6615" i="1"/>
  <c r="E6614" i="1"/>
  <c r="E6613" i="1"/>
  <c r="E6612" i="1"/>
  <c r="E6611" i="1"/>
  <c r="E6610" i="1"/>
  <c r="E6609" i="1"/>
  <c r="E6608" i="1"/>
  <c r="E6607" i="1"/>
  <c r="E6606" i="1"/>
  <c r="E6605" i="1"/>
  <c r="E6604" i="1"/>
  <c r="E6603" i="1"/>
  <c r="E6602" i="1"/>
  <c r="E6601" i="1"/>
  <c r="E6600" i="1"/>
  <c r="E6599" i="1"/>
  <c r="E6598" i="1"/>
  <c r="E6597" i="1"/>
  <c r="E6596" i="1"/>
  <c r="E6595" i="1"/>
  <c r="E6594" i="1"/>
  <c r="E6593" i="1"/>
  <c r="E6592" i="1"/>
  <c r="E6591" i="1"/>
  <c r="E6590" i="1"/>
  <c r="E6589" i="1"/>
  <c r="E6588" i="1"/>
  <c r="E6587" i="1"/>
  <c r="E6586" i="1"/>
  <c r="E6585" i="1"/>
  <c r="E6584" i="1"/>
  <c r="E6583" i="1"/>
  <c r="E6582" i="1"/>
  <c r="E6581" i="1"/>
  <c r="E6580" i="1"/>
  <c r="E6579" i="1"/>
  <c r="E6578" i="1"/>
  <c r="E6577" i="1"/>
  <c r="E6576" i="1"/>
  <c r="E6575" i="1"/>
  <c r="E6574" i="1"/>
  <c r="E6573" i="1"/>
  <c r="E6572" i="1"/>
  <c r="E6571" i="1"/>
  <c r="E6570" i="1"/>
  <c r="E6569" i="1"/>
  <c r="E6568" i="1"/>
  <c r="E6567" i="1"/>
  <c r="E6566" i="1"/>
  <c r="E6565" i="1"/>
  <c r="E6564" i="1"/>
  <c r="E6563" i="1"/>
  <c r="E6562" i="1"/>
  <c r="E6561" i="1"/>
  <c r="E6560" i="1"/>
  <c r="E6559" i="1"/>
  <c r="E6558" i="1"/>
  <c r="E6557" i="1"/>
  <c r="E6556" i="1"/>
  <c r="E6555" i="1"/>
  <c r="E6554" i="1"/>
  <c r="E6553" i="1"/>
  <c r="E6552" i="1"/>
  <c r="E6551" i="1"/>
  <c r="E6550" i="1"/>
  <c r="E6549" i="1"/>
  <c r="E6548" i="1"/>
  <c r="E6547" i="1"/>
  <c r="E6546" i="1"/>
  <c r="E6545" i="1"/>
  <c r="E6544" i="1"/>
  <c r="E6543" i="1"/>
  <c r="E6542" i="1"/>
  <c r="E6541" i="1"/>
  <c r="E6540" i="1"/>
  <c r="E6539" i="1"/>
  <c r="E6538" i="1"/>
  <c r="E6537" i="1"/>
  <c r="E6536" i="1"/>
  <c r="E6535" i="1"/>
  <c r="E6534" i="1"/>
  <c r="E6533" i="1"/>
  <c r="E6532" i="1"/>
  <c r="E6531" i="1"/>
  <c r="E6530" i="1"/>
  <c r="E6529" i="1"/>
  <c r="E6528" i="1"/>
  <c r="E6527" i="1"/>
  <c r="E6526" i="1"/>
  <c r="E6525" i="1"/>
  <c r="E6524" i="1"/>
  <c r="E6523" i="1"/>
  <c r="E6522" i="1"/>
  <c r="E6521" i="1"/>
  <c r="E6520" i="1"/>
  <c r="E6519" i="1"/>
  <c r="E6518" i="1"/>
  <c r="E6517" i="1"/>
  <c r="E6516" i="1"/>
  <c r="E6515" i="1"/>
  <c r="E6514" i="1"/>
  <c r="E6513" i="1"/>
  <c r="E6512" i="1"/>
  <c r="E6511" i="1"/>
  <c r="E6510" i="1"/>
  <c r="E6509" i="1"/>
  <c r="E6508" i="1"/>
  <c r="E6507" i="1"/>
  <c r="E6506" i="1"/>
  <c r="E6505" i="1"/>
  <c r="E6504" i="1"/>
  <c r="E6503" i="1"/>
  <c r="E6502" i="1"/>
  <c r="E6501" i="1"/>
  <c r="E6500" i="1"/>
  <c r="E6499" i="1"/>
  <c r="E6498" i="1"/>
  <c r="E6497" i="1"/>
  <c r="E6496" i="1"/>
  <c r="E6495" i="1"/>
  <c r="E6494" i="1"/>
  <c r="E6493" i="1"/>
  <c r="E6492" i="1"/>
  <c r="E6491" i="1"/>
  <c r="E6490" i="1"/>
  <c r="E6489" i="1"/>
  <c r="E6488" i="1"/>
  <c r="E6487" i="1"/>
  <c r="E6486" i="1"/>
  <c r="E6485" i="1"/>
  <c r="E6484" i="1"/>
  <c r="E6483" i="1"/>
  <c r="E6482" i="1"/>
  <c r="E6481" i="1"/>
  <c r="E6480" i="1"/>
  <c r="E6479" i="1"/>
  <c r="E6478" i="1"/>
  <c r="E6477" i="1"/>
  <c r="E6476" i="1"/>
  <c r="E6475" i="1"/>
  <c r="E6474" i="1"/>
  <c r="E6473" i="1"/>
  <c r="E6472" i="1"/>
  <c r="E6471" i="1"/>
  <c r="E6470" i="1"/>
  <c r="E6469" i="1"/>
  <c r="E6468" i="1"/>
  <c r="E6467" i="1"/>
  <c r="E6466" i="1"/>
  <c r="E6465" i="1"/>
  <c r="E6464" i="1"/>
  <c r="E6463" i="1"/>
  <c r="E6462" i="1"/>
  <c r="E6461" i="1"/>
  <c r="E6460" i="1"/>
  <c r="E6459" i="1"/>
  <c r="E6458" i="1"/>
  <c r="E6457" i="1"/>
  <c r="E6456" i="1"/>
  <c r="E6455" i="1"/>
  <c r="E6454" i="1"/>
  <c r="E6453" i="1"/>
  <c r="E6452" i="1"/>
  <c r="E6451" i="1"/>
  <c r="E6450" i="1"/>
  <c r="E6449" i="1"/>
  <c r="E6448" i="1"/>
  <c r="E6447" i="1"/>
  <c r="E6446" i="1"/>
  <c r="E6445" i="1"/>
  <c r="E6444" i="1"/>
  <c r="E6443" i="1"/>
  <c r="E6442" i="1"/>
  <c r="E6441" i="1"/>
  <c r="E6440" i="1"/>
  <c r="E6439" i="1"/>
  <c r="E6438" i="1"/>
  <c r="E6437" i="1"/>
  <c r="E6436" i="1"/>
  <c r="E6435" i="1"/>
  <c r="E6434" i="1"/>
  <c r="E6433" i="1"/>
  <c r="E6432" i="1"/>
  <c r="E6431" i="1"/>
  <c r="E6430" i="1"/>
  <c r="E6429" i="1"/>
  <c r="E6428" i="1"/>
  <c r="E6427" i="1"/>
  <c r="E6426" i="1"/>
  <c r="E6425" i="1"/>
  <c r="E6424" i="1"/>
  <c r="E6423" i="1"/>
  <c r="E6422" i="1"/>
  <c r="E6421" i="1"/>
  <c r="E6420" i="1"/>
  <c r="E6419" i="1"/>
  <c r="E6418" i="1"/>
  <c r="E6417" i="1"/>
  <c r="E6416" i="1"/>
  <c r="E6415" i="1"/>
  <c r="E6414" i="1"/>
  <c r="E6413" i="1"/>
  <c r="E6412" i="1"/>
  <c r="E6411" i="1"/>
  <c r="E6410" i="1"/>
  <c r="E6409" i="1"/>
  <c r="E6408" i="1"/>
  <c r="E6407" i="1"/>
  <c r="E6406" i="1"/>
  <c r="E6405" i="1"/>
  <c r="E6404" i="1"/>
  <c r="E6403" i="1"/>
  <c r="E6402" i="1"/>
  <c r="E6401" i="1"/>
  <c r="E6400" i="1"/>
  <c r="E6399" i="1"/>
  <c r="E6398" i="1"/>
  <c r="E6397" i="1"/>
  <c r="E6396" i="1"/>
  <c r="E6395" i="1"/>
  <c r="E6394" i="1"/>
  <c r="E6393" i="1"/>
  <c r="E6392" i="1"/>
  <c r="E6391" i="1"/>
  <c r="E6390" i="1"/>
  <c r="E6389" i="1"/>
  <c r="E6388" i="1"/>
  <c r="E6387" i="1"/>
  <c r="E6386" i="1"/>
  <c r="E6385" i="1"/>
  <c r="E6384" i="1"/>
  <c r="E6383" i="1"/>
  <c r="E6382" i="1"/>
  <c r="E6381" i="1"/>
  <c r="E6380" i="1"/>
  <c r="E6379" i="1"/>
  <c r="E6378" i="1"/>
  <c r="E6377" i="1"/>
  <c r="E6376" i="1"/>
  <c r="E6375" i="1"/>
  <c r="E6374" i="1"/>
  <c r="E6373" i="1"/>
  <c r="E6372" i="1"/>
  <c r="E6371" i="1"/>
  <c r="E6370" i="1"/>
  <c r="E6369" i="1"/>
  <c r="E6368" i="1"/>
  <c r="E6367" i="1"/>
  <c r="E6366" i="1"/>
  <c r="E6365" i="1"/>
  <c r="E6364" i="1"/>
  <c r="E6363" i="1"/>
  <c r="E6362" i="1"/>
  <c r="E6361" i="1"/>
  <c r="E6360" i="1"/>
  <c r="E6359" i="1"/>
  <c r="E6358" i="1"/>
  <c r="E6357" i="1"/>
  <c r="E6356" i="1"/>
  <c r="E6355" i="1"/>
  <c r="E6354" i="1"/>
  <c r="E6353" i="1"/>
  <c r="E6352" i="1"/>
  <c r="E6351" i="1"/>
  <c r="E6350" i="1"/>
  <c r="E6349" i="1"/>
  <c r="E6348" i="1"/>
  <c r="E6347" i="1"/>
  <c r="E6346" i="1"/>
  <c r="E6345" i="1"/>
  <c r="E6344" i="1"/>
  <c r="E6343" i="1"/>
  <c r="E6342" i="1"/>
  <c r="E6341" i="1"/>
  <c r="E6340" i="1"/>
  <c r="E6339" i="1"/>
  <c r="E6338" i="1"/>
  <c r="E6337" i="1"/>
  <c r="E6336" i="1"/>
  <c r="E6335" i="1"/>
  <c r="E6334" i="1"/>
  <c r="E6333" i="1"/>
  <c r="E6332" i="1"/>
  <c r="E6331" i="1"/>
  <c r="E6330" i="1"/>
  <c r="E6329" i="1"/>
  <c r="E6328" i="1"/>
  <c r="E6327" i="1"/>
  <c r="E6326" i="1"/>
  <c r="E6325" i="1"/>
  <c r="E6324" i="1"/>
  <c r="E6323" i="1"/>
  <c r="E6322" i="1"/>
  <c r="E6321" i="1"/>
  <c r="E6320" i="1"/>
  <c r="E6319" i="1"/>
  <c r="E6318" i="1"/>
  <c r="E6317" i="1"/>
  <c r="E6316" i="1"/>
  <c r="E6315" i="1"/>
  <c r="E6314" i="1"/>
  <c r="E6313" i="1"/>
  <c r="E6312" i="1"/>
  <c r="E6311" i="1"/>
  <c r="E6310" i="1"/>
  <c r="E6309" i="1"/>
  <c r="E6308" i="1"/>
  <c r="E6307" i="1"/>
  <c r="E6306" i="1"/>
  <c r="E6305" i="1"/>
  <c r="E6304" i="1"/>
  <c r="E6303" i="1"/>
  <c r="E6302" i="1"/>
  <c r="E6301" i="1"/>
  <c r="E6300" i="1"/>
  <c r="E6299" i="1"/>
  <c r="E6298" i="1"/>
  <c r="E6297" i="1"/>
  <c r="E6296" i="1"/>
  <c r="E6295" i="1"/>
  <c r="E6294" i="1"/>
  <c r="E6293" i="1"/>
  <c r="E6292" i="1"/>
  <c r="E6291" i="1"/>
  <c r="E6290" i="1"/>
  <c r="E6289" i="1"/>
  <c r="E6288" i="1"/>
  <c r="E6287" i="1"/>
  <c r="E6286" i="1"/>
  <c r="E6285" i="1"/>
  <c r="E6284" i="1"/>
  <c r="E6283" i="1"/>
  <c r="E6282" i="1"/>
  <c r="E6281" i="1"/>
  <c r="E6280" i="1"/>
  <c r="E6279" i="1"/>
  <c r="E6278" i="1"/>
  <c r="E6277" i="1"/>
  <c r="E6276" i="1"/>
  <c r="E6275" i="1"/>
  <c r="E6274" i="1"/>
  <c r="E6273" i="1"/>
  <c r="E6272" i="1"/>
  <c r="E6271" i="1"/>
  <c r="E6270" i="1"/>
  <c r="E6269" i="1"/>
  <c r="E6268" i="1"/>
  <c r="E6267" i="1"/>
  <c r="E6266" i="1"/>
  <c r="E6265" i="1"/>
  <c r="E6264" i="1"/>
  <c r="E6263" i="1"/>
  <c r="E6262" i="1"/>
  <c r="E6261" i="1"/>
  <c r="E6260" i="1"/>
  <c r="E6259" i="1"/>
  <c r="E6258" i="1"/>
  <c r="E6257" i="1"/>
  <c r="E6256" i="1"/>
  <c r="E6255" i="1"/>
  <c r="E6254" i="1"/>
  <c r="E6253" i="1"/>
  <c r="E6252" i="1"/>
  <c r="E6251" i="1"/>
  <c r="E6250" i="1"/>
  <c r="E6249" i="1"/>
  <c r="E6248" i="1"/>
  <c r="E6247" i="1"/>
  <c r="E6246" i="1"/>
  <c r="E6245" i="1"/>
  <c r="E6244" i="1"/>
  <c r="E6243" i="1"/>
  <c r="E6242" i="1"/>
  <c r="E6241" i="1"/>
  <c r="E6240" i="1"/>
  <c r="E6239" i="1"/>
  <c r="E6238" i="1"/>
  <c r="E6237" i="1"/>
  <c r="E6236" i="1"/>
  <c r="E6235" i="1"/>
  <c r="E6234" i="1"/>
  <c r="E6233" i="1"/>
  <c r="E6232" i="1"/>
  <c r="E6231" i="1"/>
  <c r="E6230" i="1"/>
  <c r="E6229" i="1"/>
  <c r="E6228" i="1"/>
  <c r="E6227" i="1"/>
  <c r="E6226" i="1"/>
  <c r="E6225" i="1"/>
  <c r="E6224" i="1"/>
  <c r="E6223" i="1"/>
  <c r="E6222" i="1"/>
  <c r="E6221" i="1"/>
  <c r="E6220" i="1"/>
  <c r="E6219" i="1"/>
  <c r="E6218" i="1"/>
  <c r="E6217" i="1"/>
  <c r="E6216" i="1"/>
  <c r="E6215" i="1"/>
  <c r="E6214" i="1"/>
  <c r="E6213" i="1"/>
  <c r="E6212" i="1"/>
  <c r="E6211" i="1"/>
  <c r="E6210" i="1"/>
  <c r="E6209" i="1"/>
  <c r="E6208" i="1"/>
  <c r="E6207" i="1"/>
  <c r="E6206" i="1"/>
  <c r="E6205" i="1"/>
  <c r="E6204" i="1"/>
  <c r="E6203" i="1"/>
  <c r="E6202" i="1"/>
  <c r="E6201" i="1"/>
  <c r="E6200" i="1"/>
  <c r="E6199" i="1"/>
  <c r="E6198" i="1"/>
  <c r="E6197" i="1"/>
  <c r="E6196" i="1"/>
  <c r="E6195" i="1"/>
  <c r="E6194" i="1"/>
  <c r="E6193" i="1"/>
  <c r="E6192" i="1"/>
  <c r="E6191" i="1"/>
  <c r="E6190" i="1"/>
  <c r="E6189" i="1"/>
  <c r="E6188" i="1"/>
  <c r="E6187" i="1"/>
  <c r="E6186" i="1"/>
  <c r="E6185" i="1"/>
  <c r="E6184" i="1"/>
  <c r="E6183" i="1"/>
  <c r="E6182" i="1"/>
  <c r="E6181" i="1"/>
  <c r="E6180" i="1"/>
  <c r="E6179" i="1"/>
  <c r="E6178" i="1"/>
  <c r="E6177" i="1"/>
  <c r="E6176" i="1"/>
  <c r="E6175" i="1"/>
  <c r="E6174" i="1"/>
  <c r="E6173" i="1"/>
  <c r="E6172" i="1"/>
  <c r="E6171" i="1"/>
  <c r="E6170" i="1"/>
  <c r="E6169" i="1"/>
  <c r="E6168" i="1"/>
  <c r="E6167" i="1"/>
  <c r="E6166" i="1"/>
  <c r="E6165" i="1"/>
  <c r="E6164" i="1"/>
  <c r="E6163" i="1"/>
  <c r="E6162" i="1"/>
  <c r="E6161" i="1"/>
  <c r="E6160" i="1"/>
  <c r="E6159" i="1"/>
  <c r="E6158" i="1"/>
  <c r="E6157" i="1"/>
  <c r="E6156" i="1"/>
  <c r="E6155" i="1"/>
  <c r="E6154" i="1"/>
  <c r="E6153" i="1"/>
  <c r="E6152" i="1"/>
  <c r="E6151" i="1"/>
  <c r="E6150" i="1"/>
  <c r="E6149" i="1"/>
  <c r="E6148" i="1"/>
  <c r="E6147" i="1"/>
  <c r="E6146" i="1"/>
  <c r="E6145" i="1"/>
  <c r="E6144" i="1"/>
  <c r="E6143" i="1"/>
  <c r="E6142" i="1"/>
  <c r="E6141" i="1"/>
  <c r="E6140" i="1"/>
  <c r="E6139" i="1"/>
  <c r="E6138" i="1"/>
  <c r="E6137" i="1"/>
  <c r="E6136" i="1"/>
  <c r="E6135" i="1"/>
  <c r="E6134" i="1"/>
  <c r="E6133" i="1"/>
  <c r="E6132" i="1"/>
  <c r="E6131" i="1"/>
  <c r="E6130" i="1"/>
  <c r="E6129" i="1"/>
  <c r="E6128" i="1"/>
  <c r="E6127" i="1"/>
  <c r="E6126" i="1"/>
  <c r="E6125" i="1"/>
  <c r="E6124" i="1"/>
  <c r="E6123" i="1"/>
  <c r="E6122" i="1"/>
  <c r="E6121" i="1"/>
  <c r="E6120" i="1"/>
  <c r="E6119" i="1"/>
  <c r="E6118" i="1"/>
  <c r="E6117" i="1"/>
  <c r="E6116" i="1"/>
  <c r="E6115" i="1"/>
  <c r="E6114" i="1"/>
  <c r="E6113" i="1"/>
  <c r="E6112" i="1"/>
  <c r="E6111" i="1"/>
  <c r="E6110" i="1"/>
  <c r="E6109" i="1"/>
  <c r="E6108" i="1"/>
  <c r="E6107" i="1"/>
  <c r="E6106" i="1"/>
  <c r="E6105" i="1"/>
  <c r="E6104" i="1"/>
  <c r="E6103" i="1"/>
  <c r="E6102" i="1"/>
  <c r="E6101" i="1"/>
  <c r="E6100" i="1"/>
  <c r="E6099" i="1"/>
  <c r="E6098" i="1"/>
  <c r="E6097" i="1"/>
  <c r="E6096" i="1"/>
  <c r="E6095" i="1"/>
  <c r="E6094" i="1"/>
  <c r="E6093" i="1"/>
  <c r="E6092" i="1"/>
  <c r="E6091" i="1"/>
  <c r="E6090" i="1"/>
  <c r="E6089" i="1"/>
  <c r="E6088" i="1"/>
  <c r="E6087" i="1"/>
  <c r="E6086" i="1"/>
  <c r="E6085" i="1"/>
  <c r="E6084" i="1"/>
  <c r="E6083" i="1"/>
  <c r="E6082" i="1"/>
  <c r="E6081" i="1"/>
  <c r="E6080" i="1"/>
  <c r="E6079" i="1"/>
  <c r="E6078" i="1"/>
  <c r="E6077" i="1"/>
  <c r="E6076" i="1"/>
  <c r="E6075" i="1"/>
  <c r="E6074" i="1"/>
  <c r="E6073" i="1"/>
  <c r="E6072" i="1"/>
  <c r="E6071" i="1"/>
  <c r="E6070" i="1"/>
  <c r="E6069" i="1"/>
  <c r="E6068" i="1"/>
  <c r="E6067" i="1"/>
  <c r="E6066" i="1"/>
  <c r="E6065" i="1"/>
  <c r="E6064" i="1"/>
  <c r="E6063" i="1"/>
  <c r="E6062" i="1"/>
  <c r="E6061" i="1"/>
  <c r="E6060" i="1"/>
  <c r="E6059" i="1"/>
  <c r="E6058" i="1"/>
  <c r="E6057" i="1"/>
  <c r="E6056" i="1"/>
  <c r="E6055" i="1"/>
  <c r="E6054" i="1"/>
  <c r="E6053" i="1"/>
  <c r="E6052" i="1"/>
  <c r="E6051" i="1"/>
  <c r="E6050" i="1"/>
  <c r="E6049" i="1"/>
  <c r="E6048" i="1"/>
  <c r="E6047" i="1"/>
  <c r="E6046" i="1"/>
  <c r="E6045" i="1"/>
  <c r="E6044" i="1"/>
  <c r="E6043" i="1"/>
  <c r="E6042" i="1"/>
  <c r="E6041" i="1"/>
  <c r="E6040" i="1"/>
  <c r="E6039" i="1"/>
  <c r="E6038" i="1"/>
  <c r="E6037" i="1"/>
  <c r="E6036" i="1"/>
  <c r="E6035" i="1"/>
  <c r="E6034" i="1"/>
  <c r="E6033" i="1"/>
  <c r="E6032" i="1"/>
  <c r="E6031" i="1"/>
  <c r="E6030" i="1"/>
  <c r="E6029" i="1"/>
  <c r="E6028" i="1"/>
  <c r="E6027" i="1"/>
  <c r="E6026" i="1"/>
  <c r="E6025" i="1"/>
  <c r="E6024" i="1"/>
  <c r="E6023" i="1"/>
  <c r="E6022" i="1"/>
  <c r="E6021" i="1"/>
  <c r="E6020" i="1"/>
  <c r="E6019" i="1"/>
  <c r="E6018" i="1"/>
  <c r="E6017" i="1"/>
  <c r="E6016" i="1"/>
  <c r="E6015" i="1"/>
  <c r="E6014" i="1"/>
  <c r="E6013" i="1"/>
  <c r="E6012" i="1"/>
  <c r="E6011" i="1"/>
  <c r="E6010" i="1"/>
  <c r="E6009" i="1"/>
  <c r="E6008" i="1"/>
  <c r="E6007" i="1"/>
  <c r="E6006" i="1"/>
  <c r="E6005" i="1"/>
  <c r="E6004" i="1"/>
  <c r="E6003" i="1"/>
  <c r="E6002" i="1"/>
  <c r="E6001" i="1"/>
  <c r="E6000" i="1"/>
  <c r="E5999" i="1"/>
  <c r="E5998" i="1"/>
  <c r="E5997" i="1"/>
  <c r="E5996" i="1"/>
  <c r="E5995" i="1"/>
  <c r="E5994" i="1"/>
  <c r="E5993" i="1"/>
  <c r="E5992" i="1"/>
  <c r="E5991" i="1"/>
  <c r="E5990" i="1"/>
  <c r="E5989" i="1"/>
  <c r="E5988" i="1"/>
  <c r="E5987" i="1"/>
  <c r="E5986" i="1"/>
  <c r="E5985" i="1"/>
  <c r="E5984" i="1"/>
  <c r="E5983" i="1"/>
  <c r="E5982" i="1"/>
  <c r="E5981" i="1"/>
  <c r="E5980" i="1"/>
  <c r="E5979" i="1"/>
  <c r="E5978" i="1"/>
  <c r="E5977" i="1"/>
  <c r="E5976" i="1"/>
  <c r="E5975" i="1"/>
  <c r="E5974" i="1"/>
  <c r="E5973" i="1"/>
  <c r="E5972" i="1"/>
  <c r="E5971" i="1"/>
  <c r="E5970" i="1"/>
  <c r="E5969" i="1"/>
  <c r="E5968" i="1"/>
  <c r="E5967" i="1"/>
  <c r="E5966" i="1"/>
  <c r="E5965" i="1"/>
  <c r="E5964" i="1"/>
  <c r="E5963" i="1"/>
  <c r="E5962" i="1"/>
  <c r="E5961" i="1"/>
  <c r="E5960" i="1"/>
  <c r="E5959" i="1"/>
  <c r="E5958" i="1"/>
  <c r="E5957" i="1"/>
  <c r="E5956" i="1"/>
  <c r="E5955" i="1"/>
  <c r="E5954" i="1"/>
  <c r="E5953" i="1"/>
  <c r="E5952" i="1"/>
  <c r="E5951" i="1"/>
  <c r="E5950" i="1"/>
  <c r="E5949" i="1"/>
  <c r="E5948" i="1"/>
  <c r="E5947" i="1"/>
  <c r="E5946" i="1"/>
  <c r="E5945" i="1"/>
  <c r="E5944" i="1"/>
  <c r="E5943" i="1"/>
  <c r="E5942" i="1"/>
  <c r="E5941" i="1"/>
  <c r="E5940" i="1"/>
  <c r="E5939" i="1"/>
  <c r="E5938" i="1"/>
  <c r="E5937" i="1"/>
  <c r="E5936" i="1"/>
  <c r="E5935" i="1"/>
  <c r="E5934" i="1"/>
  <c r="E5933" i="1"/>
  <c r="E5932" i="1"/>
  <c r="E5931" i="1"/>
  <c r="E5930" i="1"/>
  <c r="E5929" i="1"/>
  <c r="E5928" i="1"/>
  <c r="E5927" i="1"/>
  <c r="E5926" i="1"/>
  <c r="E5925" i="1"/>
  <c r="E5924" i="1"/>
  <c r="E5923" i="1"/>
  <c r="E5922" i="1"/>
  <c r="E5921" i="1"/>
  <c r="E5920" i="1"/>
  <c r="E5919" i="1"/>
  <c r="E5918" i="1"/>
  <c r="E5917" i="1"/>
  <c r="E5916" i="1"/>
  <c r="E5915" i="1"/>
  <c r="E5914" i="1"/>
  <c r="E5913" i="1"/>
  <c r="E5912" i="1"/>
  <c r="E5911" i="1"/>
  <c r="E5910" i="1"/>
  <c r="E5909" i="1"/>
  <c r="E5908" i="1"/>
  <c r="E5907" i="1"/>
  <c r="E5906" i="1"/>
  <c r="E5905" i="1"/>
  <c r="E5904" i="1"/>
  <c r="E5903" i="1"/>
  <c r="E5902" i="1"/>
  <c r="E5901" i="1"/>
  <c r="E5900" i="1"/>
  <c r="E5899" i="1"/>
  <c r="E5898" i="1"/>
  <c r="E5897" i="1"/>
  <c r="E5896" i="1"/>
  <c r="E5895" i="1"/>
  <c r="E5894" i="1"/>
  <c r="E5893" i="1"/>
  <c r="E5892" i="1"/>
  <c r="E5891" i="1"/>
  <c r="E5890" i="1"/>
  <c r="E5889" i="1"/>
  <c r="E5888" i="1"/>
  <c r="E5887" i="1"/>
  <c r="E5886" i="1"/>
  <c r="E5885" i="1"/>
  <c r="E5884" i="1"/>
  <c r="E5883" i="1"/>
  <c r="E5882" i="1"/>
  <c r="E5881" i="1"/>
  <c r="E5880" i="1"/>
  <c r="E5879" i="1"/>
  <c r="E5878" i="1"/>
  <c r="E5877" i="1"/>
  <c r="E5876" i="1"/>
  <c r="E5875" i="1"/>
  <c r="E5874" i="1"/>
  <c r="E5873" i="1"/>
  <c r="E5872" i="1"/>
  <c r="E5871" i="1"/>
  <c r="E5870" i="1"/>
  <c r="E5869" i="1"/>
  <c r="E5868" i="1"/>
  <c r="E5867" i="1"/>
  <c r="E5866" i="1"/>
  <c r="E5865" i="1"/>
  <c r="E5864" i="1"/>
  <c r="E5863" i="1"/>
  <c r="E5862" i="1"/>
  <c r="E5861" i="1"/>
  <c r="E5860" i="1"/>
  <c r="E5859" i="1"/>
  <c r="E5858" i="1"/>
  <c r="E5857" i="1"/>
  <c r="E5856" i="1"/>
  <c r="E5855" i="1"/>
  <c r="E5854" i="1"/>
  <c r="E5853" i="1"/>
  <c r="E5852" i="1"/>
  <c r="E5851" i="1"/>
  <c r="E5850" i="1"/>
  <c r="E5849" i="1"/>
  <c r="E5848" i="1"/>
  <c r="E5847" i="1"/>
  <c r="E5846" i="1"/>
  <c r="E5845" i="1"/>
  <c r="E5844" i="1"/>
  <c r="E5843" i="1"/>
  <c r="E5842" i="1"/>
  <c r="E5841" i="1"/>
  <c r="E5840" i="1"/>
  <c r="E5839" i="1"/>
  <c r="E5838" i="1"/>
  <c r="E5837" i="1"/>
  <c r="E5836" i="1"/>
  <c r="E5835" i="1"/>
  <c r="E5834" i="1"/>
  <c r="E5833" i="1"/>
  <c r="E5832" i="1"/>
  <c r="E5831" i="1"/>
  <c r="E5830" i="1"/>
  <c r="E5829" i="1"/>
  <c r="E5828" i="1"/>
  <c r="E5827" i="1"/>
  <c r="E5826" i="1"/>
  <c r="E5825" i="1"/>
  <c r="E5824" i="1"/>
  <c r="E5823" i="1"/>
  <c r="E5822" i="1"/>
  <c r="E5821" i="1"/>
  <c r="E5820" i="1"/>
  <c r="E5819" i="1"/>
  <c r="E5818" i="1"/>
  <c r="E5817" i="1"/>
  <c r="E5816" i="1"/>
  <c r="E5815" i="1"/>
  <c r="E5814" i="1"/>
  <c r="E5813" i="1"/>
  <c r="E5812" i="1"/>
  <c r="E5811" i="1"/>
  <c r="E5810" i="1"/>
  <c r="E5809" i="1"/>
  <c r="E5808" i="1"/>
  <c r="E5807" i="1"/>
  <c r="E5806" i="1"/>
  <c r="E5805" i="1"/>
  <c r="E5804" i="1"/>
  <c r="E5803" i="1"/>
  <c r="E5802" i="1"/>
  <c r="E5801" i="1"/>
  <c r="E5800" i="1"/>
  <c r="E5799" i="1"/>
  <c r="E5798" i="1"/>
  <c r="E5797" i="1"/>
  <c r="E5796" i="1"/>
  <c r="E5795" i="1"/>
  <c r="E5794" i="1"/>
  <c r="E5793" i="1"/>
  <c r="E5792" i="1"/>
  <c r="E5791" i="1"/>
  <c r="E5790" i="1"/>
  <c r="E5789" i="1"/>
  <c r="E5788" i="1"/>
  <c r="E5787" i="1"/>
  <c r="E5786" i="1"/>
  <c r="E5785" i="1"/>
  <c r="E5784" i="1"/>
  <c r="E5783" i="1"/>
  <c r="E5782" i="1"/>
  <c r="E5781" i="1"/>
  <c r="E5780" i="1"/>
  <c r="E5779" i="1"/>
  <c r="E5778" i="1"/>
  <c r="E5777" i="1"/>
  <c r="E5776" i="1"/>
  <c r="E5775" i="1"/>
  <c r="E5774" i="1"/>
  <c r="E5773" i="1"/>
  <c r="E5772" i="1"/>
  <c r="E5771" i="1"/>
  <c r="E5770" i="1"/>
  <c r="E5769" i="1"/>
  <c r="E5768" i="1"/>
  <c r="E5767" i="1"/>
  <c r="E5766" i="1"/>
  <c r="E5765" i="1"/>
  <c r="E5764" i="1"/>
  <c r="E5763" i="1"/>
  <c r="E5762" i="1"/>
  <c r="E5761" i="1"/>
  <c r="E5760" i="1"/>
  <c r="E5759" i="1"/>
  <c r="E5758" i="1"/>
  <c r="E5757" i="1"/>
  <c r="E5756" i="1"/>
  <c r="E5755" i="1"/>
  <c r="E5754" i="1"/>
  <c r="E5753" i="1"/>
  <c r="E5752" i="1"/>
  <c r="E5751" i="1"/>
  <c r="E5750" i="1"/>
  <c r="E5749" i="1"/>
  <c r="E5748" i="1"/>
  <c r="E5747" i="1"/>
  <c r="E5746" i="1"/>
  <c r="E5745" i="1"/>
  <c r="E5744" i="1"/>
  <c r="E5743" i="1"/>
  <c r="E5742" i="1"/>
  <c r="E5741" i="1"/>
  <c r="E5740" i="1"/>
  <c r="E5739" i="1"/>
  <c r="E5738" i="1"/>
  <c r="E5737" i="1"/>
  <c r="E5736" i="1"/>
  <c r="E5735" i="1"/>
  <c r="E5734" i="1"/>
  <c r="E5733" i="1"/>
  <c r="E5732" i="1"/>
  <c r="E5731" i="1"/>
  <c r="E5730" i="1"/>
  <c r="E5729" i="1"/>
  <c r="E5728" i="1"/>
  <c r="E5727" i="1"/>
  <c r="E5726" i="1"/>
  <c r="E5725" i="1"/>
  <c r="E5724" i="1"/>
  <c r="E5723" i="1"/>
  <c r="E5722" i="1"/>
  <c r="E5721" i="1"/>
  <c r="E5720" i="1"/>
  <c r="E5719" i="1"/>
  <c r="E5718" i="1"/>
  <c r="E5717" i="1"/>
  <c r="E5716" i="1"/>
  <c r="E5715" i="1"/>
  <c r="E5714" i="1"/>
  <c r="E5713" i="1"/>
  <c r="E5712" i="1"/>
  <c r="E5711" i="1"/>
  <c r="E5710" i="1"/>
  <c r="E5709" i="1"/>
  <c r="E5708" i="1"/>
  <c r="E5707" i="1"/>
  <c r="E5706" i="1"/>
  <c r="E5705" i="1"/>
  <c r="E5704" i="1"/>
  <c r="E5703" i="1"/>
  <c r="E5702" i="1"/>
  <c r="E5701" i="1"/>
  <c r="E5700" i="1"/>
  <c r="E5699" i="1"/>
  <c r="E5698" i="1"/>
  <c r="E5697" i="1"/>
  <c r="E5696" i="1"/>
  <c r="E5695" i="1"/>
  <c r="E5694" i="1"/>
  <c r="E5693" i="1"/>
  <c r="E5692" i="1"/>
  <c r="E5691" i="1"/>
  <c r="E5690" i="1"/>
  <c r="E5689" i="1"/>
  <c r="E5688" i="1"/>
  <c r="E5687" i="1"/>
  <c r="E5686" i="1"/>
  <c r="E5685" i="1"/>
  <c r="E5684" i="1"/>
  <c r="E5683" i="1"/>
  <c r="E5682" i="1"/>
  <c r="E5681" i="1"/>
  <c r="E5680" i="1"/>
  <c r="E5679" i="1"/>
  <c r="E5678" i="1"/>
  <c r="E5677" i="1"/>
  <c r="E5676" i="1"/>
  <c r="E5675" i="1"/>
  <c r="E5674" i="1"/>
  <c r="E5673" i="1"/>
  <c r="E5672" i="1"/>
  <c r="E5671" i="1"/>
  <c r="E5670" i="1"/>
  <c r="E5669" i="1"/>
  <c r="E5668" i="1"/>
  <c r="E5667" i="1"/>
  <c r="E5666" i="1"/>
  <c r="E5665" i="1"/>
  <c r="E5664" i="1"/>
  <c r="E5663" i="1"/>
  <c r="E5662" i="1"/>
  <c r="E5661" i="1"/>
  <c r="E5660" i="1"/>
  <c r="E5659" i="1"/>
  <c r="E5658" i="1"/>
  <c r="E5657" i="1"/>
  <c r="E5656" i="1"/>
  <c r="E5655" i="1"/>
  <c r="E5654" i="1"/>
  <c r="E5653" i="1"/>
  <c r="E5652" i="1"/>
  <c r="E5651" i="1"/>
  <c r="E5650" i="1"/>
  <c r="E5649" i="1"/>
  <c r="E5648" i="1"/>
  <c r="E5647" i="1"/>
  <c r="E5646" i="1"/>
  <c r="E5645" i="1"/>
  <c r="E5644" i="1"/>
  <c r="E5643" i="1"/>
  <c r="E5642" i="1"/>
  <c r="E5641" i="1"/>
  <c r="E5640" i="1"/>
  <c r="E5639" i="1"/>
  <c r="E5638" i="1"/>
  <c r="E5637" i="1"/>
  <c r="E5636" i="1"/>
  <c r="E5635" i="1"/>
  <c r="E5634" i="1"/>
  <c r="E5633" i="1"/>
  <c r="E5632" i="1"/>
  <c r="E5631" i="1"/>
  <c r="E5630" i="1"/>
  <c r="E5629" i="1"/>
  <c r="E5628" i="1"/>
  <c r="E5627" i="1"/>
  <c r="E5626" i="1"/>
  <c r="E5625" i="1"/>
  <c r="E5624" i="1"/>
  <c r="E5623" i="1"/>
  <c r="E5622" i="1"/>
  <c r="E5621" i="1"/>
  <c r="E5620" i="1"/>
  <c r="E5619" i="1"/>
  <c r="E5618" i="1"/>
  <c r="E5617" i="1"/>
  <c r="E5616" i="1"/>
  <c r="E5615" i="1"/>
  <c r="E5614" i="1"/>
  <c r="E5613" i="1"/>
  <c r="E5612" i="1"/>
  <c r="E5611" i="1"/>
  <c r="E5610" i="1"/>
  <c r="E5609" i="1"/>
  <c r="E5608" i="1"/>
  <c r="E5607" i="1"/>
  <c r="E5606" i="1"/>
  <c r="E5605" i="1"/>
  <c r="E5604" i="1"/>
  <c r="E5603" i="1"/>
  <c r="E5602" i="1"/>
  <c r="E5601" i="1"/>
  <c r="E5600" i="1"/>
  <c r="E5599" i="1"/>
  <c r="E5598" i="1"/>
  <c r="E5597" i="1"/>
  <c r="E5596" i="1"/>
  <c r="E5595" i="1"/>
  <c r="E5594" i="1"/>
  <c r="E5593" i="1"/>
  <c r="E5592" i="1"/>
  <c r="E5591" i="1"/>
  <c r="E5590" i="1"/>
  <c r="E5589" i="1"/>
  <c r="E5588" i="1"/>
  <c r="E5587" i="1"/>
  <c r="E5586" i="1"/>
  <c r="E5585" i="1"/>
  <c r="E5584" i="1"/>
  <c r="E5583" i="1"/>
  <c r="E5582" i="1"/>
  <c r="E5581" i="1"/>
  <c r="E5580" i="1"/>
  <c r="E5579" i="1"/>
  <c r="E5578" i="1"/>
  <c r="E5577" i="1"/>
  <c r="E5576" i="1"/>
  <c r="E5575" i="1"/>
  <c r="E5574" i="1"/>
  <c r="E5573" i="1"/>
  <c r="E5572" i="1"/>
  <c r="E5571" i="1"/>
  <c r="E5570" i="1"/>
  <c r="E5569" i="1"/>
  <c r="E5568" i="1"/>
  <c r="E5567" i="1"/>
  <c r="E5566" i="1"/>
  <c r="E5565" i="1"/>
  <c r="E5564" i="1"/>
  <c r="E5563" i="1"/>
  <c r="E5562" i="1"/>
  <c r="E5561" i="1"/>
  <c r="E5560" i="1"/>
  <c r="E5559" i="1"/>
  <c r="E5558" i="1"/>
  <c r="E5557" i="1"/>
  <c r="E5556" i="1"/>
  <c r="E5555" i="1"/>
  <c r="E5554" i="1"/>
  <c r="E5553" i="1"/>
  <c r="E5552" i="1"/>
  <c r="E5551" i="1"/>
  <c r="E5550" i="1"/>
  <c r="E5549" i="1"/>
  <c r="E5548" i="1"/>
  <c r="E5547" i="1"/>
  <c r="E5546" i="1"/>
  <c r="E5545" i="1"/>
  <c r="E5544" i="1"/>
  <c r="E5543" i="1"/>
  <c r="E5542" i="1"/>
  <c r="E5541" i="1"/>
  <c r="E5540" i="1"/>
  <c r="E5539" i="1"/>
  <c r="E5538" i="1"/>
  <c r="E5537" i="1"/>
  <c r="E5536" i="1"/>
  <c r="E5535" i="1"/>
  <c r="E5534" i="1"/>
  <c r="E5533" i="1"/>
  <c r="E5532" i="1"/>
  <c r="E5531" i="1"/>
  <c r="E5530" i="1"/>
  <c r="E5529" i="1"/>
  <c r="E5528" i="1"/>
  <c r="E5527" i="1"/>
  <c r="E5526" i="1"/>
  <c r="E5525" i="1"/>
  <c r="E5524" i="1"/>
  <c r="E5523" i="1"/>
  <c r="E5522" i="1"/>
  <c r="E5521" i="1"/>
  <c r="E5520" i="1"/>
  <c r="E5519" i="1"/>
  <c r="E5518" i="1"/>
  <c r="E5517" i="1"/>
  <c r="E5516" i="1"/>
  <c r="E5515" i="1"/>
  <c r="E5514" i="1"/>
  <c r="E5513" i="1"/>
  <c r="E5512" i="1"/>
  <c r="E5511" i="1"/>
  <c r="E5510" i="1"/>
  <c r="E5509" i="1"/>
  <c r="E5508" i="1"/>
  <c r="E5507" i="1"/>
  <c r="E5506" i="1"/>
  <c r="E5505" i="1"/>
  <c r="E5504" i="1"/>
  <c r="E5503" i="1"/>
  <c r="E5502" i="1"/>
  <c r="E5501" i="1"/>
  <c r="E5500" i="1"/>
  <c r="E5499" i="1"/>
  <c r="E5498" i="1"/>
  <c r="E5497" i="1"/>
  <c r="E5496" i="1"/>
  <c r="E5495" i="1"/>
  <c r="E5494" i="1"/>
  <c r="E5493" i="1"/>
  <c r="E5492" i="1"/>
  <c r="E5491" i="1"/>
  <c r="E5490" i="1"/>
  <c r="E5489" i="1"/>
  <c r="E5488" i="1"/>
  <c r="E5487" i="1"/>
  <c r="E5486" i="1"/>
  <c r="E5485" i="1"/>
  <c r="E5484" i="1"/>
  <c r="E5483" i="1"/>
  <c r="E5482" i="1"/>
  <c r="E5481" i="1"/>
  <c r="E5480" i="1"/>
  <c r="E5479" i="1"/>
  <c r="E5478" i="1"/>
  <c r="E5477" i="1"/>
  <c r="E5476" i="1"/>
  <c r="E5475" i="1"/>
  <c r="E5474" i="1"/>
  <c r="E5473" i="1"/>
  <c r="E5472" i="1"/>
  <c r="E5471" i="1"/>
  <c r="E5470" i="1"/>
  <c r="E5469" i="1"/>
  <c r="E5468" i="1"/>
  <c r="E5467" i="1"/>
  <c r="E5466" i="1"/>
  <c r="E5465" i="1"/>
  <c r="E5464" i="1"/>
  <c r="E5463" i="1"/>
  <c r="E5462" i="1"/>
  <c r="E5461" i="1"/>
  <c r="E5460" i="1"/>
  <c r="E5459" i="1"/>
  <c r="E5458" i="1"/>
  <c r="E5457" i="1"/>
  <c r="E5456" i="1"/>
  <c r="E5455" i="1"/>
  <c r="E5454" i="1"/>
  <c r="E5453" i="1"/>
  <c r="E5452" i="1"/>
  <c r="E5451" i="1"/>
  <c r="E5450" i="1"/>
  <c r="E5449" i="1"/>
  <c r="E5448" i="1"/>
  <c r="E5447" i="1"/>
  <c r="E5446" i="1"/>
  <c r="E5445" i="1"/>
  <c r="E5444" i="1"/>
  <c r="E5443" i="1"/>
  <c r="E5442" i="1"/>
  <c r="E5441" i="1"/>
  <c r="E5440" i="1"/>
  <c r="E5439" i="1"/>
  <c r="E5438" i="1"/>
  <c r="E5437" i="1"/>
  <c r="E5436" i="1"/>
  <c r="E5435" i="1"/>
  <c r="E5434" i="1"/>
  <c r="E5433" i="1"/>
  <c r="E5432" i="1"/>
  <c r="E5431" i="1"/>
  <c r="E5430" i="1"/>
  <c r="E5429" i="1"/>
  <c r="E5428" i="1"/>
  <c r="E5427" i="1"/>
  <c r="E5426" i="1"/>
  <c r="E5425" i="1"/>
  <c r="E5424" i="1"/>
  <c r="E5423" i="1"/>
  <c r="E5422" i="1"/>
  <c r="E5421" i="1"/>
  <c r="E5420" i="1"/>
  <c r="E5419" i="1"/>
  <c r="E5418" i="1"/>
  <c r="E5417" i="1"/>
  <c r="E5416" i="1"/>
  <c r="E5415" i="1"/>
  <c r="E5414" i="1"/>
  <c r="E5413" i="1"/>
  <c r="E5412" i="1"/>
  <c r="E5411" i="1"/>
  <c r="E5410" i="1"/>
  <c r="E5409" i="1"/>
  <c r="E5408" i="1"/>
  <c r="E5407" i="1"/>
  <c r="E5406" i="1"/>
  <c r="E5405" i="1"/>
  <c r="E5404" i="1"/>
  <c r="E5403" i="1"/>
  <c r="E5402" i="1"/>
  <c r="E5401" i="1"/>
  <c r="E5400" i="1"/>
  <c r="E5399" i="1"/>
  <c r="E5398" i="1"/>
  <c r="E5397" i="1"/>
  <c r="E5396" i="1"/>
  <c r="E5395" i="1"/>
  <c r="E5394" i="1"/>
  <c r="E5393" i="1"/>
  <c r="E5392" i="1"/>
  <c r="E5391" i="1"/>
  <c r="E5390" i="1"/>
  <c r="E5389" i="1"/>
  <c r="E5388" i="1"/>
  <c r="E5387" i="1"/>
  <c r="E5386" i="1"/>
  <c r="E5385" i="1"/>
  <c r="E5384" i="1"/>
  <c r="E5383" i="1"/>
  <c r="E5382" i="1"/>
  <c r="E5381" i="1"/>
  <c r="E5380" i="1"/>
  <c r="E5379" i="1"/>
  <c r="E5378" i="1"/>
  <c r="E5377" i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A8612" i="1" l="1"/>
  <c r="A8611" i="1"/>
  <c r="A8610" i="1"/>
  <c r="A8609" i="1"/>
  <c r="A8608" i="1"/>
  <c r="A8607" i="1"/>
  <c r="A8606" i="1"/>
  <c r="A8605" i="1"/>
  <c r="A8604" i="1"/>
  <c r="A8603" i="1"/>
  <c r="A8602" i="1"/>
  <c r="A8601" i="1"/>
  <c r="A8600" i="1"/>
  <c r="A8599" i="1"/>
  <c r="A8598" i="1"/>
  <c r="A8597" i="1"/>
  <c r="A8596" i="1"/>
  <c r="A8595" i="1"/>
  <c r="A8594" i="1"/>
  <c r="A8593" i="1"/>
  <c r="A8592" i="1"/>
  <c r="A8591" i="1"/>
  <c r="A8590" i="1"/>
  <c r="A8589" i="1"/>
  <c r="A8588" i="1"/>
  <c r="A8587" i="1"/>
  <c r="A8586" i="1"/>
  <c r="A8585" i="1"/>
  <c r="A8584" i="1"/>
  <c r="A8583" i="1"/>
  <c r="A8582" i="1"/>
  <c r="A8581" i="1"/>
  <c r="A8580" i="1"/>
  <c r="A8579" i="1"/>
  <c r="A8578" i="1"/>
  <c r="A8577" i="1"/>
  <c r="A8576" i="1"/>
  <c r="A8575" i="1"/>
  <c r="A8574" i="1"/>
  <c r="A8573" i="1"/>
  <c r="A8572" i="1"/>
  <c r="A8571" i="1"/>
  <c r="A8570" i="1"/>
  <c r="A8569" i="1"/>
  <c r="A8568" i="1"/>
  <c r="A8567" i="1"/>
  <c r="A8566" i="1"/>
  <c r="A8565" i="1"/>
  <c r="A8564" i="1"/>
  <c r="A8563" i="1"/>
  <c r="A8562" i="1"/>
  <c r="A8561" i="1"/>
  <c r="A8560" i="1"/>
  <c r="A8559" i="1"/>
  <c r="A8558" i="1"/>
  <c r="A8557" i="1"/>
  <c r="A8556" i="1"/>
  <c r="A8555" i="1"/>
  <c r="A8554" i="1"/>
  <c r="A8553" i="1"/>
  <c r="A8552" i="1"/>
  <c r="A8551" i="1"/>
  <c r="A8550" i="1"/>
  <c r="A8549" i="1"/>
  <c r="A8548" i="1"/>
  <c r="A8547" i="1"/>
  <c r="A8546" i="1"/>
  <c r="A8545" i="1"/>
  <c r="A8544" i="1"/>
  <c r="A8543" i="1"/>
  <c r="A8542" i="1"/>
  <c r="A8541" i="1"/>
  <c r="A8540" i="1"/>
  <c r="A8539" i="1"/>
  <c r="A8538" i="1"/>
  <c r="A8537" i="1"/>
  <c r="A8536" i="1"/>
  <c r="A8535" i="1"/>
  <c r="A8534" i="1"/>
  <c r="A8533" i="1"/>
  <c r="A8532" i="1"/>
  <c r="A8531" i="1"/>
  <c r="A8530" i="1"/>
  <c r="A8529" i="1"/>
  <c r="A8528" i="1"/>
  <c r="A8527" i="1"/>
  <c r="A8526" i="1"/>
  <c r="A8525" i="1"/>
  <c r="A8524" i="1"/>
  <c r="A8523" i="1"/>
  <c r="A8522" i="1"/>
  <c r="A8521" i="1"/>
  <c r="A8520" i="1"/>
  <c r="A8519" i="1"/>
  <c r="A8518" i="1"/>
  <c r="A8517" i="1"/>
  <c r="A8516" i="1"/>
  <c r="A8515" i="1"/>
  <c r="A8514" i="1"/>
  <c r="A8513" i="1"/>
  <c r="A8512" i="1"/>
  <c r="A8511" i="1"/>
  <c r="A8510" i="1"/>
  <c r="A8509" i="1"/>
  <c r="A8508" i="1"/>
  <c r="A8507" i="1"/>
  <c r="A8506" i="1"/>
  <c r="A8505" i="1"/>
  <c r="A8504" i="1"/>
  <c r="A8503" i="1"/>
  <c r="A8502" i="1"/>
  <c r="A8501" i="1"/>
  <c r="A8500" i="1"/>
  <c r="A8499" i="1"/>
  <c r="A8498" i="1"/>
  <c r="A8497" i="1"/>
  <c r="A8496" i="1"/>
  <c r="A8495" i="1"/>
  <c r="A8494" i="1"/>
  <c r="A8493" i="1"/>
  <c r="A8492" i="1"/>
  <c r="A8491" i="1"/>
  <c r="A8490" i="1"/>
  <c r="A8489" i="1"/>
  <c r="A8488" i="1"/>
  <c r="A8487" i="1"/>
  <c r="A8486" i="1"/>
  <c r="A8485" i="1"/>
  <c r="A8484" i="1"/>
  <c r="A8483" i="1"/>
  <c r="A8482" i="1"/>
  <c r="A8481" i="1"/>
  <c r="A8480" i="1"/>
  <c r="A8479" i="1"/>
  <c r="A8478" i="1"/>
  <c r="A8477" i="1"/>
  <c r="A8476" i="1"/>
  <c r="A8475" i="1"/>
  <c r="A8474" i="1"/>
  <c r="A8473" i="1"/>
  <c r="A8472" i="1"/>
  <c r="A8471" i="1"/>
  <c r="A8470" i="1"/>
  <c r="A8469" i="1"/>
  <c r="A8468" i="1"/>
  <c r="A8467" i="1"/>
  <c r="A8466" i="1"/>
  <c r="A8465" i="1"/>
  <c r="A8464" i="1"/>
  <c r="A8463" i="1"/>
  <c r="A8462" i="1"/>
  <c r="A8461" i="1"/>
  <c r="A8460" i="1"/>
  <c r="A8459" i="1"/>
  <c r="A8458" i="1"/>
  <c r="A8457" i="1"/>
  <c r="A8456" i="1"/>
  <c r="A8455" i="1"/>
  <c r="A8454" i="1"/>
  <c r="A8453" i="1"/>
  <c r="A8452" i="1"/>
  <c r="A8451" i="1"/>
  <c r="A8450" i="1"/>
  <c r="A8449" i="1"/>
  <c r="A8448" i="1"/>
  <c r="A8447" i="1"/>
  <c r="A8446" i="1"/>
  <c r="A8445" i="1"/>
  <c r="A8444" i="1"/>
  <c r="A8443" i="1"/>
  <c r="A8442" i="1"/>
  <c r="A8441" i="1"/>
  <c r="A8440" i="1"/>
  <c r="A8439" i="1"/>
  <c r="A8438" i="1"/>
  <c r="A8437" i="1"/>
  <c r="A8436" i="1"/>
  <c r="A8435" i="1"/>
  <c r="A8434" i="1"/>
  <c r="A8433" i="1"/>
  <c r="A8432" i="1"/>
  <c r="A8431" i="1"/>
  <c r="A8430" i="1"/>
  <c r="A8429" i="1"/>
  <c r="A8428" i="1"/>
  <c r="A8427" i="1"/>
  <c r="A8426" i="1"/>
  <c r="A8425" i="1"/>
  <c r="A8424" i="1"/>
  <c r="A8423" i="1"/>
  <c r="A8422" i="1"/>
  <c r="A8421" i="1"/>
  <c r="A8420" i="1"/>
  <c r="A8419" i="1"/>
  <c r="A8418" i="1"/>
  <c r="A8417" i="1"/>
  <c r="A8416" i="1"/>
  <c r="A8415" i="1"/>
  <c r="A8414" i="1"/>
  <c r="A8413" i="1"/>
  <c r="A8412" i="1"/>
  <c r="A8411" i="1"/>
  <c r="A8410" i="1"/>
  <c r="A8409" i="1"/>
  <c r="A8408" i="1"/>
  <c r="A8407" i="1"/>
  <c r="A8406" i="1"/>
  <c r="A8405" i="1"/>
  <c r="A8404" i="1"/>
  <c r="A8403" i="1"/>
  <c r="A8402" i="1"/>
  <c r="A8401" i="1"/>
  <c r="A8400" i="1"/>
  <c r="A8399" i="1"/>
  <c r="A8398" i="1"/>
  <c r="A8397" i="1"/>
  <c r="A8396" i="1"/>
  <c r="A8395" i="1"/>
  <c r="A8394" i="1"/>
  <c r="A8393" i="1"/>
  <c r="A8392" i="1"/>
  <c r="A8391" i="1"/>
  <c r="A8390" i="1"/>
  <c r="A8389" i="1"/>
  <c r="A8388" i="1"/>
  <c r="A8387" i="1"/>
  <c r="A8386" i="1"/>
  <c r="A8385" i="1"/>
  <c r="A8384" i="1"/>
  <c r="A8383" i="1"/>
  <c r="A8382" i="1"/>
  <c r="A8381" i="1"/>
  <c r="A8380" i="1"/>
  <c r="A8379" i="1"/>
  <c r="A8378" i="1"/>
  <c r="A8377" i="1"/>
  <c r="A8376" i="1"/>
  <c r="A8375" i="1"/>
  <c r="A8374" i="1"/>
  <c r="A8373" i="1"/>
  <c r="A8372" i="1"/>
  <c r="A8371" i="1"/>
  <c r="A8370" i="1"/>
  <c r="A8369" i="1"/>
  <c r="A8368" i="1"/>
  <c r="A8367" i="1"/>
  <c r="A8366" i="1"/>
  <c r="A8365" i="1"/>
  <c r="A8364" i="1"/>
  <c r="A8363" i="1"/>
  <c r="A8362" i="1"/>
  <c r="A8361" i="1"/>
  <c r="A8360" i="1"/>
  <c r="A8359" i="1"/>
  <c r="A8358" i="1"/>
  <c r="A8357" i="1"/>
  <c r="A8356" i="1"/>
  <c r="A8355" i="1"/>
  <c r="A8354" i="1"/>
  <c r="A8353" i="1"/>
  <c r="A8352" i="1"/>
  <c r="A8351" i="1"/>
  <c r="A8350" i="1"/>
  <c r="A8349" i="1"/>
  <c r="A8348" i="1"/>
  <c r="A8347" i="1"/>
  <c r="A8346" i="1"/>
  <c r="A8345" i="1"/>
  <c r="A8344" i="1"/>
  <c r="A8343" i="1"/>
  <c r="A8342" i="1"/>
  <c r="A8341" i="1"/>
  <c r="A8340" i="1"/>
  <c r="A8339" i="1"/>
  <c r="A8338" i="1"/>
  <c r="A8337" i="1"/>
  <c r="A8336" i="1"/>
  <c r="A8335" i="1"/>
  <c r="A8334" i="1"/>
  <c r="A8333" i="1"/>
  <c r="A8332" i="1"/>
  <c r="A8331" i="1"/>
  <c r="A8330" i="1"/>
  <c r="A8329" i="1"/>
  <c r="A8328" i="1"/>
  <c r="A8327" i="1"/>
  <c r="A8326" i="1"/>
  <c r="A8325" i="1"/>
  <c r="A8324" i="1"/>
  <c r="A8323" i="1"/>
  <c r="A8322" i="1"/>
  <c r="A8321" i="1"/>
  <c r="A8320" i="1"/>
  <c r="A8319" i="1"/>
  <c r="A8318" i="1"/>
  <c r="A8317" i="1"/>
  <c r="A8316" i="1"/>
  <c r="A8315" i="1"/>
  <c r="A8314" i="1"/>
  <c r="A8313" i="1"/>
  <c r="A8312" i="1"/>
  <c r="A8311" i="1"/>
  <c r="A8310" i="1"/>
  <c r="A8309" i="1"/>
  <c r="A8308" i="1"/>
  <c r="A8307" i="1"/>
  <c r="A8306" i="1"/>
  <c r="A8305" i="1"/>
  <c r="A8304" i="1"/>
  <c r="A8303" i="1"/>
  <c r="A8302" i="1"/>
  <c r="A8301" i="1"/>
  <c r="A8300" i="1"/>
  <c r="A8299" i="1"/>
  <c r="A8298" i="1"/>
  <c r="A8297" i="1"/>
  <c r="A8296" i="1"/>
  <c r="A8295" i="1"/>
  <c r="A8294" i="1"/>
  <c r="A8293" i="1"/>
  <c r="A8292" i="1"/>
  <c r="A8291" i="1"/>
  <c r="A8290" i="1"/>
  <c r="A8289" i="1"/>
  <c r="A8288" i="1"/>
  <c r="A8287" i="1"/>
  <c r="A8286" i="1"/>
  <c r="A8285" i="1"/>
  <c r="A8284" i="1"/>
  <c r="A8283" i="1"/>
  <c r="A8282" i="1"/>
  <c r="A8281" i="1"/>
  <c r="A8280" i="1"/>
  <c r="A8279" i="1"/>
  <c r="A8278" i="1"/>
  <c r="A8277" i="1"/>
  <c r="A8276" i="1"/>
  <c r="A8275" i="1"/>
  <c r="A8274" i="1"/>
  <c r="A8273" i="1"/>
  <c r="A8272" i="1"/>
  <c r="A8271" i="1"/>
  <c r="A8270" i="1"/>
  <c r="A8269" i="1"/>
  <c r="A8268" i="1"/>
  <c r="A8267" i="1"/>
  <c r="A8266" i="1"/>
  <c r="A8265" i="1"/>
  <c r="A8264" i="1"/>
  <c r="A8263" i="1"/>
  <c r="A8262" i="1"/>
  <c r="A8261" i="1"/>
  <c r="A8260" i="1"/>
  <c r="A8259" i="1"/>
  <c r="A8258" i="1"/>
  <c r="A8257" i="1"/>
  <c r="A8256" i="1"/>
  <c r="A8255" i="1"/>
  <c r="A8254" i="1"/>
  <c r="A8253" i="1"/>
  <c r="A8252" i="1"/>
  <c r="A8251" i="1"/>
  <c r="A8250" i="1"/>
  <c r="A8249" i="1"/>
  <c r="A8248" i="1"/>
  <c r="A8247" i="1"/>
  <c r="A8246" i="1"/>
  <c r="A8245" i="1"/>
  <c r="A8244" i="1"/>
  <c r="A8243" i="1"/>
  <c r="A8242" i="1"/>
  <c r="A8241" i="1"/>
  <c r="A8240" i="1"/>
  <c r="A8239" i="1"/>
  <c r="A8238" i="1"/>
  <c r="A8237" i="1"/>
  <c r="A8236" i="1"/>
  <c r="A8235" i="1"/>
  <c r="A8234" i="1"/>
  <c r="A8233" i="1"/>
  <c r="A8232" i="1"/>
  <c r="A8231" i="1"/>
  <c r="A8230" i="1"/>
  <c r="A8229" i="1"/>
  <c r="A8228" i="1"/>
  <c r="A8227" i="1"/>
  <c r="A8226" i="1"/>
  <c r="A8225" i="1"/>
  <c r="A8224" i="1"/>
  <c r="A8223" i="1"/>
  <c r="A8222" i="1"/>
  <c r="A8221" i="1"/>
  <c r="A8220" i="1"/>
  <c r="A8219" i="1"/>
  <c r="A8218" i="1"/>
  <c r="A8217" i="1"/>
  <c r="A8216" i="1"/>
  <c r="A8215" i="1"/>
  <c r="A8214" i="1"/>
  <c r="A8213" i="1"/>
  <c r="A8212" i="1"/>
  <c r="A8211" i="1"/>
  <c r="A8210" i="1"/>
  <c r="A8209" i="1"/>
  <c r="A8208" i="1"/>
  <c r="A8207" i="1"/>
  <c r="A8206" i="1"/>
  <c r="A8205" i="1"/>
  <c r="A8204" i="1"/>
  <c r="A8203" i="1"/>
  <c r="A8202" i="1"/>
  <c r="A8201" i="1"/>
  <c r="A8200" i="1"/>
  <c r="A8199" i="1"/>
  <c r="A8198" i="1"/>
  <c r="A8197" i="1"/>
  <c r="A8196" i="1"/>
  <c r="A8195" i="1"/>
  <c r="A8194" i="1"/>
  <c r="A8193" i="1"/>
  <c r="A8192" i="1"/>
  <c r="A8191" i="1"/>
  <c r="A8190" i="1"/>
  <c r="A8189" i="1"/>
  <c r="A8188" i="1"/>
  <c r="A8187" i="1"/>
  <c r="A8186" i="1"/>
  <c r="A8185" i="1"/>
  <c r="A8184" i="1"/>
  <c r="A8183" i="1"/>
  <c r="A8182" i="1"/>
  <c r="A8181" i="1"/>
  <c r="A8180" i="1"/>
  <c r="A8179" i="1"/>
  <c r="A8178" i="1"/>
  <c r="A8177" i="1"/>
  <c r="A8176" i="1"/>
  <c r="A8175" i="1"/>
  <c r="A8174" i="1"/>
  <c r="A8173" i="1"/>
  <c r="A8172" i="1"/>
  <c r="A8171" i="1"/>
  <c r="A8170" i="1"/>
  <c r="A8169" i="1"/>
  <c r="A8168" i="1"/>
  <c r="A8167" i="1"/>
  <c r="A8166" i="1"/>
  <c r="A8165" i="1"/>
  <c r="A8164" i="1"/>
  <c r="A8163" i="1"/>
  <c r="A8162" i="1"/>
  <c r="A8161" i="1"/>
  <c r="A8160" i="1"/>
  <c r="A8159" i="1"/>
  <c r="A8158" i="1"/>
  <c r="A8157" i="1"/>
  <c r="A8156" i="1"/>
  <c r="A8155" i="1"/>
  <c r="A8154" i="1"/>
  <c r="A8153" i="1"/>
  <c r="A8152" i="1"/>
  <c r="A8151" i="1"/>
  <c r="A8150" i="1"/>
  <c r="A8149" i="1"/>
  <c r="A8148" i="1"/>
  <c r="A8147" i="1"/>
  <c r="A8146" i="1"/>
  <c r="A8145" i="1"/>
  <c r="A8144" i="1"/>
  <c r="A8143" i="1"/>
  <c r="A8142" i="1"/>
  <c r="A8141" i="1"/>
  <c r="A8140" i="1"/>
  <c r="A8139" i="1"/>
  <c r="A8138" i="1"/>
  <c r="A8137" i="1"/>
  <c r="A8136" i="1"/>
  <c r="A8135" i="1"/>
  <c r="A8134" i="1"/>
  <c r="A8133" i="1"/>
  <c r="A8132" i="1"/>
  <c r="A8131" i="1"/>
  <c r="A8130" i="1"/>
  <c r="A8129" i="1"/>
  <c r="A8128" i="1"/>
  <c r="A8127" i="1"/>
  <c r="A8126" i="1"/>
  <c r="A8125" i="1"/>
  <c r="A8124" i="1"/>
  <c r="A8123" i="1"/>
  <c r="A8122" i="1"/>
  <c r="A8121" i="1"/>
  <c r="A8120" i="1"/>
  <c r="A8119" i="1"/>
  <c r="A8118" i="1"/>
  <c r="A8117" i="1"/>
  <c r="A8116" i="1"/>
  <c r="A8115" i="1"/>
  <c r="A8114" i="1"/>
  <c r="A8113" i="1"/>
  <c r="A8112" i="1"/>
  <c r="A8111" i="1"/>
  <c r="A8110" i="1"/>
  <c r="A8109" i="1"/>
  <c r="A8108" i="1"/>
  <c r="A8107" i="1"/>
  <c r="A8106" i="1"/>
  <c r="A8105" i="1"/>
  <c r="A8104" i="1"/>
  <c r="A8103" i="1"/>
  <c r="A8102" i="1"/>
  <c r="A8101" i="1"/>
  <c r="A8100" i="1"/>
  <c r="A8099" i="1"/>
  <c r="A8098" i="1"/>
  <c r="A8097" i="1"/>
  <c r="A8096" i="1"/>
  <c r="A8095" i="1"/>
  <c r="A8094" i="1"/>
  <c r="A8093" i="1"/>
  <c r="A8092" i="1"/>
  <c r="A8091" i="1"/>
  <c r="A8090" i="1"/>
  <c r="A8089" i="1"/>
  <c r="A8088" i="1"/>
  <c r="A8087" i="1"/>
  <c r="A8086" i="1"/>
  <c r="A8085" i="1"/>
  <c r="A8084" i="1"/>
  <c r="A8083" i="1"/>
  <c r="A8082" i="1"/>
  <c r="A8081" i="1"/>
  <c r="A8080" i="1"/>
  <c r="A8079" i="1"/>
  <c r="A8078" i="1"/>
  <c r="A8077" i="1"/>
  <c r="A8076" i="1"/>
  <c r="A8075" i="1"/>
  <c r="A8074" i="1"/>
  <c r="A8073" i="1"/>
  <c r="A8072" i="1"/>
  <c r="A8071" i="1"/>
  <c r="A8070" i="1"/>
  <c r="A8069" i="1"/>
  <c r="A8068" i="1"/>
  <c r="A8067" i="1"/>
  <c r="A8066" i="1"/>
  <c r="A8065" i="1"/>
  <c r="A8064" i="1"/>
  <c r="A8063" i="1"/>
  <c r="A8062" i="1"/>
  <c r="A8061" i="1"/>
  <c r="A8060" i="1"/>
  <c r="A8059" i="1"/>
  <c r="A8058" i="1"/>
  <c r="A8057" i="1"/>
  <c r="A8056" i="1"/>
  <c r="A8055" i="1"/>
  <c r="A8054" i="1"/>
  <c r="A8053" i="1"/>
  <c r="A8052" i="1"/>
  <c r="A8051" i="1"/>
  <c r="A8050" i="1"/>
  <c r="A8049" i="1"/>
  <c r="A8048" i="1"/>
  <c r="A8047" i="1"/>
  <c r="A8046" i="1"/>
  <c r="A8045" i="1"/>
  <c r="A8044" i="1"/>
  <c r="A8043" i="1"/>
  <c r="A8042" i="1"/>
  <c r="A8041" i="1"/>
  <c r="A8040" i="1"/>
  <c r="A8039" i="1"/>
  <c r="A8038" i="1"/>
  <c r="A8037" i="1"/>
  <c r="A8036" i="1"/>
  <c r="A8035" i="1"/>
  <c r="A8034" i="1"/>
  <c r="A8033" i="1"/>
  <c r="A8032" i="1"/>
  <c r="A8031" i="1"/>
  <c r="A8030" i="1"/>
  <c r="A8029" i="1"/>
  <c r="A8028" i="1"/>
  <c r="A8027" i="1"/>
  <c r="A8026" i="1"/>
  <c r="A8025" i="1"/>
  <c r="A8024" i="1"/>
  <c r="A8023" i="1"/>
  <c r="A8022" i="1"/>
  <c r="A8021" i="1"/>
  <c r="A8020" i="1"/>
  <c r="A8019" i="1"/>
  <c r="A8018" i="1"/>
  <c r="A8017" i="1"/>
  <c r="A8016" i="1"/>
  <c r="A8015" i="1"/>
  <c r="A8014" i="1"/>
  <c r="A8013" i="1"/>
  <c r="A8012" i="1"/>
  <c r="A8011" i="1"/>
  <c r="A8010" i="1"/>
  <c r="A8009" i="1"/>
  <c r="A8008" i="1"/>
  <c r="A8007" i="1"/>
  <c r="A8006" i="1"/>
  <c r="A8005" i="1"/>
  <c r="A8004" i="1"/>
  <c r="A8003" i="1"/>
  <c r="A8002" i="1"/>
  <c r="A8001" i="1"/>
  <c r="A8000" i="1"/>
  <c r="A7999" i="1"/>
  <c r="A7998" i="1"/>
  <c r="A7997" i="1"/>
  <c r="A7996" i="1"/>
  <c r="A7995" i="1"/>
  <c r="A7994" i="1"/>
  <c r="A7993" i="1"/>
  <c r="A7992" i="1"/>
  <c r="A7991" i="1"/>
  <c r="A7990" i="1"/>
  <c r="A7989" i="1"/>
  <c r="A7988" i="1"/>
  <c r="A7987" i="1"/>
  <c r="A7986" i="1"/>
  <c r="A7985" i="1"/>
  <c r="A7984" i="1"/>
  <c r="A7983" i="1"/>
  <c r="A7982" i="1"/>
  <c r="A7981" i="1"/>
  <c r="A7980" i="1"/>
  <c r="A7979" i="1"/>
  <c r="A7978" i="1"/>
  <c r="A7977" i="1"/>
  <c r="A7976" i="1"/>
  <c r="A7975" i="1"/>
  <c r="A7974" i="1"/>
  <c r="A7973" i="1"/>
  <c r="A7972" i="1"/>
  <c r="A7971" i="1"/>
  <c r="A7970" i="1"/>
  <c r="A7969" i="1"/>
  <c r="A7968" i="1"/>
  <c r="A7967" i="1"/>
  <c r="A7966" i="1"/>
  <c r="A7965" i="1"/>
  <c r="A7964" i="1"/>
  <c r="A7963" i="1"/>
  <c r="A7962" i="1"/>
  <c r="A7961" i="1"/>
  <c r="A7960" i="1"/>
  <c r="A7959" i="1"/>
  <c r="A7958" i="1"/>
  <c r="A7957" i="1"/>
  <c r="A7956" i="1"/>
  <c r="A7955" i="1"/>
  <c r="A7954" i="1"/>
  <c r="A7953" i="1"/>
  <c r="A7952" i="1"/>
  <c r="A7951" i="1"/>
  <c r="A7950" i="1"/>
  <c r="A7949" i="1"/>
  <c r="A7948" i="1"/>
  <c r="A7947" i="1"/>
  <c r="A7946" i="1"/>
  <c r="A7945" i="1"/>
  <c r="A7944" i="1"/>
  <c r="A7943" i="1"/>
  <c r="A7942" i="1"/>
  <c r="A7941" i="1"/>
  <c r="A7940" i="1"/>
  <c r="A7939" i="1"/>
  <c r="A7938" i="1"/>
  <c r="A7937" i="1"/>
  <c r="A7936" i="1"/>
  <c r="A7935" i="1"/>
  <c r="A7934" i="1"/>
  <c r="A7933" i="1"/>
  <c r="A7932" i="1"/>
  <c r="A7931" i="1"/>
  <c r="A7930" i="1"/>
  <c r="A7929" i="1"/>
  <c r="A7928" i="1"/>
  <c r="A7927" i="1"/>
  <c r="A7926" i="1"/>
  <c r="A7925" i="1"/>
  <c r="A7924" i="1"/>
  <c r="A7923" i="1"/>
  <c r="A7922" i="1"/>
  <c r="A7921" i="1"/>
  <c r="A7920" i="1"/>
  <c r="A7919" i="1"/>
  <c r="A7918" i="1"/>
  <c r="A7917" i="1"/>
  <c r="A7916" i="1"/>
  <c r="A7915" i="1"/>
  <c r="A7914" i="1"/>
  <c r="A7913" i="1"/>
  <c r="A7912" i="1"/>
  <c r="A7911" i="1"/>
  <c r="A7910" i="1"/>
  <c r="A7909" i="1"/>
  <c r="A7908" i="1"/>
  <c r="A7907" i="1"/>
  <c r="A7906" i="1"/>
  <c r="A7905" i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A7863" i="1"/>
  <c r="A7862" i="1"/>
  <c r="A7861" i="1"/>
  <c r="A7860" i="1"/>
  <c r="A7859" i="1"/>
  <c r="A7858" i="1"/>
  <c r="A7857" i="1"/>
  <c r="A7856" i="1"/>
  <c r="A7855" i="1"/>
  <c r="A7854" i="1"/>
  <c r="A7853" i="1"/>
  <c r="A7852" i="1"/>
  <c r="A7851" i="1"/>
  <c r="A7850" i="1"/>
  <c r="A7849" i="1"/>
  <c r="A7848" i="1"/>
  <c r="A7847" i="1"/>
  <c r="A7846" i="1"/>
  <c r="A7845" i="1"/>
  <c r="A7844" i="1"/>
  <c r="A7843" i="1"/>
  <c r="A7842" i="1"/>
  <c r="A7841" i="1"/>
  <c r="A7840" i="1"/>
  <c r="A7839" i="1"/>
  <c r="A7838" i="1"/>
  <c r="A7837" i="1"/>
  <c r="A7836" i="1"/>
  <c r="A7835" i="1"/>
  <c r="A7834" i="1"/>
  <c r="A7833" i="1"/>
  <c r="A7832" i="1"/>
  <c r="A7831" i="1"/>
  <c r="A7830" i="1"/>
  <c r="A7829" i="1"/>
  <c r="A7828" i="1"/>
  <c r="A7827" i="1"/>
  <c r="A7826" i="1"/>
  <c r="A7825" i="1"/>
  <c r="A7824" i="1"/>
  <c r="A7823" i="1"/>
  <c r="A7822" i="1"/>
  <c r="A7821" i="1"/>
  <c r="A7820" i="1"/>
  <c r="A7819" i="1"/>
  <c r="A7818" i="1"/>
  <c r="A7817" i="1"/>
  <c r="A7816" i="1"/>
  <c r="A7815" i="1"/>
  <c r="A7814" i="1"/>
  <c r="A7813" i="1"/>
  <c r="A7812" i="1"/>
  <c r="A7811" i="1"/>
  <c r="A7810" i="1"/>
  <c r="A7809" i="1"/>
  <c r="A7808" i="1"/>
  <c r="A7807" i="1"/>
  <c r="A7806" i="1"/>
  <c r="A7805" i="1"/>
  <c r="A7804" i="1"/>
  <c r="A7803" i="1"/>
  <c r="A7802" i="1"/>
  <c r="A7801" i="1"/>
  <c r="A7800" i="1"/>
  <c r="A7799" i="1"/>
  <c r="A7798" i="1"/>
  <c r="A7797" i="1"/>
  <c r="A7796" i="1"/>
  <c r="A7795" i="1"/>
  <c r="A7794" i="1"/>
  <c r="A7793" i="1"/>
  <c r="A7792" i="1"/>
  <c r="A7791" i="1"/>
  <c r="A7790" i="1"/>
  <c r="A7789" i="1"/>
  <c r="A7788" i="1"/>
  <c r="A7787" i="1"/>
  <c r="A7786" i="1"/>
  <c r="A7785" i="1"/>
  <c r="A7784" i="1"/>
  <c r="A7783" i="1"/>
  <c r="A7782" i="1"/>
  <c r="A7781" i="1"/>
  <c r="A7780" i="1"/>
  <c r="A7779" i="1"/>
  <c r="A7778" i="1"/>
  <c r="A7777" i="1"/>
  <c r="A7776" i="1"/>
  <c r="A7775" i="1"/>
  <c r="A7774" i="1"/>
  <c r="A7773" i="1"/>
  <c r="A7772" i="1"/>
  <c r="A7771" i="1"/>
  <c r="A7770" i="1"/>
  <c r="A7769" i="1"/>
  <c r="A7768" i="1"/>
  <c r="A7767" i="1"/>
  <c r="A7766" i="1"/>
  <c r="A7765" i="1"/>
  <c r="A7764" i="1"/>
  <c r="A7763" i="1"/>
  <c r="A7762" i="1"/>
  <c r="A7761" i="1"/>
  <c r="A7760" i="1"/>
  <c r="A7759" i="1"/>
  <c r="A7758" i="1"/>
  <c r="A7757" i="1"/>
  <c r="A7756" i="1"/>
  <c r="A7755" i="1"/>
  <c r="A7754" i="1"/>
  <c r="A7753" i="1"/>
  <c r="A7752" i="1"/>
  <c r="A7751" i="1"/>
  <c r="A7750" i="1"/>
  <c r="A7749" i="1"/>
  <c r="A7748" i="1"/>
  <c r="A7747" i="1"/>
  <c r="A7746" i="1"/>
  <c r="A7745" i="1"/>
  <c r="A7744" i="1"/>
  <c r="A7743" i="1"/>
  <c r="A7742" i="1"/>
  <c r="A7741" i="1"/>
  <c r="A7740" i="1"/>
  <c r="A7739" i="1"/>
  <c r="A7738" i="1"/>
  <c r="A7737" i="1"/>
  <c r="A7736" i="1"/>
  <c r="A7735" i="1"/>
  <c r="A7734" i="1"/>
  <c r="A7733" i="1"/>
  <c r="A7732" i="1"/>
  <c r="A7731" i="1"/>
  <c r="A7730" i="1"/>
  <c r="A7729" i="1"/>
  <c r="A7728" i="1"/>
  <c r="A7727" i="1"/>
  <c r="A7726" i="1"/>
  <c r="A7725" i="1"/>
  <c r="A7724" i="1"/>
  <c r="A7723" i="1"/>
  <c r="A7722" i="1"/>
  <c r="A7721" i="1"/>
  <c r="A7720" i="1"/>
  <c r="A7719" i="1"/>
  <c r="A7718" i="1"/>
  <c r="A7717" i="1"/>
  <c r="A7716" i="1"/>
  <c r="A7715" i="1"/>
  <c r="A7714" i="1"/>
  <c r="A7713" i="1"/>
  <c r="A7712" i="1"/>
  <c r="A7711" i="1"/>
  <c r="A7710" i="1"/>
  <c r="A7709" i="1"/>
  <c r="A7708" i="1"/>
  <c r="A7707" i="1"/>
  <c r="A7706" i="1"/>
  <c r="A7705" i="1"/>
  <c r="A7704" i="1"/>
  <c r="A7703" i="1"/>
  <c r="A7702" i="1"/>
  <c r="A7701" i="1"/>
  <c r="A7700" i="1"/>
  <c r="A7699" i="1"/>
  <c r="A7698" i="1"/>
  <c r="A7697" i="1"/>
  <c r="A7696" i="1"/>
  <c r="A7695" i="1"/>
  <c r="A7694" i="1"/>
  <c r="A7693" i="1"/>
  <c r="A7692" i="1"/>
  <c r="A7691" i="1"/>
  <c r="A7690" i="1"/>
  <c r="A7689" i="1"/>
  <c r="A7688" i="1"/>
  <c r="A7687" i="1"/>
  <c r="A7686" i="1"/>
  <c r="A7685" i="1"/>
  <c r="A7684" i="1"/>
  <c r="A7683" i="1"/>
  <c r="A7682" i="1"/>
  <c r="A7681" i="1"/>
  <c r="A7680" i="1"/>
  <c r="A7679" i="1"/>
  <c r="A7678" i="1"/>
  <c r="A7677" i="1"/>
  <c r="A7676" i="1"/>
  <c r="A7675" i="1"/>
  <c r="A7674" i="1"/>
  <c r="A7673" i="1"/>
  <c r="A7672" i="1"/>
  <c r="A7671" i="1"/>
  <c r="A7670" i="1"/>
  <c r="A7669" i="1"/>
  <c r="A7668" i="1"/>
  <c r="A7667" i="1"/>
  <c r="A7666" i="1"/>
  <c r="A7665" i="1"/>
  <c r="A7664" i="1"/>
  <c r="A7663" i="1"/>
  <c r="A7662" i="1"/>
  <c r="A7661" i="1"/>
  <c r="A7660" i="1"/>
  <c r="A7659" i="1"/>
  <c r="A7658" i="1"/>
  <c r="A7657" i="1"/>
  <c r="A7656" i="1"/>
  <c r="A7655" i="1"/>
  <c r="A7654" i="1"/>
  <c r="A7653" i="1"/>
  <c r="A7652" i="1"/>
  <c r="A7651" i="1"/>
  <c r="A7650" i="1"/>
  <c r="A7649" i="1"/>
  <c r="A7648" i="1"/>
  <c r="A7647" i="1"/>
  <c r="A7646" i="1"/>
  <c r="A7645" i="1"/>
  <c r="A7644" i="1"/>
  <c r="A7643" i="1"/>
  <c r="A7642" i="1"/>
  <c r="A7641" i="1"/>
  <c r="A7640" i="1"/>
  <c r="A7639" i="1"/>
  <c r="A7638" i="1"/>
  <c r="A7637" i="1"/>
  <c r="A7636" i="1"/>
  <c r="A7635" i="1"/>
  <c r="A7634" i="1"/>
  <c r="A7633" i="1"/>
  <c r="A7632" i="1"/>
  <c r="A7631" i="1"/>
  <c r="A7630" i="1"/>
  <c r="A7629" i="1"/>
  <c r="A7628" i="1"/>
  <c r="A7627" i="1"/>
  <c r="A7626" i="1"/>
  <c r="A7625" i="1"/>
  <c r="A7624" i="1"/>
  <c r="A7623" i="1"/>
  <c r="A7622" i="1"/>
  <c r="A7621" i="1"/>
  <c r="A7620" i="1"/>
  <c r="A7619" i="1"/>
  <c r="A7618" i="1"/>
  <c r="A7617" i="1"/>
  <c r="A7616" i="1"/>
  <c r="A7615" i="1"/>
  <c r="A7614" i="1"/>
  <c r="A7613" i="1"/>
  <c r="A7612" i="1"/>
  <c r="A7611" i="1"/>
  <c r="A7610" i="1"/>
  <c r="A7609" i="1"/>
  <c r="A7608" i="1"/>
  <c r="A7607" i="1"/>
  <c r="A7606" i="1"/>
  <c r="A7605" i="1"/>
  <c r="A7604" i="1"/>
  <c r="A7603" i="1"/>
  <c r="A7602" i="1"/>
  <c r="A7601" i="1"/>
  <c r="A7600" i="1"/>
  <c r="A7599" i="1"/>
  <c r="A7598" i="1"/>
  <c r="A7597" i="1"/>
  <c r="A7596" i="1"/>
  <c r="A7595" i="1"/>
  <c r="A7594" i="1"/>
  <c r="A7593" i="1"/>
  <c r="A7592" i="1"/>
  <c r="A7591" i="1"/>
  <c r="A7590" i="1"/>
  <c r="A7589" i="1"/>
  <c r="A7588" i="1"/>
  <c r="A7587" i="1"/>
  <c r="A7586" i="1"/>
  <c r="A7585" i="1"/>
  <c r="A7584" i="1"/>
  <c r="A7583" i="1"/>
  <c r="A7582" i="1"/>
  <c r="A7581" i="1"/>
  <c r="A7580" i="1"/>
  <c r="A7579" i="1"/>
  <c r="A7578" i="1"/>
  <c r="A7577" i="1"/>
  <c r="A7576" i="1"/>
  <c r="A7575" i="1"/>
  <c r="A7574" i="1"/>
  <c r="A7573" i="1"/>
  <c r="A7572" i="1"/>
  <c r="A7571" i="1"/>
  <c r="A7570" i="1"/>
  <c r="A7569" i="1"/>
  <c r="A7568" i="1"/>
  <c r="A7567" i="1"/>
  <c r="A7566" i="1"/>
  <c r="A7565" i="1"/>
  <c r="A7564" i="1"/>
  <c r="A7563" i="1"/>
  <c r="A7562" i="1"/>
  <c r="A7561" i="1"/>
  <c r="A7560" i="1"/>
  <c r="A7559" i="1"/>
  <c r="A7558" i="1"/>
  <c r="A7557" i="1"/>
  <c r="A7556" i="1"/>
  <c r="A7555" i="1"/>
  <c r="A7554" i="1"/>
  <c r="A7553" i="1"/>
  <c r="A7552" i="1"/>
  <c r="A7551" i="1"/>
  <c r="A7550" i="1"/>
  <c r="A7549" i="1"/>
  <c r="A7548" i="1"/>
  <c r="A7547" i="1"/>
  <c r="A7546" i="1"/>
  <c r="A7545" i="1"/>
  <c r="A7544" i="1"/>
  <c r="A7543" i="1"/>
  <c r="A7542" i="1"/>
  <c r="A7541" i="1"/>
  <c r="A7540" i="1"/>
  <c r="A7539" i="1"/>
  <c r="A7538" i="1"/>
  <c r="A7537" i="1"/>
  <c r="A7536" i="1"/>
  <c r="A7535" i="1"/>
  <c r="A7534" i="1"/>
  <c r="A7533" i="1"/>
  <c r="A7532" i="1"/>
  <c r="A7531" i="1"/>
  <c r="A7530" i="1"/>
  <c r="A7529" i="1"/>
  <c r="A7528" i="1"/>
  <c r="A7527" i="1"/>
  <c r="A7526" i="1"/>
  <c r="A7525" i="1"/>
  <c r="A7524" i="1"/>
  <c r="A7523" i="1"/>
  <c r="A7522" i="1"/>
  <c r="A7521" i="1"/>
  <c r="A7520" i="1"/>
  <c r="A7519" i="1"/>
  <c r="A7518" i="1"/>
  <c r="A7517" i="1"/>
  <c r="A7516" i="1"/>
  <c r="A7515" i="1"/>
  <c r="A7514" i="1"/>
  <c r="A7513" i="1"/>
  <c r="A7512" i="1"/>
  <c r="A7511" i="1"/>
  <c r="A7510" i="1"/>
  <c r="A7509" i="1"/>
  <c r="A7508" i="1"/>
  <c r="A7507" i="1"/>
  <c r="A7506" i="1"/>
  <c r="A7505" i="1"/>
  <c r="A7504" i="1"/>
  <c r="A7503" i="1"/>
  <c r="A7502" i="1"/>
  <c r="A7501" i="1"/>
  <c r="A7500" i="1"/>
  <c r="A7499" i="1"/>
  <c r="A7498" i="1"/>
  <c r="A7497" i="1"/>
  <c r="A7496" i="1"/>
  <c r="A7495" i="1"/>
  <c r="A7494" i="1"/>
  <c r="A7493" i="1"/>
  <c r="A7492" i="1"/>
  <c r="A7491" i="1"/>
  <c r="A7490" i="1"/>
  <c r="A7489" i="1"/>
  <c r="A7488" i="1"/>
  <c r="A7487" i="1"/>
  <c r="A7486" i="1"/>
  <c r="A7485" i="1"/>
  <c r="A7484" i="1"/>
  <c r="A7483" i="1"/>
  <c r="A7482" i="1"/>
  <c r="A7481" i="1"/>
  <c r="A7480" i="1"/>
  <c r="A7479" i="1"/>
  <c r="A7478" i="1"/>
  <c r="A7477" i="1"/>
  <c r="A7476" i="1"/>
  <c r="A7475" i="1"/>
  <c r="A7474" i="1"/>
  <c r="A7473" i="1"/>
  <c r="A7472" i="1"/>
  <c r="A7471" i="1"/>
  <c r="A7470" i="1"/>
  <c r="A7469" i="1"/>
  <c r="A7468" i="1"/>
  <c r="A7467" i="1"/>
  <c r="A7466" i="1"/>
  <c r="A7465" i="1"/>
  <c r="A7464" i="1"/>
  <c r="A7463" i="1"/>
  <c r="A7462" i="1"/>
  <c r="A7461" i="1"/>
  <c r="A7460" i="1"/>
  <c r="A7459" i="1"/>
  <c r="A7458" i="1"/>
  <c r="A7457" i="1"/>
  <c r="A7456" i="1"/>
  <c r="A7455" i="1"/>
  <c r="A7454" i="1"/>
  <c r="A7453" i="1"/>
  <c r="A7452" i="1"/>
  <c r="A7451" i="1"/>
  <c r="A7450" i="1"/>
  <c r="A7449" i="1"/>
  <c r="A7448" i="1"/>
  <c r="A7447" i="1"/>
  <c r="A7446" i="1"/>
  <c r="A7445" i="1"/>
  <c r="A7444" i="1"/>
  <c r="A7443" i="1"/>
  <c r="A7442" i="1"/>
  <c r="A7441" i="1"/>
  <c r="A7440" i="1"/>
  <c r="A7439" i="1"/>
  <c r="A7438" i="1"/>
  <c r="A7437" i="1"/>
  <c r="A7436" i="1"/>
  <c r="A7435" i="1"/>
  <c r="A7434" i="1"/>
  <c r="A7433" i="1"/>
  <c r="A7432" i="1"/>
  <c r="A7431" i="1"/>
  <c r="A7430" i="1"/>
  <c r="A7429" i="1"/>
  <c r="A7428" i="1"/>
  <c r="A7427" i="1"/>
  <c r="A7426" i="1"/>
  <c r="A7425" i="1"/>
  <c r="A7424" i="1"/>
  <c r="A7423" i="1"/>
  <c r="A7422" i="1"/>
  <c r="A7421" i="1"/>
  <c r="A7420" i="1"/>
  <c r="A7419" i="1"/>
  <c r="A7418" i="1"/>
  <c r="A7417" i="1"/>
  <c r="A7416" i="1"/>
  <c r="A7415" i="1"/>
  <c r="A7414" i="1"/>
  <c r="A7413" i="1"/>
  <c r="A7412" i="1"/>
  <c r="A7411" i="1"/>
  <c r="A7410" i="1"/>
  <c r="A7409" i="1"/>
  <c r="A7408" i="1"/>
  <c r="A7407" i="1"/>
  <c r="A7406" i="1"/>
  <c r="A7405" i="1"/>
  <c r="A7404" i="1"/>
  <c r="A7403" i="1"/>
  <c r="A7402" i="1"/>
  <c r="A7401" i="1"/>
  <c r="A7400" i="1"/>
  <c r="A7399" i="1"/>
  <c r="A7398" i="1"/>
  <c r="A7397" i="1"/>
  <c r="A7396" i="1"/>
  <c r="A7395" i="1"/>
  <c r="A7394" i="1"/>
  <c r="A7393" i="1"/>
  <c r="A7392" i="1"/>
  <c r="A7391" i="1"/>
  <c r="A7390" i="1"/>
  <c r="A7389" i="1"/>
  <c r="A7388" i="1"/>
  <c r="A7387" i="1"/>
  <c r="A7386" i="1"/>
  <c r="A7385" i="1"/>
  <c r="A7384" i="1"/>
  <c r="A7383" i="1"/>
  <c r="A7382" i="1"/>
  <c r="A7381" i="1"/>
  <c r="A7380" i="1"/>
  <c r="A7379" i="1"/>
  <c r="A7378" i="1"/>
  <c r="A7377" i="1"/>
  <c r="A7376" i="1"/>
  <c r="A7375" i="1"/>
  <c r="A7374" i="1"/>
  <c r="A7373" i="1"/>
  <c r="A7372" i="1"/>
  <c r="A7371" i="1"/>
  <c r="A7370" i="1"/>
  <c r="A7369" i="1"/>
  <c r="A7368" i="1"/>
  <c r="A7367" i="1"/>
  <c r="A7366" i="1"/>
  <c r="A7365" i="1"/>
  <c r="A7364" i="1"/>
  <c r="A7363" i="1"/>
  <c r="A7362" i="1"/>
  <c r="A7361" i="1"/>
  <c r="A7360" i="1"/>
  <c r="A7359" i="1"/>
  <c r="A7358" i="1"/>
  <c r="A7357" i="1"/>
  <c r="A7356" i="1"/>
  <c r="A7355" i="1"/>
  <c r="A7354" i="1"/>
  <c r="A7353" i="1"/>
  <c r="A7352" i="1"/>
  <c r="A7351" i="1"/>
  <c r="A7350" i="1"/>
  <c r="A7349" i="1"/>
  <c r="A7348" i="1"/>
  <c r="A7347" i="1"/>
  <c r="A7346" i="1"/>
  <c r="A7345" i="1"/>
  <c r="A7344" i="1"/>
  <c r="A7343" i="1"/>
  <c r="A7342" i="1"/>
  <c r="A7341" i="1"/>
  <c r="A7340" i="1"/>
  <c r="A7339" i="1"/>
  <c r="A7338" i="1"/>
  <c r="A7337" i="1"/>
  <c r="A7336" i="1"/>
  <c r="A7335" i="1"/>
  <c r="A7334" i="1"/>
  <c r="A7333" i="1"/>
  <c r="A7332" i="1"/>
  <c r="A7331" i="1"/>
  <c r="A7330" i="1"/>
  <c r="A7329" i="1"/>
  <c r="A7328" i="1"/>
  <c r="A7327" i="1"/>
  <c r="A7326" i="1"/>
  <c r="A7325" i="1"/>
  <c r="A7324" i="1"/>
  <c r="A7323" i="1"/>
  <c r="A7322" i="1"/>
  <c r="A7321" i="1"/>
  <c r="A7320" i="1"/>
  <c r="A7319" i="1"/>
  <c r="A7318" i="1"/>
  <c r="A7317" i="1"/>
  <c r="A7316" i="1"/>
  <c r="A7315" i="1"/>
  <c r="A7314" i="1"/>
  <c r="A7313" i="1"/>
  <c r="A7312" i="1"/>
  <c r="A7311" i="1"/>
  <c r="A7310" i="1"/>
  <c r="A7309" i="1"/>
  <c r="A7308" i="1"/>
  <c r="A7307" i="1"/>
  <c r="A7306" i="1"/>
  <c r="A7305" i="1"/>
  <c r="A7304" i="1"/>
  <c r="A7303" i="1"/>
  <c r="A7302" i="1"/>
  <c r="A7301" i="1"/>
  <c r="A7300" i="1"/>
  <c r="A7299" i="1"/>
  <c r="A7298" i="1"/>
  <c r="A7297" i="1"/>
  <c r="A7296" i="1"/>
  <c r="A7295" i="1"/>
  <c r="A7294" i="1"/>
  <c r="A7293" i="1"/>
  <c r="A7292" i="1"/>
  <c r="A7291" i="1"/>
  <c r="A7290" i="1"/>
  <c r="A7289" i="1"/>
  <c r="A7288" i="1"/>
  <c r="A7287" i="1"/>
  <c r="A7286" i="1"/>
  <c r="A7285" i="1"/>
  <c r="A7284" i="1"/>
  <c r="A7283" i="1"/>
  <c r="A7282" i="1"/>
  <c r="A7281" i="1"/>
  <c r="A7280" i="1"/>
  <c r="A7279" i="1"/>
  <c r="A7278" i="1"/>
  <c r="A7277" i="1"/>
  <c r="A7276" i="1"/>
  <c r="A7275" i="1"/>
  <c r="A7274" i="1"/>
  <c r="A7273" i="1"/>
  <c r="A7272" i="1"/>
  <c r="A7271" i="1"/>
  <c r="A7270" i="1"/>
  <c r="A7269" i="1"/>
  <c r="A7268" i="1"/>
  <c r="A7267" i="1"/>
  <c r="A7266" i="1"/>
  <c r="A7265" i="1"/>
  <c r="A7264" i="1"/>
  <c r="A7263" i="1"/>
  <c r="A7262" i="1"/>
  <c r="A7261" i="1"/>
  <c r="A7260" i="1"/>
  <c r="A7259" i="1"/>
  <c r="A7258" i="1"/>
  <c r="A7257" i="1"/>
  <c r="A7256" i="1"/>
  <c r="A7255" i="1"/>
  <c r="A7254" i="1"/>
  <c r="A7253" i="1"/>
  <c r="A7252" i="1"/>
  <c r="A7251" i="1"/>
  <c r="A7250" i="1"/>
  <c r="A7249" i="1"/>
  <c r="A7248" i="1"/>
  <c r="A7247" i="1"/>
  <c r="A7246" i="1"/>
  <c r="A7245" i="1"/>
  <c r="A7244" i="1"/>
  <c r="A7243" i="1"/>
  <c r="A7242" i="1"/>
  <c r="A7241" i="1"/>
  <c r="A7240" i="1"/>
  <c r="A7239" i="1"/>
  <c r="A7238" i="1"/>
  <c r="A7237" i="1"/>
  <c r="A7236" i="1"/>
  <c r="A7235" i="1"/>
  <c r="A7234" i="1"/>
  <c r="A7233" i="1"/>
  <c r="A7232" i="1"/>
  <c r="A7231" i="1"/>
  <c r="A7230" i="1"/>
  <c r="A7229" i="1"/>
  <c r="A7228" i="1"/>
  <c r="A7227" i="1"/>
  <c r="A7226" i="1"/>
  <c r="A7225" i="1"/>
  <c r="A7224" i="1"/>
  <c r="A7223" i="1"/>
  <c r="A7222" i="1"/>
  <c r="A7221" i="1"/>
  <c r="A7220" i="1"/>
  <c r="A7219" i="1"/>
  <c r="A7218" i="1"/>
  <c r="A7217" i="1"/>
  <c r="A7216" i="1"/>
  <c r="A7215" i="1"/>
  <c r="A7214" i="1"/>
  <c r="A7213" i="1"/>
  <c r="A7212" i="1"/>
  <c r="A7211" i="1"/>
  <c r="A7210" i="1"/>
  <c r="A7209" i="1"/>
  <c r="A7208" i="1"/>
  <c r="A7207" i="1"/>
  <c r="A7206" i="1"/>
  <c r="A7205" i="1"/>
  <c r="A7204" i="1"/>
  <c r="A7203" i="1"/>
  <c r="A7202" i="1"/>
  <c r="A7201" i="1"/>
  <c r="A7200" i="1"/>
  <c r="A7199" i="1"/>
  <c r="A7198" i="1"/>
  <c r="A7197" i="1"/>
  <c r="A7196" i="1"/>
  <c r="A7195" i="1"/>
  <c r="A7194" i="1"/>
  <c r="A7193" i="1"/>
  <c r="A7192" i="1"/>
  <c r="A7191" i="1"/>
  <c r="A7190" i="1"/>
  <c r="A7189" i="1"/>
  <c r="A7188" i="1"/>
  <c r="A7187" i="1"/>
  <c r="A7186" i="1"/>
  <c r="A7185" i="1"/>
  <c r="A7184" i="1"/>
  <c r="A7183" i="1"/>
  <c r="A7182" i="1"/>
  <c r="A7181" i="1"/>
  <c r="A7180" i="1"/>
  <c r="A7179" i="1"/>
  <c r="A7178" i="1"/>
  <c r="A7177" i="1"/>
  <c r="A7176" i="1"/>
  <c r="A7175" i="1"/>
  <c r="A7174" i="1"/>
  <c r="A7173" i="1"/>
  <c r="A7172" i="1"/>
  <c r="A7171" i="1"/>
  <c r="A7170" i="1"/>
  <c r="A7169" i="1"/>
  <c r="A7168" i="1"/>
  <c r="A7167" i="1"/>
  <c r="A7166" i="1"/>
  <c r="A7165" i="1"/>
  <c r="A7164" i="1"/>
  <c r="A7163" i="1"/>
  <c r="A7162" i="1"/>
  <c r="A7161" i="1"/>
  <c r="A7160" i="1"/>
  <c r="A7159" i="1"/>
  <c r="A7158" i="1"/>
  <c r="A7157" i="1"/>
  <c r="A7156" i="1"/>
  <c r="A7155" i="1"/>
  <c r="A7154" i="1"/>
  <c r="A7153" i="1"/>
  <c r="A7152" i="1"/>
  <c r="A7151" i="1"/>
  <c r="A7150" i="1"/>
  <c r="A7149" i="1"/>
  <c r="A7148" i="1"/>
  <c r="A7147" i="1"/>
  <c r="A7146" i="1"/>
  <c r="A7145" i="1"/>
  <c r="A7144" i="1"/>
  <c r="A7143" i="1"/>
  <c r="A7142" i="1"/>
  <c r="A7141" i="1"/>
  <c r="A7140" i="1"/>
  <c r="A7139" i="1"/>
  <c r="A7138" i="1"/>
  <c r="A7137" i="1"/>
  <c r="A7136" i="1"/>
  <c r="A7135" i="1"/>
  <c r="A7134" i="1"/>
  <c r="A7133" i="1"/>
  <c r="A7132" i="1"/>
  <c r="A7131" i="1"/>
  <c r="A7130" i="1"/>
  <c r="A7129" i="1"/>
  <c r="A7128" i="1"/>
  <c r="A7127" i="1"/>
  <c r="A7126" i="1"/>
  <c r="A7125" i="1"/>
  <c r="A7124" i="1"/>
  <c r="A7123" i="1"/>
  <c r="A7122" i="1"/>
  <c r="A7121" i="1"/>
  <c r="A7120" i="1"/>
  <c r="A7119" i="1"/>
  <c r="A7118" i="1"/>
  <c r="A7117" i="1"/>
  <c r="A7116" i="1"/>
  <c r="A7115" i="1"/>
  <c r="A7114" i="1"/>
  <c r="A7113" i="1"/>
  <c r="A7112" i="1"/>
  <c r="A7111" i="1"/>
  <c r="A7110" i="1"/>
  <c r="A7109" i="1"/>
  <c r="A7108" i="1"/>
  <c r="A7107" i="1"/>
  <c r="A7106" i="1"/>
  <c r="A7105" i="1"/>
  <c r="A7104" i="1"/>
  <c r="A7103" i="1"/>
  <c r="A7102" i="1"/>
  <c r="A7101" i="1"/>
  <c r="A7100" i="1"/>
  <c r="A7099" i="1"/>
  <c r="A7098" i="1"/>
  <c r="A7097" i="1"/>
  <c r="A7096" i="1"/>
  <c r="A7095" i="1"/>
  <c r="A7094" i="1"/>
  <c r="A7093" i="1"/>
  <c r="A7092" i="1"/>
  <c r="A7091" i="1"/>
  <c r="A7090" i="1"/>
  <c r="A7089" i="1"/>
  <c r="A7088" i="1"/>
  <c r="A7087" i="1"/>
  <c r="A7086" i="1"/>
  <c r="A7085" i="1"/>
  <c r="A7084" i="1"/>
  <c r="A7083" i="1"/>
  <c r="A7082" i="1"/>
  <c r="A7081" i="1"/>
  <c r="A7080" i="1"/>
  <c r="A7079" i="1"/>
  <c r="A7078" i="1"/>
  <c r="A7077" i="1"/>
  <c r="A7076" i="1"/>
  <c r="A7075" i="1"/>
  <c r="A7074" i="1"/>
  <c r="A7073" i="1"/>
  <c r="A7072" i="1"/>
  <c r="A7071" i="1"/>
  <c r="A7070" i="1"/>
  <c r="A7069" i="1"/>
  <c r="A7068" i="1"/>
  <c r="A7067" i="1"/>
  <c r="A7066" i="1"/>
  <c r="A7065" i="1"/>
  <c r="A7064" i="1"/>
  <c r="A7063" i="1"/>
  <c r="A7062" i="1"/>
  <c r="A7061" i="1"/>
  <c r="A7060" i="1"/>
  <c r="A7059" i="1"/>
  <c r="A7058" i="1"/>
  <c r="A7057" i="1"/>
  <c r="A7056" i="1"/>
  <c r="A7055" i="1"/>
  <c r="A7054" i="1"/>
  <c r="A7053" i="1"/>
  <c r="A7052" i="1"/>
  <c r="A7051" i="1"/>
  <c r="A7050" i="1"/>
  <c r="A7049" i="1"/>
  <c r="A7048" i="1"/>
  <c r="A7047" i="1"/>
  <c r="A7046" i="1"/>
  <c r="A7045" i="1"/>
  <c r="A7044" i="1"/>
  <c r="A7043" i="1"/>
  <c r="A7042" i="1"/>
  <c r="A7041" i="1"/>
  <c r="A7040" i="1"/>
  <c r="A7039" i="1"/>
  <c r="A7038" i="1"/>
  <c r="A7037" i="1"/>
  <c r="A7036" i="1"/>
  <c r="A7035" i="1"/>
  <c r="A7034" i="1"/>
  <c r="A7033" i="1"/>
  <c r="A7032" i="1"/>
  <c r="A7031" i="1"/>
  <c r="A7030" i="1"/>
  <c r="A7029" i="1"/>
  <c r="A7028" i="1"/>
  <c r="A7027" i="1"/>
  <c r="A7026" i="1"/>
  <c r="A7025" i="1"/>
  <c r="A7024" i="1"/>
  <c r="A7023" i="1"/>
  <c r="A7022" i="1"/>
  <c r="A7021" i="1"/>
  <c r="A7020" i="1"/>
  <c r="A7019" i="1"/>
  <c r="A7018" i="1"/>
  <c r="A7017" i="1"/>
  <c r="A7016" i="1"/>
  <c r="A7015" i="1"/>
  <c r="A7014" i="1"/>
  <c r="A7013" i="1"/>
  <c r="A7012" i="1"/>
  <c r="A7011" i="1"/>
  <c r="A7010" i="1"/>
  <c r="A7009" i="1"/>
  <c r="A7008" i="1"/>
  <c r="A7007" i="1"/>
  <c r="A7006" i="1"/>
  <c r="A7005" i="1"/>
  <c r="A7004" i="1"/>
  <c r="A7003" i="1"/>
  <c r="A7002" i="1"/>
  <c r="A7001" i="1"/>
  <c r="A7000" i="1"/>
  <c r="A6999" i="1"/>
  <c r="A6998" i="1"/>
  <c r="A6997" i="1"/>
  <c r="A6996" i="1"/>
  <c r="A6995" i="1"/>
  <c r="A6994" i="1"/>
  <c r="A6993" i="1"/>
  <c r="A6992" i="1"/>
  <c r="A6991" i="1"/>
  <c r="A6990" i="1"/>
  <c r="A6989" i="1"/>
  <c r="A6988" i="1"/>
  <c r="A6987" i="1"/>
  <c r="A6986" i="1"/>
  <c r="A6985" i="1"/>
  <c r="A6984" i="1"/>
  <c r="A6983" i="1"/>
  <c r="A6982" i="1"/>
  <c r="A6981" i="1"/>
  <c r="A6980" i="1"/>
  <c r="A6979" i="1"/>
  <c r="A6978" i="1"/>
  <c r="A6977" i="1"/>
  <c r="A6976" i="1"/>
  <c r="A6975" i="1"/>
  <c r="A6974" i="1"/>
  <c r="A6973" i="1"/>
  <c r="A6972" i="1"/>
  <c r="A6971" i="1"/>
  <c r="A6970" i="1"/>
  <c r="A6969" i="1"/>
  <c r="A6968" i="1"/>
  <c r="A6967" i="1"/>
  <c r="A6966" i="1"/>
  <c r="A6965" i="1"/>
  <c r="A6964" i="1"/>
  <c r="A6963" i="1"/>
  <c r="A6962" i="1"/>
  <c r="A6961" i="1"/>
  <c r="A6960" i="1"/>
  <c r="A6959" i="1"/>
  <c r="A6958" i="1"/>
  <c r="A6957" i="1"/>
  <c r="A6956" i="1"/>
  <c r="A6955" i="1"/>
  <c r="A6954" i="1"/>
  <c r="A6953" i="1"/>
  <c r="A6952" i="1"/>
  <c r="A6951" i="1"/>
  <c r="A6950" i="1"/>
  <c r="A6949" i="1"/>
  <c r="A6948" i="1"/>
  <c r="A6947" i="1"/>
  <c r="A6946" i="1"/>
  <c r="A6945" i="1"/>
  <c r="A6944" i="1"/>
  <c r="A6943" i="1"/>
  <c r="A6942" i="1"/>
  <c r="A6941" i="1"/>
  <c r="A6940" i="1"/>
  <c r="A6939" i="1"/>
  <c r="A6938" i="1"/>
  <c r="A6937" i="1"/>
  <c r="A6936" i="1"/>
  <c r="A6935" i="1"/>
  <c r="A6934" i="1"/>
  <c r="A6933" i="1"/>
  <c r="A6932" i="1"/>
  <c r="A6931" i="1"/>
  <c r="A6930" i="1"/>
  <c r="A6929" i="1"/>
  <c r="A6928" i="1"/>
  <c r="A6927" i="1"/>
  <c r="A6926" i="1"/>
  <c r="A6925" i="1"/>
  <c r="A6924" i="1"/>
  <c r="A6923" i="1"/>
  <c r="A6922" i="1"/>
  <c r="A6921" i="1"/>
  <c r="A6920" i="1"/>
  <c r="A6919" i="1"/>
  <c r="A6918" i="1"/>
  <c r="A6917" i="1"/>
  <c r="A6916" i="1"/>
  <c r="A6915" i="1"/>
  <c r="A6914" i="1"/>
  <c r="A6913" i="1"/>
  <c r="A6912" i="1"/>
  <c r="A6911" i="1"/>
  <c r="A6910" i="1"/>
  <c r="A6909" i="1"/>
  <c r="A6908" i="1"/>
  <c r="A6907" i="1"/>
  <c r="A6906" i="1"/>
  <c r="A6905" i="1"/>
  <c r="A6904" i="1"/>
  <c r="A6903" i="1"/>
  <c r="A6902" i="1"/>
  <c r="A6901" i="1"/>
  <c r="A6900" i="1"/>
  <c r="A6899" i="1"/>
  <c r="A6898" i="1"/>
  <c r="A6897" i="1"/>
  <c r="A6896" i="1"/>
  <c r="A6895" i="1"/>
  <c r="A6894" i="1"/>
  <c r="A6893" i="1"/>
  <c r="A6892" i="1"/>
  <c r="A6891" i="1"/>
  <c r="A6890" i="1"/>
  <c r="A6889" i="1"/>
  <c r="A6888" i="1"/>
  <c r="A6887" i="1"/>
  <c r="A6886" i="1"/>
  <c r="A6885" i="1"/>
  <c r="A6884" i="1"/>
  <c r="A6883" i="1"/>
  <c r="A6882" i="1"/>
  <c r="A6881" i="1"/>
  <c r="A6880" i="1"/>
  <c r="A6879" i="1"/>
  <c r="A6878" i="1"/>
  <c r="A6877" i="1"/>
  <c r="A6876" i="1"/>
  <c r="A6875" i="1"/>
  <c r="A6874" i="1"/>
  <c r="A6873" i="1"/>
  <c r="A6872" i="1"/>
  <c r="A6871" i="1"/>
  <c r="A6870" i="1"/>
  <c r="A6869" i="1"/>
  <c r="A6868" i="1"/>
  <c r="A6867" i="1"/>
  <c r="A6866" i="1"/>
  <c r="A6865" i="1"/>
  <c r="A6864" i="1"/>
  <c r="A6863" i="1"/>
  <c r="A6862" i="1"/>
  <c r="A6861" i="1"/>
  <c r="A6860" i="1"/>
  <c r="A6859" i="1"/>
  <c r="A6858" i="1"/>
  <c r="A6857" i="1"/>
  <c r="A6856" i="1"/>
  <c r="A6855" i="1"/>
  <c r="A6854" i="1"/>
  <c r="A6853" i="1"/>
  <c r="A6852" i="1"/>
  <c r="A6851" i="1"/>
  <c r="A6850" i="1"/>
  <c r="A6849" i="1"/>
  <c r="A6848" i="1"/>
  <c r="A6847" i="1"/>
  <c r="A6846" i="1"/>
  <c r="A6845" i="1"/>
  <c r="A6844" i="1"/>
  <c r="A6843" i="1"/>
  <c r="A6842" i="1"/>
  <c r="A6841" i="1"/>
  <c r="A6840" i="1"/>
  <c r="A6839" i="1"/>
  <c r="A6838" i="1"/>
  <c r="A6837" i="1"/>
  <c r="A6836" i="1"/>
  <c r="A6835" i="1"/>
  <c r="A6834" i="1"/>
  <c r="A6833" i="1"/>
  <c r="A6832" i="1"/>
  <c r="A6831" i="1"/>
  <c r="A6830" i="1"/>
  <c r="A6829" i="1"/>
  <c r="A6828" i="1"/>
  <c r="A6827" i="1"/>
  <c r="A6826" i="1"/>
  <c r="A6825" i="1"/>
  <c r="A6824" i="1"/>
  <c r="A6823" i="1"/>
  <c r="A6822" i="1"/>
  <c r="A6821" i="1"/>
  <c r="A6820" i="1"/>
  <c r="A6819" i="1"/>
  <c r="A6818" i="1"/>
  <c r="A6817" i="1"/>
  <c r="A6816" i="1"/>
  <c r="A6815" i="1"/>
  <c r="A6814" i="1"/>
  <c r="A6813" i="1"/>
  <c r="A6812" i="1"/>
  <c r="A6811" i="1"/>
  <c r="A6810" i="1"/>
  <c r="A6809" i="1"/>
  <c r="A6808" i="1"/>
  <c r="A6807" i="1"/>
  <c r="A6806" i="1"/>
  <c r="A6805" i="1"/>
  <c r="A6804" i="1"/>
  <c r="A6803" i="1"/>
  <c r="A6802" i="1"/>
  <c r="A6801" i="1"/>
  <c r="A6800" i="1"/>
  <c r="A6799" i="1"/>
  <c r="A6798" i="1"/>
  <c r="A6797" i="1"/>
  <c r="A6796" i="1"/>
  <c r="A6795" i="1"/>
  <c r="A6794" i="1"/>
  <c r="A6793" i="1"/>
  <c r="A6792" i="1"/>
  <c r="A6791" i="1"/>
  <c r="A6790" i="1"/>
  <c r="A6789" i="1"/>
  <c r="A6788" i="1"/>
  <c r="A6787" i="1"/>
  <c r="A6786" i="1"/>
  <c r="A6785" i="1"/>
  <c r="A6784" i="1"/>
  <c r="A6783" i="1"/>
  <c r="A6782" i="1"/>
  <c r="A6781" i="1"/>
  <c r="A6780" i="1"/>
  <c r="A6779" i="1"/>
  <c r="A6778" i="1"/>
  <c r="A6777" i="1"/>
  <c r="A6776" i="1"/>
  <c r="A6775" i="1"/>
  <c r="A6774" i="1"/>
  <c r="A6773" i="1"/>
  <c r="A6772" i="1"/>
  <c r="A6771" i="1"/>
  <c r="A6770" i="1"/>
  <c r="A6769" i="1"/>
  <c r="A6768" i="1"/>
  <c r="A6767" i="1"/>
  <c r="A6766" i="1"/>
  <c r="A6765" i="1"/>
  <c r="A6764" i="1"/>
  <c r="A6763" i="1"/>
  <c r="A6762" i="1"/>
  <c r="A6761" i="1"/>
  <c r="A6760" i="1"/>
  <c r="A6759" i="1"/>
  <c r="A6758" i="1"/>
  <c r="A6757" i="1"/>
  <c r="A6756" i="1"/>
  <c r="A6755" i="1"/>
  <c r="A6754" i="1"/>
  <c r="A6753" i="1"/>
  <c r="A6752" i="1"/>
  <c r="A6751" i="1"/>
  <c r="A6750" i="1"/>
  <c r="A6749" i="1"/>
  <c r="A6748" i="1"/>
  <c r="A6747" i="1"/>
  <c r="A6746" i="1"/>
  <c r="A6745" i="1"/>
  <c r="A6744" i="1"/>
  <c r="A6743" i="1"/>
  <c r="A6742" i="1"/>
  <c r="A6741" i="1"/>
  <c r="A6740" i="1"/>
  <c r="A6739" i="1"/>
  <c r="A6738" i="1"/>
  <c r="A6737" i="1"/>
  <c r="A6736" i="1"/>
  <c r="A6735" i="1"/>
  <c r="A6734" i="1"/>
  <c r="A6733" i="1"/>
  <c r="A6732" i="1"/>
  <c r="A6731" i="1"/>
  <c r="A6730" i="1"/>
  <c r="A6729" i="1"/>
  <c r="A6728" i="1"/>
  <c r="A6727" i="1"/>
  <c r="A6726" i="1"/>
  <c r="A6725" i="1"/>
  <c r="A6724" i="1"/>
  <c r="A6723" i="1"/>
  <c r="A6722" i="1"/>
  <c r="A6721" i="1"/>
  <c r="A6720" i="1"/>
  <c r="A6719" i="1"/>
  <c r="A6718" i="1"/>
  <c r="A6717" i="1"/>
  <c r="A6716" i="1"/>
  <c r="A6715" i="1"/>
  <c r="A6714" i="1"/>
  <c r="A6713" i="1"/>
  <c r="A6712" i="1"/>
  <c r="A6711" i="1"/>
  <c r="A6710" i="1"/>
  <c r="A6709" i="1"/>
  <c r="A6708" i="1"/>
  <c r="A6707" i="1"/>
  <c r="A6706" i="1"/>
  <c r="A6705" i="1"/>
  <c r="A6704" i="1"/>
  <c r="A6703" i="1"/>
  <c r="A6702" i="1"/>
  <c r="A6701" i="1"/>
  <c r="A6700" i="1"/>
  <c r="A6699" i="1"/>
  <c r="A6698" i="1"/>
  <c r="A6697" i="1"/>
  <c r="A6696" i="1"/>
  <c r="A6695" i="1"/>
  <c r="A6694" i="1"/>
  <c r="A6693" i="1"/>
  <c r="A6692" i="1"/>
  <c r="A6691" i="1"/>
  <c r="A6690" i="1"/>
  <c r="A6689" i="1"/>
  <c r="A6688" i="1"/>
  <c r="A6687" i="1"/>
  <c r="A6686" i="1"/>
  <c r="A6685" i="1"/>
  <c r="A6684" i="1"/>
  <c r="A6683" i="1"/>
  <c r="A6682" i="1"/>
  <c r="A6681" i="1"/>
  <c r="A6680" i="1"/>
  <c r="A6679" i="1"/>
  <c r="A6678" i="1"/>
  <c r="A6677" i="1"/>
  <c r="A6676" i="1"/>
  <c r="A6675" i="1"/>
  <c r="A6674" i="1"/>
  <c r="A6673" i="1"/>
  <c r="A6672" i="1"/>
  <c r="A6671" i="1"/>
  <c r="A6670" i="1"/>
  <c r="A6669" i="1"/>
  <c r="A6668" i="1"/>
  <c r="A6667" i="1"/>
  <c r="A6666" i="1"/>
  <c r="A6665" i="1"/>
  <c r="A6664" i="1"/>
  <c r="A6663" i="1"/>
  <c r="A6662" i="1"/>
  <c r="A6661" i="1"/>
  <c r="A6660" i="1"/>
  <c r="A6659" i="1"/>
  <c r="A6658" i="1"/>
  <c r="A6657" i="1"/>
  <c r="A6656" i="1"/>
  <c r="A6655" i="1"/>
  <c r="A6654" i="1"/>
  <c r="A6653" i="1"/>
  <c r="A6652" i="1"/>
  <c r="A6651" i="1"/>
  <c r="A6650" i="1"/>
  <c r="A6649" i="1"/>
  <c r="A6648" i="1"/>
  <c r="A6647" i="1"/>
  <c r="A6646" i="1"/>
  <c r="A6645" i="1"/>
  <c r="A6644" i="1"/>
  <c r="A6643" i="1"/>
  <c r="A6642" i="1"/>
  <c r="A6641" i="1"/>
  <c r="A6640" i="1"/>
  <c r="A6639" i="1"/>
  <c r="A6638" i="1"/>
  <c r="A6637" i="1"/>
  <c r="A6636" i="1"/>
  <c r="A6635" i="1"/>
  <c r="A6634" i="1"/>
  <c r="A6633" i="1"/>
  <c r="A6632" i="1"/>
  <c r="A6631" i="1"/>
  <c r="A6630" i="1"/>
  <c r="A6629" i="1"/>
  <c r="A6628" i="1"/>
  <c r="A6627" i="1"/>
  <c r="A6626" i="1"/>
  <c r="A6625" i="1"/>
  <c r="A6624" i="1"/>
  <c r="A6623" i="1"/>
  <c r="A6622" i="1"/>
  <c r="A6621" i="1"/>
  <c r="A6620" i="1"/>
  <c r="A6619" i="1"/>
  <c r="A6618" i="1"/>
  <c r="A6617" i="1"/>
  <c r="A6616" i="1"/>
  <c r="A6615" i="1"/>
  <c r="A6614" i="1"/>
  <c r="A6613" i="1"/>
  <c r="A6612" i="1"/>
  <c r="A6611" i="1"/>
  <c r="A6610" i="1"/>
  <c r="A6609" i="1"/>
  <c r="A6608" i="1"/>
  <c r="A6607" i="1"/>
  <c r="A6606" i="1"/>
  <c r="A6605" i="1"/>
  <c r="A6604" i="1"/>
  <c r="A6603" i="1"/>
  <c r="A6602" i="1"/>
  <c r="A6601" i="1"/>
  <c r="A6600" i="1"/>
  <c r="A6599" i="1"/>
  <c r="A6598" i="1"/>
  <c r="A6597" i="1"/>
  <c r="A6596" i="1"/>
  <c r="A6595" i="1"/>
  <c r="A6594" i="1"/>
  <c r="A6593" i="1"/>
  <c r="A6592" i="1"/>
  <c r="A6591" i="1"/>
  <c r="A6590" i="1"/>
  <c r="A6589" i="1"/>
  <c r="A6588" i="1"/>
  <c r="A6587" i="1"/>
  <c r="A6586" i="1"/>
  <c r="A6585" i="1"/>
  <c r="A6584" i="1"/>
  <c r="A6583" i="1"/>
  <c r="A6582" i="1"/>
  <c r="A6581" i="1"/>
  <c r="A6580" i="1"/>
  <c r="A6579" i="1"/>
  <c r="A6578" i="1"/>
  <c r="A6577" i="1"/>
  <c r="A6576" i="1"/>
  <c r="A6575" i="1"/>
  <c r="A6574" i="1"/>
  <c r="A6573" i="1"/>
  <c r="A6572" i="1"/>
  <c r="A6571" i="1"/>
  <c r="A6570" i="1"/>
  <c r="A6569" i="1"/>
  <c r="A6568" i="1"/>
  <c r="A6567" i="1"/>
  <c r="A6566" i="1"/>
  <c r="A6565" i="1"/>
  <c r="A6564" i="1"/>
  <c r="A6563" i="1"/>
  <c r="A6562" i="1"/>
  <c r="A6561" i="1"/>
  <c r="A6560" i="1"/>
  <c r="A6559" i="1"/>
  <c r="A6558" i="1"/>
  <c r="A6557" i="1"/>
  <c r="A6556" i="1"/>
  <c r="A6555" i="1"/>
  <c r="A6554" i="1"/>
  <c r="A6553" i="1"/>
  <c r="A6552" i="1"/>
  <c r="A6551" i="1"/>
  <c r="A6550" i="1"/>
  <c r="A6549" i="1"/>
  <c r="A6548" i="1"/>
  <c r="A6547" i="1"/>
  <c r="A6546" i="1"/>
  <c r="A6545" i="1"/>
  <c r="A6544" i="1"/>
  <c r="A6543" i="1"/>
  <c r="A6542" i="1"/>
  <c r="A6541" i="1"/>
  <c r="A6540" i="1"/>
  <c r="A6539" i="1"/>
  <c r="A6538" i="1"/>
  <c r="A6537" i="1"/>
  <c r="A6536" i="1"/>
  <c r="A6535" i="1"/>
  <c r="A6534" i="1"/>
  <c r="A6533" i="1"/>
  <c r="A6532" i="1"/>
  <c r="A6531" i="1"/>
  <c r="A6530" i="1"/>
  <c r="A6529" i="1"/>
  <c r="A6528" i="1"/>
  <c r="A6527" i="1"/>
  <c r="A6526" i="1"/>
  <c r="A6525" i="1"/>
  <c r="A6524" i="1"/>
  <c r="A6523" i="1"/>
  <c r="A6522" i="1"/>
  <c r="A6521" i="1"/>
  <c r="A6520" i="1"/>
  <c r="A6519" i="1"/>
  <c r="A6518" i="1"/>
  <c r="A6517" i="1"/>
  <c r="A6516" i="1"/>
  <c r="A6515" i="1"/>
  <c r="A6514" i="1"/>
  <c r="A6513" i="1"/>
  <c r="A6512" i="1"/>
  <c r="A6511" i="1"/>
  <c r="A6510" i="1"/>
  <c r="A6509" i="1"/>
  <c r="A6508" i="1"/>
  <c r="A6507" i="1"/>
  <c r="A6506" i="1"/>
  <c r="A6505" i="1"/>
  <c r="A6504" i="1"/>
  <c r="A6503" i="1"/>
  <c r="A6502" i="1"/>
  <c r="A6501" i="1"/>
  <c r="A6500" i="1"/>
  <c r="A6499" i="1"/>
  <c r="A6498" i="1"/>
  <c r="A6497" i="1"/>
  <c r="A6496" i="1"/>
  <c r="A6495" i="1"/>
  <c r="A6494" i="1"/>
  <c r="A6493" i="1"/>
  <c r="A6492" i="1"/>
  <c r="A6491" i="1"/>
  <c r="A6490" i="1"/>
  <c r="A6489" i="1"/>
  <c r="A6488" i="1"/>
  <c r="A6487" i="1"/>
  <c r="A6486" i="1"/>
  <c r="A6485" i="1"/>
  <c r="A6484" i="1"/>
  <c r="A6483" i="1"/>
  <c r="A6482" i="1"/>
  <c r="A6481" i="1"/>
  <c r="A6480" i="1"/>
  <c r="A6479" i="1"/>
  <c r="A6478" i="1"/>
  <c r="A6477" i="1"/>
  <c r="A6476" i="1"/>
  <c r="A6475" i="1"/>
  <c r="A6474" i="1"/>
  <c r="A6473" i="1"/>
  <c r="A6472" i="1"/>
  <c r="A6471" i="1"/>
  <c r="A6470" i="1"/>
  <c r="A6469" i="1"/>
  <c r="A6468" i="1"/>
  <c r="A6467" i="1"/>
  <c r="A6466" i="1"/>
  <c r="A6465" i="1"/>
  <c r="A6464" i="1"/>
  <c r="A6463" i="1"/>
  <c r="A6462" i="1"/>
  <c r="A6461" i="1"/>
  <c r="A6460" i="1"/>
  <c r="A6459" i="1"/>
  <c r="A6458" i="1"/>
  <c r="A6457" i="1"/>
  <c r="A6456" i="1"/>
  <c r="A6455" i="1"/>
  <c r="A6454" i="1"/>
  <c r="A6453" i="1"/>
  <c r="A6452" i="1"/>
  <c r="A6451" i="1"/>
  <c r="A6450" i="1"/>
  <c r="A6449" i="1"/>
  <c r="A6448" i="1"/>
  <c r="A6447" i="1"/>
  <c r="A6446" i="1"/>
  <c r="A6445" i="1"/>
  <c r="A6444" i="1"/>
  <c r="A6443" i="1"/>
  <c r="A6442" i="1"/>
  <c r="A6441" i="1"/>
  <c r="A6440" i="1"/>
  <c r="A6439" i="1"/>
  <c r="A6438" i="1"/>
  <c r="A6437" i="1"/>
  <c r="A6436" i="1"/>
  <c r="A6435" i="1"/>
  <c r="A6434" i="1"/>
  <c r="A6433" i="1"/>
  <c r="A6432" i="1"/>
  <c r="A6431" i="1"/>
  <c r="A6430" i="1"/>
  <c r="A6429" i="1"/>
  <c r="A6428" i="1"/>
  <c r="A6427" i="1"/>
  <c r="A6426" i="1"/>
  <c r="A6425" i="1"/>
  <c r="A6424" i="1"/>
  <c r="A6423" i="1"/>
  <c r="A6422" i="1"/>
  <c r="A6421" i="1"/>
  <c r="A6420" i="1"/>
  <c r="A6419" i="1"/>
  <c r="A6418" i="1"/>
  <c r="A6417" i="1"/>
  <c r="A6416" i="1"/>
  <c r="A6415" i="1"/>
  <c r="A6414" i="1"/>
  <c r="A6413" i="1"/>
  <c r="A6412" i="1"/>
  <c r="A6411" i="1"/>
  <c r="A6410" i="1"/>
  <c r="A6409" i="1"/>
  <c r="A6408" i="1"/>
  <c r="A6407" i="1"/>
  <c r="A6406" i="1"/>
  <c r="A6405" i="1"/>
  <c r="A6404" i="1"/>
  <c r="A6403" i="1"/>
  <c r="A6402" i="1"/>
  <c r="A6401" i="1"/>
  <c r="A6400" i="1"/>
  <c r="A6399" i="1"/>
  <c r="A6398" i="1"/>
  <c r="A6397" i="1"/>
  <c r="A6396" i="1"/>
  <c r="A6395" i="1"/>
  <c r="A6394" i="1"/>
  <c r="A6393" i="1"/>
  <c r="A6392" i="1"/>
  <c r="A6391" i="1"/>
  <c r="A6390" i="1"/>
  <c r="A6389" i="1"/>
  <c r="A6388" i="1"/>
  <c r="A6387" i="1"/>
  <c r="A6386" i="1"/>
  <c r="A6385" i="1"/>
  <c r="A6384" i="1"/>
  <c r="A6383" i="1"/>
  <c r="A6382" i="1"/>
  <c r="A6381" i="1"/>
  <c r="A6380" i="1"/>
  <c r="A6379" i="1"/>
  <c r="A6378" i="1"/>
  <c r="A6377" i="1"/>
  <c r="A6376" i="1"/>
  <c r="A6375" i="1"/>
  <c r="A6374" i="1"/>
  <c r="A6373" i="1"/>
  <c r="A6372" i="1"/>
  <c r="A6371" i="1"/>
  <c r="A6370" i="1"/>
  <c r="A6369" i="1"/>
  <c r="A6368" i="1"/>
  <c r="A6367" i="1"/>
  <c r="A6366" i="1"/>
  <c r="A6365" i="1"/>
  <c r="A6364" i="1"/>
  <c r="A6363" i="1"/>
  <c r="A6362" i="1"/>
  <c r="A6361" i="1"/>
  <c r="A6360" i="1"/>
  <c r="A6359" i="1"/>
  <c r="A6358" i="1"/>
  <c r="A6357" i="1"/>
  <c r="A6356" i="1"/>
  <c r="A6355" i="1"/>
  <c r="A6354" i="1"/>
  <c r="A6353" i="1"/>
  <c r="A6352" i="1"/>
  <c r="A6351" i="1"/>
  <c r="A6350" i="1"/>
  <c r="A6349" i="1"/>
  <c r="A6348" i="1"/>
  <c r="A6347" i="1"/>
  <c r="A6346" i="1"/>
  <c r="A6345" i="1"/>
  <c r="A6344" i="1"/>
  <c r="A6343" i="1"/>
  <c r="A6342" i="1"/>
  <c r="A6341" i="1"/>
  <c r="A6340" i="1"/>
  <c r="A6339" i="1"/>
  <c r="A6338" i="1"/>
  <c r="A6337" i="1"/>
  <c r="A6336" i="1"/>
  <c r="A6335" i="1"/>
  <c r="A6334" i="1"/>
  <c r="A6333" i="1"/>
  <c r="A6332" i="1"/>
  <c r="A6331" i="1"/>
  <c r="A6330" i="1"/>
  <c r="A6329" i="1"/>
  <c r="A6328" i="1"/>
  <c r="A6327" i="1"/>
  <c r="A6326" i="1"/>
  <c r="A6325" i="1"/>
  <c r="A6324" i="1"/>
  <c r="A6323" i="1"/>
  <c r="A6322" i="1"/>
  <c r="A6321" i="1"/>
  <c r="A6320" i="1"/>
  <c r="A6319" i="1"/>
  <c r="A6318" i="1"/>
  <c r="A6317" i="1"/>
  <c r="A6316" i="1"/>
  <c r="A6315" i="1"/>
  <c r="A6314" i="1"/>
  <c r="A6313" i="1"/>
  <c r="A6312" i="1"/>
  <c r="A6311" i="1"/>
  <c r="A6310" i="1"/>
  <c r="A6309" i="1"/>
  <c r="A6308" i="1"/>
  <c r="A6307" i="1"/>
  <c r="A6306" i="1"/>
  <c r="A6305" i="1"/>
  <c r="A6304" i="1"/>
  <c r="A6303" i="1"/>
  <c r="A6302" i="1"/>
  <c r="A6301" i="1"/>
  <c r="A6300" i="1"/>
  <c r="A6299" i="1"/>
  <c r="A6298" i="1"/>
  <c r="A6297" i="1"/>
  <c r="A6296" i="1"/>
  <c r="A6295" i="1"/>
  <c r="A6294" i="1"/>
  <c r="A6293" i="1"/>
  <c r="A6292" i="1"/>
  <c r="A6291" i="1"/>
  <c r="A6290" i="1"/>
  <c r="A6289" i="1"/>
  <c r="A6288" i="1"/>
  <c r="A6287" i="1"/>
  <c r="A6286" i="1"/>
  <c r="A6285" i="1"/>
  <c r="A6284" i="1"/>
  <c r="A6283" i="1"/>
  <c r="A6282" i="1"/>
  <c r="A6281" i="1"/>
  <c r="A6280" i="1"/>
  <c r="A6279" i="1"/>
  <c r="A6278" i="1"/>
  <c r="A6277" i="1"/>
  <c r="A6276" i="1"/>
  <c r="A6275" i="1"/>
  <c r="A6274" i="1"/>
  <c r="A6273" i="1"/>
  <c r="A6272" i="1"/>
  <c r="A6271" i="1"/>
  <c r="A6270" i="1"/>
  <c r="A6269" i="1"/>
  <c r="A6268" i="1"/>
  <c r="A6267" i="1"/>
  <c r="A6266" i="1"/>
  <c r="A6265" i="1"/>
  <c r="A6264" i="1"/>
  <c r="A6263" i="1"/>
  <c r="A6262" i="1"/>
  <c r="A6261" i="1"/>
  <c r="A6260" i="1"/>
  <c r="A6259" i="1"/>
  <c r="A6258" i="1"/>
  <c r="A6257" i="1"/>
  <c r="A6256" i="1"/>
  <c r="A6255" i="1"/>
  <c r="A6254" i="1"/>
  <c r="A6253" i="1"/>
  <c r="A6252" i="1"/>
  <c r="A6251" i="1"/>
  <c r="A6250" i="1"/>
  <c r="A6249" i="1"/>
  <c r="A6248" i="1"/>
  <c r="A6247" i="1"/>
  <c r="A6246" i="1"/>
  <c r="A6245" i="1"/>
  <c r="A6244" i="1"/>
  <c r="A6243" i="1"/>
  <c r="A6242" i="1"/>
  <c r="A6241" i="1"/>
  <c r="A6240" i="1"/>
  <c r="A6239" i="1"/>
  <c r="A6238" i="1"/>
  <c r="A6237" i="1"/>
  <c r="A6236" i="1"/>
  <c r="A6235" i="1"/>
  <c r="A6234" i="1"/>
  <c r="A6233" i="1"/>
  <c r="A6232" i="1"/>
  <c r="A6231" i="1"/>
  <c r="A6230" i="1"/>
  <c r="A6229" i="1"/>
  <c r="A6228" i="1"/>
  <c r="A6227" i="1"/>
  <c r="A6226" i="1"/>
  <c r="A6225" i="1"/>
  <c r="A6224" i="1"/>
  <c r="A6223" i="1"/>
  <c r="A6222" i="1"/>
  <c r="A6221" i="1"/>
  <c r="A6220" i="1"/>
  <c r="A6219" i="1"/>
  <c r="A6218" i="1"/>
  <c r="A6217" i="1"/>
  <c r="A6216" i="1"/>
  <c r="A6215" i="1"/>
  <c r="A6214" i="1"/>
  <c r="A6213" i="1"/>
  <c r="A6212" i="1"/>
  <c r="A6211" i="1"/>
  <c r="A6210" i="1"/>
  <c r="A6209" i="1"/>
  <c r="A6208" i="1"/>
  <c r="A6207" i="1"/>
  <c r="A6206" i="1"/>
  <c r="A6205" i="1"/>
  <c r="A6204" i="1"/>
  <c r="A6203" i="1"/>
  <c r="A6202" i="1"/>
  <c r="A6201" i="1"/>
  <c r="A6200" i="1"/>
  <c r="A6199" i="1"/>
  <c r="A6198" i="1"/>
  <c r="A6197" i="1"/>
  <c r="A6196" i="1"/>
  <c r="A6195" i="1"/>
  <c r="A6194" i="1"/>
  <c r="A6193" i="1"/>
  <c r="A6192" i="1"/>
  <c r="A6191" i="1"/>
  <c r="A6190" i="1"/>
  <c r="A6189" i="1"/>
  <c r="A6188" i="1"/>
  <c r="A6187" i="1"/>
  <c r="A6186" i="1"/>
  <c r="A6185" i="1"/>
  <c r="A6184" i="1"/>
  <c r="A6183" i="1"/>
  <c r="A6182" i="1"/>
  <c r="A6181" i="1"/>
  <c r="A6180" i="1"/>
  <c r="A6179" i="1"/>
  <c r="A6178" i="1"/>
  <c r="A6177" i="1"/>
  <c r="A6176" i="1"/>
  <c r="A6175" i="1"/>
  <c r="A6174" i="1"/>
  <c r="A6173" i="1"/>
  <c r="A6172" i="1"/>
  <c r="A6171" i="1"/>
  <c r="A6170" i="1"/>
  <c r="A6169" i="1"/>
  <c r="A6168" i="1"/>
  <c r="A6167" i="1"/>
  <c r="A6166" i="1"/>
  <c r="A6165" i="1"/>
  <c r="A6164" i="1"/>
  <c r="A6163" i="1"/>
  <c r="A6162" i="1"/>
  <c r="A6161" i="1"/>
  <c r="A6160" i="1"/>
  <c r="A6159" i="1"/>
  <c r="A6158" i="1"/>
  <c r="A6157" i="1"/>
  <c r="A6156" i="1"/>
  <c r="A6155" i="1"/>
  <c r="A6154" i="1"/>
  <c r="A6153" i="1"/>
  <c r="A6152" i="1"/>
  <c r="A6151" i="1"/>
  <c r="A6150" i="1"/>
  <c r="A6149" i="1"/>
  <c r="A6148" i="1"/>
  <c r="A6147" i="1"/>
  <c r="A6146" i="1"/>
  <c r="A6145" i="1"/>
  <c r="A6144" i="1"/>
  <c r="A6143" i="1"/>
  <c r="A6142" i="1"/>
  <c r="A6141" i="1"/>
  <c r="A6140" i="1"/>
  <c r="A6139" i="1"/>
  <c r="A6138" i="1"/>
  <c r="A6137" i="1"/>
  <c r="A6136" i="1"/>
  <c r="A6135" i="1"/>
  <c r="A6134" i="1"/>
  <c r="A6133" i="1"/>
  <c r="A6132" i="1"/>
  <c r="A6131" i="1"/>
  <c r="A6130" i="1"/>
  <c r="A6129" i="1"/>
  <c r="A6128" i="1"/>
  <c r="A6127" i="1"/>
  <c r="A6126" i="1"/>
  <c r="A6125" i="1"/>
  <c r="A6124" i="1"/>
  <c r="A6123" i="1"/>
  <c r="A6122" i="1"/>
  <c r="A6121" i="1"/>
  <c r="A6120" i="1"/>
  <c r="A6119" i="1"/>
  <c r="A6118" i="1"/>
  <c r="A6117" i="1"/>
  <c r="A6116" i="1"/>
  <c r="A6115" i="1"/>
  <c r="A6114" i="1"/>
  <c r="A6113" i="1"/>
  <c r="A6112" i="1"/>
  <c r="A6111" i="1"/>
  <c r="A6110" i="1"/>
  <c r="A6109" i="1"/>
  <c r="A6108" i="1"/>
  <c r="A6107" i="1"/>
  <c r="A6106" i="1"/>
  <c r="A6105" i="1"/>
  <c r="A6104" i="1"/>
  <c r="A6103" i="1"/>
  <c r="A6102" i="1"/>
  <c r="A6101" i="1"/>
  <c r="A6100" i="1"/>
  <c r="A6099" i="1"/>
  <c r="A6098" i="1"/>
  <c r="A6097" i="1"/>
  <c r="A6096" i="1"/>
  <c r="A6095" i="1"/>
  <c r="A6094" i="1"/>
  <c r="A6093" i="1"/>
  <c r="A6092" i="1"/>
  <c r="A6091" i="1"/>
  <c r="A6090" i="1"/>
  <c r="A6089" i="1"/>
  <c r="A6088" i="1"/>
  <c r="A6087" i="1"/>
  <c r="A6086" i="1"/>
  <c r="A6085" i="1"/>
  <c r="A6084" i="1"/>
  <c r="A6083" i="1"/>
  <c r="A6082" i="1"/>
  <c r="A6081" i="1"/>
  <c r="A6080" i="1"/>
  <c r="A6079" i="1"/>
  <c r="A6078" i="1"/>
  <c r="A6077" i="1"/>
  <c r="A6076" i="1"/>
  <c r="A6075" i="1"/>
  <c r="A6074" i="1"/>
  <c r="A6073" i="1"/>
  <c r="A6072" i="1"/>
  <c r="A6071" i="1"/>
  <c r="A6070" i="1"/>
  <c r="A6069" i="1"/>
  <c r="A6068" i="1"/>
  <c r="A6067" i="1"/>
  <c r="A6066" i="1"/>
  <c r="A6065" i="1"/>
  <c r="A6064" i="1"/>
  <c r="A6063" i="1"/>
  <c r="A6062" i="1"/>
  <c r="A6061" i="1"/>
  <c r="A6060" i="1"/>
  <c r="A6059" i="1"/>
  <c r="A6058" i="1"/>
  <c r="A6057" i="1"/>
  <c r="A6056" i="1"/>
  <c r="A6055" i="1"/>
  <c r="A6054" i="1"/>
  <c r="A6053" i="1"/>
  <c r="A6052" i="1"/>
  <c r="A6051" i="1"/>
  <c r="A6050" i="1"/>
  <c r="A6049" i="1"/>
  <c r="A6048" i="1"/>
  <c r="A6047" i="1"/>
  <c r="A6046" i="1"/>
  <c r="A6045" i="1"/>
  <c r="A6044" i="1"/>
  <c r="A6043" i="1"/>
  <c r="A6042" i="1"/>
  <c r="A6041" i="1"/>
  <c r="A6040" i="1"/>
  <c r="A6039" i="1"/>
  <c r="A6038" i="1"/>
  <c r="A6037" i="1"/>
  <c r="A6036" i="1"/>
  <c r="A6035" i="1"/>
  <c r="A6034" i="1"/>
  <c r="A6033" i="1"/>
  <c r="A6032" i="1"/>
  <c r="A6031" i="1"/>
  <c r="A6030" i="1"/>
  <c r="A6029" i="1"/>
  <c r="A6028" i="1"/>
  <c r="A6027" i="1"/>
  <c r="A6026" i="1"/>
  <c r="A6025" i="1"/>
  <c r="A6024" i="1"/>
  <c r="A6023" i="1"/>
  <c r="A6022" i="1"/>
  <c r="A6021" i="1"/>
  <c r="A6020" i="1"/>
  <c r="A6019" i="1"/>
  <c r="A6018" i="1"/>
  <c r="A6017" i="1"/>
  <c r="A6016" i="1"/>
  <c r="A6015" i="1"/>
  <c r="A6014" i="1"/>
  <c r="A6013" i="1"/>
  <c r="A6012" i="1"/>
  <c r="A6011" i="1"/>
  <c r="A6010" i="1"/>
  <c r="A6009" i="1"/>
  <c r="A6008" i="1"/>
  <c r="A6007" i="1"/>
  <c r="A6006" i="1"/>
  <c r="A6005" i="1"/>
  <c r="A6004" i="1"/>
  <c r="A6003" i="1"/>
  <c r="A6002" i="1"/>
  <c r="A6001" i="1"/>
  <c r="A6000" i="1"/>
  <c r="A5999" i="1"/>
  <c r="A5998" i="1"/>
  <c r="A5997" i="1"/>
  <c r="A5996" i="1"/>
  <c r="A5995" i="1"/>
  <c r="A5994" i="1"/>
  <c r="A5993" i="1"/>
  <c r="A5992" i="1"/>
  <c r="A5991" i="1"/>
  <c r="A5990" i="1"/>
  <c r="A5989" i="1"/>
  <c r="A5988" i="1"/>
  <c r="A5987" i="1"/>
  <c r="A5986" i="1"/>
  <c r="A5985" i="1"/>
  <c r="A5984" i="1"/>
  <c r="A5983" i="1"/>
  <c r="A5982" i="1"/>
  <c r="A5981" i="1"/>
  <c r="A5980" i="1"/>
  <c r="A5979" i="1"/>
  <c r="A5978" i="1"/>
  <c r="A5977" i="1"/>
  <c r="A5976" i="1"/>
  <c r="A5975" i="1"/>
  <c r="A5974" i="1"/>
  <c r="A5973" i="1"/>
  <c r="A5972" i="1"/>
  <c r="A5971" i="1"/>
  <c r="A5970" i="1"/>
  <c r="A5969" i="1"/>
  <c r="A5968" i="1"/>
  <c r="A5967" i="1"/>
  <c r="A5966" i="1"/>
  <c r="A5965" i="1"/>
  <c r="A5964" i="1"/>
  <c r="A5963" i="1"/>
  <c r="A5962" i="1"/>
  <c r="A5961" i="1"/>
  <c r="A5960" i="1"/>
  <c r="A5959" i="1"/>
  <c r="A5958" i="1"/>
  <c r="A5957" i="1"/>
  <c r="A5956" i="1"/>
  <c r="A5955" i="1"/>
  <c r="A5954" i="1"/>
  <c r="A5953" i="1"/>
  <c r="A5952" i="1"/>
  <c r="A5951" i="1"/>
  <c r="A5950" i="1"/>
  <c r="A5949" i="1"/>
  <c r="A5948" i="1"/>
  <c r="A5947" i="1"/>
  <c r="A5946" i="1"/>
  <c r="A5945" i="1"/>
  <c r="A5944" i="1"/>
  <c r="A5943" i="1"/>
  <c r="A5942" i="1"/>
  <c r="A5941" i="1"/>
  <c r="A5940" i="1"/>
  <c r="A5939" i="1"/>
  <c r="A5938" i="1"/>
  <c r="A5937" i="1"/>
  <c r="A5936" i="1"/>
  <c r="A5935" i="1"/>
  <c r="A5934" i="1"/>
  <c r="A5933" i="1"/>
  <c r="A5932" i="1"/>
  <c r="A5931" i="1"/>
  <c r="A5930" i="1"/>
  <c r="A5929" i="1"/>
  <c r="A5928" i="1"/>
  <c r="A5927" i="1"/>
  <c r="A5926" i="1"/>
  <c r="A5925" i="1"/>
  <c r="A5924" i="1"/>
  <c r="A5923" i="1"/>
  <c r="A5922" i="1"/>
  <c r="A5921" i="1"/>
  <c r="A5920" i="1"/>
  <c r="A5919" i="1"/>
  <c r="A5918" i="1"/>
  <c r="A5917" i="1"/>
  <c r="A5916" i="1"/>
  <c r="A5915" i="1"/>
  <c r="A5914" i="1"/>
  <c r="A5913" i="1"/>
  <c r="A5912" i="1"/>
  <c r="A5911" i="1"/>
  <c r="A5910" i="1"/>
  <c r="A5909" i="1"/>
  <c r="A5908" i="1"/>
  <c r="A5907" i="1"/>
  <c r="A5906" i="1"/>
  <c r="A5905" i="1"/>
  <c r="A5904" i="1"/>
  <c r="A5903" i="1"/>
  <c r="A5902" i="1"/>
  <c r="A5901" i="1"/>
  <c r="A5900" i="1"/>
  <c r="A5899" i="1"/>
  <c r="A5898" i="1"/>
  <c r="A5897" i="1"/>
  <c r="A5896" i="1"/>
  <c r="A5895" i="1"/>
  <c r="A5894" i="1"/>
  <c r="A5893" i="1"/>
  <c r="A5892" i="1"/>
  <c r="A5891" i="1"/>
  <c r="A5890" i="1"/>
  <c r="A5889" i="1"/>
  <c r="A5888" i="1"/>
  <c r="A5887" i="1"/>
  <c r="A5886" i="1"/>
  <c r="A5885" i="1"/>
  <c r="A5884" i="1"/>
  <c r="A5883" i="1"/>
  <c r="A5882" i="1"/>
  <c r="A5881" i="1"/>
  <c r="A5880" i="1"/>
  <c r="A5879" i="1"/>
  <c r="A5878" i="1"/>
  <c r="A5877" i="1"/>
  <c r="A5876" i="1"/>
  <c r="A5875" i="1"/>
  <c r="A5874" i="1"/>
  <c r="A5873" i="1"/>
  <c r="A5872" i="1"/>
  <c r="A5871" i="1"/>
  <c r="A5870" i="1"/>
  <c r="A5869" i="1"/>
  <c r="A5868" i="1"/>
  <c r="A5867" i="1"/>
  <c r="A5866" i="1"/>
  <c r="A5865" i="1"/>
  <c r="A5864" i="1"/>
  <c r="A5863" i="1"/>
  <c r="A5862" i="1"/>
  <c r="A5861" i="1"/>
  <c r="A5860" i="1"/>
  <c r="A5859" i="1"/>
  <c r="A5858" i="1"/>
  <c r="A5857" i="1"/>
  <c r="A5856" i="1"/>
  <c r="A5855" i="1"/>
  <c r="A5854" i="1"/>
  <c r="A5853" i="1"/>
  <c r="A5852" i="1"/>
  <c r="A5851" i="1"/>
  <c r="A5850" i="1"/>
  <c r="A5849" i="1"/>
  <c r="A5848" i="1"/>
  <c r="A5847" i="1"/>
  <c r="A5846" i="1"/>
  <c r="A5845" i="1"/>
  <c r="A5844" i="1"/>
  <c r="A5843" i="1"/>
  <c r="A5842" i="1"/>
  <c r="A5841" i="1"/>
  <c r="A5840" i="1"/>
  <c r="A5839" i="1"/>
  <c r="A5838" i="1"/>
  <c r="A5837" i="1"/>
  <c r="A5836" i="1"/>
  <c r="A5835" i="1"/>
  <c r="A5834" i="1"/>
  <c r="A5833" i="1"/>
  <c r="A5832" i="1"/>
  <c r="A5831" i="1"/>
  <c r="A5830" i="1"/>
  <c r="A5829" i="1"/>
  <c r="A5828" i="1"/>
  <c r="A5827" i="1"/>
  <c r="A5826" i="1"/>
  <c r="A5825" i="1"/>
  <c r="A5824" i="1"/>
  <c r="A5823" i="1"/>
  <c r="A5822" i="1"/>
  <c r="A5821" i="1"/>
  <c r="A5820" i="1"/>
  <c r="A5819" i="1"/>
  <c r="A5818" i="1"/>
  <c r="A5817" i="1"/>
  <c r="A5816" i="1"/>
  <c r="A5815" i="1"/>
  <c r="A5814" i="1"/>
  <c r="A5813" i="1"/>
  <c r="A5812" i="1"/>
  <c r="A5811" i="1"/>
  <c r="A5810" i="1"/>
  <c r="A5809" i="1"/>
  <c r="A5808" i="1"/>
  <c r="A5807" i="1"/>
  <c r="A5806" i="1"/>
  <c r="A5805" i="1"/>
  <c r="A5804" i="1"/>
  <c r="A5803" i="1"/>
  <c r="A5802" i="1"/>
  <c r="A5801" i="1"/>
  <c r="A5800" i="1"/>
  <c r="A5799" i="1"/>
  <c r="A5798" i="1"/>
  <c r="A5797" i="1"/>
  <c r="A5796" i="1"/>
  <c r="A5795" i="1"/>
  <c r="A5794" i="1"/>
  <c r="A5793" i="1"/>
  <c r="A5792" i="1"/>
  <c r="A5791" i="1"/>
  <c r="A5790" i="1"/>
  <c r="A5789" i="1"/>
  <c r="A5788" i="1"/>
  <c r="A5787" i="1"/>
  <c r="A5786" i="1"/>
  <c r="A5785" i="1"/>
  <c r="A5784" i="1"/>
  <c r="A5783" i="1"/>
  <c r="A5782" i="1"/>
  <c r="A5781" i="1"/>
  <c r="A5780" i="1"/>
  <c r="A5779" i="1"/>
  <c r="A5778" i="1"/>
  <c r="A5777" i="1"/>
  <c r="A5776" i="1"/>
  <c r="A5775" i="1"/>
  <c r="A5774" i="1"/>
  <c r="A5773" i="1"/>
  <c r="A5772" i="1"/>
  <c r="A5771" i="1"/>
  <c r="A5770" i="1"/>
  <c r="A5769" i="1"/>
  <c r="A5768" i="1"/>
  <c r="A5767" i="1"/>
  <c r="A5766" i="1"/>
  <c r="A5765" i="1"/>
  <c r="A5764" i="1"/>
  <c r="A5763" i="1"/>
  <c r="A5762" i="1"/>
  <c r="A5761" i="1"/>
  <c r="A5760" i="1"/>
  <c r="A5759" i="1"/>
  <c r="A5758" i="1"/>
  <c r="A5757" i="1"/>
  <c r="A5756" i="1"/>
  <c r="A5755" i="1"/>
  <c r="A5754" i="1"/>
  <c r="A5753" i="1"/>
  <c r="A5752" i="1"/>
  <c r="A5751" i="1"/>
  <c r="A5750" i="1"/>
  <c r="A5749" i="1"/>
  <c r="A5748" i="1"/>
  <c r="A5747" i="1"/>
  <c r="A5746" i="1"/>
  <c r="A5745" i="1"/>
  <c r="A5744" i="1"/>
  <c r="A5743" i="1"/>
  <c r="A5742" i="1"/>
  <c r="A5741" i="1"/>
  <c r="A5740" i="1"/>
  <c r="A5739" i="1"/>
  <c r="A5738" i="1"/>
  <c r="A5737" i="1"/>
  <c r="A5736" i="1"/>
  <c r="A5735" i="1"/>
  <c r="A5734" i="1"/>
  <c r="A5733" i="1"/>
  <c r="A5732" i="1"/>
  <c r="A5731" i="1"/>
  <c r="A5730" i="1"/>
  <c r="A5729" i="1"/>
  <c r="A5728" i="1"/>
  <c r="A5727" i="1"/>
  <c r="A5726" i="1"/>
  <c r="A5725" i="1"/>
  <c r="A5724" i="1"/>
  <c r="A5723" i="1"/>
  <c r="A5722" i="1"/>
  <c r="A5721" i="1"/>
  <c r="A5720" i="1"/>
  <c r="A5719" i="1"/>
  <c r="A5718" i="1"/>
  <c r="A5717" i="1"/>
  <c r="A5716" i="1"/>
  <c r="A5715" i="1"/>
  <c r="A5714" i="1"/>
  <c r="A5713" i="1"/>
  <c r="A5712" i="1"/>
  <c r="A5711" i="1"/>
  <c r="A5710" i="1"/>
  <c r="A5709" i="1"/>
  <c r="A5708" i="1"/>
  <c r="A5707" i="1"/>
  <c r="A5706" i="1"/>
  <c r="A5705" i="1"/>
  <c r="A5704" i="1"/>
  <c r="A5703" i="1"/>
  <c r="A5702" i="1"/>
  <c r="A5701" i="1"/>
  <c r="A5700" i="1"/>
  <c r="A5699" i="1"/>
  <c r="A5698" i="1"/>
  <c r="A5697" i="1"/>
  <c r="A5696" i="1"/>
  <c r="A5695" i="1"/>
  <c r="A5694" i="1"/>
  <c r="A5693" i="1"/>
  <c r="A5692" i="1"/>
  <c r="A5691" i="1"/>
  <c r="A5690" i="1"/>
  <c r="A5689" i="1"/>
  <c r="A5688" i="1"/>
  <c r="A5687" i="1"/>
  <c r="A5686" i="1"/>
  <c r="A5685" i="1"/>
  <c r="A5684" i="1"/>
  <c r="A5683" i="1"/>
  <c r="A5682" i="1"/>
  <c r="A5681" i="1"/>
  <c r="A5680" i="1"/>
  <c r="A5679" i="1"/>
  <c r="A5678" i="1"/>
  <c r="A5677" i="1"/>
  <c r="A5676" i="1"/>
  <c r="A5675" i="1"/>
  <c r="A5674" i="1"/>
  <c r="A5673" i="1"/>
  <c r="A5672" i="1"/>
  <c r="A5671" i="1"/>
  <c r="A5670" i="1"/>
  <c r="A5669" i="1"/>
  <c r="A5668" i="1"/>
  <c r="A5667" i="1"/>
  <c r="A5666" i="1"/>
  <c r="A5665" i="1"/>
  <c r="A5664" i="1"/>
  <c r="A5663" i="1"/>
  <c r="A5662" i="1"/>
  <c r="A5661" i="1"/>
  <c r="A5660" i="1"/>
  <c r="A5659" i="1"/>
  <c r="A5658" i="1"/>
  <c r="A5657" i="1"/>
  <c r="A5656" i="1"/>
  <c r="A5655" i="1"/>
  <c r="A5654" i="1"/>
  <c r="A5653" i="1"/>
  <c r="A5652" i="1"/>
  <c r="A5651" i="1"/>
  <c r="A5650" i="1"/>
  <c r="A5649" i="1"/>
  <c r="A5648" i="1"/>
  <c r="A5647" i="1"/>
  <c r="A5646" i="1"/>
  <c r="A5645" i="1"/>
  <c r="A5644" i="1"/>
  <c r="A5643" i="1"/>
  <c r="A5642" i="1"/>
  <c r="A5641" i="1"/>
  <c r="A5640" i="1"/>
  <c r="A5639" i="1"/>
  <c r="A5638" i="1"/>
  <c r="A5637" i="1"/>
  <c r="A5636" i="1"/>
  <c r="A5635" i="1"/>
  <c r="A5634" i="1"/>
  <c r="A5633" i="1"/>
  <c r="A5632" i="1"/>
  <c r="A5631" i="1"/>
  <c r="A5630" i="1"/>
  <c r="A5629" i="1"/>
  <c r="A5628" i="1"/>
  <c r="A5627" i="1"/>
  <c r="A5626" i="1"/>
  <c r="A5625" i="1"/>
  <c r="A5624" i="1"/>
  <c r="A5623" i="1"/>
  <c r="A5622" i="1"/>
  <c r="A5621" i="1"/>
  <c r="A5620" i="1"/>
  <c r="A5619" i="1"/>
  <c r="A5618" i="1"/>
  <c r="A5617" i="1"/>
  <c r="A5616" i="1"/>
  <c r="A5615" i="1"/>
  <c r="A5614" i="1"/>
  <c r="A5613" i="1"/>
  <c r="A5612" i="1"/>
  <c r="A5611" i="1"/>
  <c r="A5610" i="1"/>
  <c r="A5609" i="1"/>
  <c r="A5608" i="1"/>
  <c r="A5607" i="1"/>
  <c r="A5606" i="1"/>
  <c r="A5605" i="1"/>
  <c r="A5604" i="1"/>
  <c r="A5603" i="1"/>
  <c r="A5602" i="1"/>
  <c r="A5601" i="1"/>
  <c r="A5600" i="1"/>
  <c r="A5599" i="1"/>
  <c r="A5598" i="1"/>
  <c r="A5597" i="1"/>
  <c r="A5596" i="1"/>
  <c r="A5595" i="1"/>
  <c r="A5594" i="1"/>
  <c r="A5593" i="1"/>
  <c r="A5592" i="1"/>
  <c r="A5591" i="1"/>
  <c r="A5590" i="1"/>
  <c r="A5589" i="1"/>
  <c r="A5588" i="1"/>
  <c r="A5587" i="1"/>
  <c r="A5586" i="1"/>
  <c r="A5585" i="1"/>
  <c r="A5584" i="1"/>
  <c r="A5583" i="1"/>
  <c r="A5582" i="1"/>
  <c r="A5581" i="1"/>
  <c r="A5580" i="1"/>
  <c r="A5579" i="1"/>
  <c r="A5578" i="1"/>
  <c r="A5577" i="1"/>
  <c r="A5576" i="1"/>
  <c r="A5575" i="1"/>
  <c r="A5574" i="1"/>
  <c r="A5573" i="1"/>
  <c r="A5572" i="1"/>
  <c r="A5571" i="1"/>
  <c r="A5570" i="1"/>
  <c r="A5569" i="1"/>
  <c r="A5568" i="1"/>
  <c r="A5567" i="1"/>
  <c r="A5566" i="1"/>
  <c r="A5565" i="1"/>
  <c r="A5564" i="1"/>
  <c r="A5563" i="1"/>
  <c r="A5562" i="1"/>
  <c r="A5561" i="1"/>
  <c r="A5560" i="1"/>
  <c r="A5559" i="1"/>
  <c r="A5558" i="1"/>
  <c r="A5557" i="1"/>
  <c r="A5556" i="1"/>
  <c r="A5555" i="1"/>
  <c r="A5554" i="1"/>
  <c r="A5553" i="1"/>
  <c r="A5552" i="1"/>
  <c r="A5551" i="1"/>
  <c r="A5550" i="1"/>
  <c r="A5549" i="1"/>
  <c r="A5548" i="1"/>
  <c r="A5547" i="1"/>
  <c r="A5546" i="1"/>
  <c r="A5545" i="1"/>
  <c r="A5544" i="1"/>
  <c r="A5543" i="1"/>
  <c r="A5542" i="1"/>
  <c r="A5541" i="1"/>
  <c r="A5540" i="1"/>
  <c r="A5539" i="1"/>
  <c r="A5538" i="1"/>
  <c r="A5537" i="1"/>
  <c r="A5536" i="1"/>
  <c r="A5535" i="1"/>
  <c r="A5534" i="1"/>
  <c r="A5533" i="1"/>
  <c r="A5532" i="1"/>
  <c r="A5531" i="1"/>
  <c r="A5530" i="1"/>
  <c r="A5529" i="1"/>
  <c r="A5528" i="1"/>
  <c r="A5527" i="1"/>
  <c r="A5526" i="1"/>
  <c r="A5525" i="1"/>
  <c r="A5524" i="1"/>
  <c r="A5523" i="1"/>
  <c r="A5522" i="1"/>
  <c r="A5521" i="1"/>
  <c r="A5520" i="1"/>
  <c r="A5519" i="1"/>
  <c r="A5518" i="1"/>
  <c r="A5517" i="1"/>
  <c r="A5516" i="1"/>
  <c r="A5515" i="1"/>
  <c r="A5514" i="1"/>
  <c r="A5513" i="1"/>
  <c r="A5512" i="1"/>
  <c r="A5511" i="1"/>
  <c r="A5510" i="1"/>
  <c r="A5509" i="1"/>
  <c r="A5508" i="1"/>
  <c r="A5507" i="1"/>
  <c r="A5506" i="1"/>
  <c r="A5505" i="1"/>
  <c r="A5504" i="1"/>
  <c r="A5503" i="1"/>
  <c r="A5502" i="1"/>
  <c r="A5501" i="1"/>
  <c r="A5500" i="1"/>
  <c r="A5499" i="1"/>
  <c r="A5498" i="1"/>
  <c r="A5497" i="1"/>
  <c r="A5496" i="1"/>
  <c r="A5495" i="1"/>
  <c r="A5494" i="1"/>
  <c r="A5493" i="1"/>
  <c r="A5492" i="1"/>
  <c r="A5491" i="1"/>
  <c r="A5490" i="1"/>
  <c r="A5489" i="1"/>
  <c r="A5488" i="1"/>
  <c r="A5487" i="1"/>
  <c r="A5486" i="1"/>
  <c r="A5485" i="1"/>
  <c r="A5484" i="1"/>
  <c r="A5483" i="1"/>
  <c r="A5482" i="1"/>
  <c r="A5481" i="1"/>
  <c r="A5480" i="1"/>
  <c r="A5479" i="1"/>
  <c r="A5478" i="1"/>
  <c r="A5477" i="1"/>
  <c r="A5476" i="1"/>
  <c r="A5475" i="1"/>
  <c r="A5474" i="1"/>
  <c r="A5473" i="1"/>
  <c r="A5472" i="1"/>
  <c r="A5471" i="1"/>
  <c r="A5470" i="1"/>
  <c r="A5469" i="1"/>
  <c r="A5468" i="1"/>
  <c r="A5467" i="1"/>
  <c r="A5466" i="1"/>
  <c r="A5465" i="1"/>
  <c r="A5464" i="1"/>
  <c r="A5463" i="1"/>
  <c r="A5462" i="1"/>
  <c r="A5461" i="1"/>
  <c r="A5460" i="1"/>
  <c r="A5459" i="1"/>
  <c r="A5458" i="1"/>
  <c r="A5457" i="1"/>
  <c r="A5456" i="1"/>
  <c r="A5455" i="1"/>
  <c r="A5454" i="1"/>
  <c r="A5453" i="1"/>
  <c r="A5452" i="1"/>
  <c r="A5451" i="1"/>
  <c r="A5450" i="1"/>
  <c r="A5449" i="1"/>
  <c r="A5448" i="1"/>
  <c r="A5447" i="1"/>
  <c r="A5446" i="1"/>
  <c r="A5445" i="1"/>
  <c r="A5444" i="1"/>
  <c r="A5443" i="1"/>
  <c r="A5442" i="1"/>
  <c r="A5441" i="1"/>
  <c r="A5440" i="1"/>
  <c r="A5439" i="1"/>
  <c r="A5438" i="1"/>
  <c r="A5437" i="1"/>
  <c r="A5436" i="1"/>
  <c r="A5435" i="1"/>
  <c r="A5434" i="1"/>
  <c r="A5433" i="1"/>
  <c r="A5432" i="1"/>
  <c r="A5431" i="1"/>
  <c r="A5430" i="1"/>
  <c r="A5429" i="1"/>
  <c r="A5428" i="1"/>
  <c r="A5427" i="1"/>
  <c r="A5426" i="1"/>
  <c r="A5425" i="1"/>
  <c r="A5424" i="1"/>
  <c r="A5423" i="1"/>
  <c r="A5422" i="1"/>
  <c r="A5421" i="1"/>
  <c r="A5420" i="1"/>
  <c r="A5419" i="1"/>
  <c r="A5418" i="1"/>
  <c r="A5417" i="1"/>
  <c r="A5416" i="1"/>
  <c r="A5415" i="1"/>
  <c r="A5414" i="1"/>
  <c r="A5413" i="1"/>
  <c r="A5412" i="1"/>
  <c r="A5411" i="1"/>
  <c r="A5410" i="1"/>
  <c r="A5409" i="1"/>
  <c r="A5408" i="1"/>
  <c r="A5407" i="1"/>
  <c r="A5406" i="1"/>
  <c r="A5405" i="1"/>
  <c r="A5404" i="1"/>
  <c r="A5403" i="1"/>
  <c r="A5402" i="1"/>
  <c r="A5401" i="1"/>
  <c r="A5400" i="1"/>
  <c r="A5399" i="1"/>
  <c r="A5398" i="1"/>
  <c r="A5397" i="1"/>
  <c r="A5396" i="1"/>
  <c r="A5395" i="1"/>
  <c r="A5394" i="1"/>
  <c r="A5393" i="1"/>
  <c r="A5392" i="1"/>
  <c r="A5391" i="1"/>
  <c r="A5390" i="1"/>
  <c r="A5389" i="1"/>
  <c r="A5388" i="1"/>
  <c r="A5387" i="1"/>
  <c r="A5386" i="1"/>
  <c r="A5385" i="1"/>
  <c r="A5384" i="1"/>
  <c r="A5383" i="1"/>
  <c r="A5382" i="1"/>
  <c r="A5381" i="1"/>
  <c r="A5380" i="1"/>
  <c r="A5379" i="1"/>
  <c r="A5378" i="1"/>
  <c r="A5377" i="1"/>
  <c r="A5376" i="1"/>
  <c r="A5375" i="1"/>
  <c r="A5374" i="1"/>
  <c r="A5373" i="1"/>
  <c r="A5372" i="1"/>
  <c r="A5371" i="1"/>
  <c r="A5370" i="1"/>
  <c r="A5369" i="1"/>
  <c r="A5368" i="1"/>
  <c r="A5367" i="1"/>
  <c r="A5366" i="1"/>
  <c r="A5365" i="1"/>
  <c r="A5364" i="1"/>
  <c r="A5363" i="1"/>
  <c r="A5362" i="1"/>
  <c r="A5361" i="1"/>
  <c r="A5360" i="1"/>
  <c r="A5359" i="1"/>
  <c r="A5358" i="1"/>
  <c r="A5357" i="1"/>
  <c r="A5356" i="1"/>
  <c r="A5355" i="1"/>
  <c r="A5354" i="1"/>
  <c r="A5353" i="1"/>
  <c r="A5352" i="1"/>
  <c r="A5351" i="1"/>
  <c r="A5350" i="1"/>
  <c r="A5349" i="1"/>
  <c r="A5348" i="1"/>
  <c r="A5347" i="1"/>
  <c r="A5346" i="1"/>
  <c r="A5345" i="1"/>
  <c r="A5344" i="1"/>
  <c r="A5343" i="1"/>
  <c r="A5342" i="1"/>
  <c r="A5341" i="1"/>
  <c r="A5340" i="1"/>
  <c r="A5339" i="1"/>
  <c r="A5338" i="1"/>
  <c r="A5337" i="1"/>
  <c r="A5336" i="1"/>
  <c r="A5335" i="1"/>
  <c r="A5334" i="1"/>
  <c r="A5333" i="1"/>
  <c r="A5332" i="1"/>
  <c r="A5331" i="1"/>
  <c r="A5330" i="1"/>
  <c r="A5329" i="1"/>
  <c r="A5328" i="1"/>
  <c r="A5327" i="1"/>
  <c r="A5326" i="1"/>
  <c r="A5325" i="1"/>
  <c r="A5324" i="1"/>
  <c r="A5323" i="1"/>
  <c r="A5322" i="1"/>
  <c r="A5321" i="1"/>
  <c r="A5320" i="1"/>
  <c r="A5319" i="1"/>
  <c r="A5318" i="1"/>
  <c r="A5317" i="1"/>
  <c r="A5316" i="1"/>
  <c r="A5315" i="1"/>
  <c r="A5314" i="1"/>
  <c r="A5313" i="1"/>
  <c r="A5312" i="1"/>
  <c r="A5311" i="1"/>
  <c r="A5310" i="1"/>
  <c r="A5309" i="1"/>
  <c r="A5308" i="1"/>
  <c r="A5307" i="1"/>
  <c r="A5306" i="1"/>
  <c r="A5305" i="1"/>
  <c r="A5304" i="1"/>
  <c r="A5303" i="1"/>
  <c r="A5302" i="1"/>
  <c r="A5301" i="1"/>
  <c r="A5300" i="1"/>
  <c r="A5299" i="1"/>
  <c r="A5298" i="1"/>
  <c r="A5297" i="1"/>
  <c r="A5296" i="1"/>
  <c r="A5295" i="1"/>
  <c r="A5294" i="1"/>
  <c r="A5293" i="1"/>
  <c r="A5292" i="1"/>
  <c r="A5291" i="1"/>
  <c r="A5290" i="1"/>
  <c r="A5289" i="1"/>
  <c r="A5288" i="1"/>
  <c r="A5287" i="1"/>
  <c r="A5286" i="1"/>
  <c r="A5285" i="1"/>
  <c r="A5284" i="1"/>
  <c r="A5283" i="1"/>
  <c r="A5282" i="1"/>
  <c r="A5281" i="1"/>
  <c r="A5280" i="1"/>
  <c r="A5279" i="1"/>
  <c r="A5278" i="1"/>
  <c r="A5277" i="1"/>
  <c r="A5276" i="1"/>
  <c r="A5275" i="1"/>
  <c r="A5274" i="1"/>
  <c r="A5273" i="1"/>
  <c r="A5272" i="1"/>
  <c r="A5271" i="1"/>
  <c r="A5270" i="1"/>
  <c r="A5269" i="1"/>
  <c r="A5268" i="1"/>
  <c r="A5267" i="1"/>
  <c r="A5266" i="1"/>
  <c r="A5265" i="1"/>
  <c r="A5264" i="1"/>
  <c r="A5263" i="1"/>
  <c r="A5262" i="1"/>
  <c r="A5261" i="1"/>
  <c r="A5260" i="1"/>
  <c r="A5259" i="1"/>
  <c r="A5258" i="1"/>
  <c r="A5257" i="1"/>
  <c r="A5256" i="1"/>
  <c r="A5255" i="1"/>
  <c r="A5254" i="1"/>
  <c r="A5253" i="1"/>
  <c r="A5252" i="1"/>
  <c r="A5251" i="1"/>
  <c r="A5250" i="1"/>
  <c r="A5249" i="1"/>
  <c r="A5248" i="1"/>
  <c r="A5247" i="1"/>
  <c r="A5246" i="1"/>
  <c r="A5245" i="1"/>
  <c r="A5244" i="1"/>
  <c r="A5243" i="1"/>
  <c r="A5242" i="1"/>
  <c r="A5241" i="1"/>
  <c r="A5240" i="1"/>
  <c r="A5239" i="1"/>
  <c r="A5238" i="1"/>
  <c r="A5237" i="1"/>
  <c r="A5236" i="1"/>
  <c r="A5235" i="1"/>
  <c r="A5234" i="1"/>
  <c r="A5233" i="1"/>
  <c r="A5232" i="1"/>
  <c r="A5231" i="1"/>
  <c r="A5230" i="1"/>
  <c r="A5229" i="1"/>
  <c r="A5228" i="1"/>
  <c r="A5227" i="1"/>
  <c r="A5226" i="1"/>
  <c r="A5225" i="1"/>
  <c r="A5224" i="1"/>
  <c r="A5223" i="1"/>
  <c r="A5222" i="1"/>
  <c r="A5221" i="1"/>
  <c r="A5220" i="1"/>
  <c r="A5219" i="1"/>
  <c r="A5218" i="1"/>
  <c r="A5217" i="1"/>
  <c r="A5216" i="1"/>
  <c r="A5215" i="1"/>
  <c r="A5214" i="1"/>
  <c r="A5213" i="1"/>
  <c r="A5212" i="1"/>
  <c r="A5211" i="1"/>
  <c r="A5210" i="1"/>
  <c r="A5209" i="1"/>
  <c r="A5208" i="1"/>
  <c r="A5207" i="1"/>
  <c r="A5206" i="1"/>
  <c r="A5205" i="1"/>
  <c r="A5204" i="1"/>
  <c r="A5203" i="1"/>
  <c r="A5202" i="1"/>
  <c r="A5201" i="1"/>
  <c r="A5200" i="1"/>
  <c r="A5199" i="1"/>
  <c r="A5198" i="1"/>
  <c r="A5197" i="1"/>
  <c r="A5196" i="1"/>
  <c r="A5195" i="1"/>
  <c r="A5194" i="1"/>
  <c r="A5193" i="1"/>
  <c r="A5192" i="1"/>
  <c r="A5191" i="1"/>
  <c r="A5190" i="1"/>
  <c r="A5189" i="1"/>
  <c r="A5188" i="1"/>
  <c r="A5187" i="1"/>
  <c r="A5186" i="1"/>
  <c r="A5185" i="1"/>
  <c r="A5184" i="1"/>
  <c r="A5183" i="1"/>
  <c r="A5182" i="1"/>
  <c r="A5181" i="1"/>
  <c r="A5180" i="1"/>
  <c r="A5179" i="1"/>
  <c r="A5178" i="1"/>
  <c r="A5177" i="1"/>
  <c r="A5176" i="1"/>
  <c r="A5175" i="1"/>
  <c r="A5174" i="1"/>
  <c r="A5173" i="1"/>
  <c r="A5172" i="1"/>
  <c r="A5171" i="1"/>
  <c r="A5170" i="1"/>
  <c r="A5169" i="1"/>
  <c r="A5168" i="1"/>
  <c r="A5167" i="1"/>
  <c r="A5166" i="1"/>
  <c r="A5165" i="1"/>
  <c r="A5164" i="1"/>
  <c r="A5163" i="1"/>
  <c r="A5162" i="1"/>
  <c r="A5161" i="1"/>
  <c r="A5160" i="1"/>
  <c r="A5159" i="1"/>
  <c r="A5158" i="1"/>
  <c r="A5157" i="1"/>
  <c r="A5156" i="1"/>
  <c r="A5155" i="1"/>
  <c r="A5154" i="1"/>
  <c r="A5153" i="1"/>
  <c r="A5152" i="1"/>
  <c r="A5151" i="1"/>
  <c r="A5150" i="1"/>
  <c r="A5149" i="1"/>
  <c r="A5148" i="1"/>
  <c r="A5147" i="1"/>
  <c r="A5146" i="1"/>
  <c r="A5145" i="1"/>
  <c r="A5144" i="1"/>
  <c r="A5143" i="1"/>
  <c r="A5142" i="1"/>
  <c r="A5141" i="1"/>
  <c r="A5140" i="1"/>
  <c r="A5139" i="1"/>
  <c r="A5138" i="1"/>
  <c r="A5137" i="1"/>
  <c r="A5136" i="1"/>
  <c r="A5135" i="1"/>
  <c r="A5134" i="1"/>
  <c r="A5133" i="1"/>
  <c r="A5132" i="1"/>
  <c r="A5131" i="1"/>
  <c r="A5130" i="1"/>
  <c r="A5129" i="1"/>
  <c r="A5128" i="1"/>
  <c r="A5127" i="1"/>
  <c r="A5126" i="1"/>
  <c r="A5125" i="1"/>
  <c r="A5124" i="1"/>
  <c r="A5123" i="1"/>
  <c r="A5122" i="1"/>
  <c r="A5121" i="1"/>
  <c r="A5120" i="1"/>
  <c r="A5119" i="1"/>
  <c r="A5118" i="1"/>
  <c r="A5117" i="1"/>
  <c r="A5116" i="1"/>
  <c r="A5115" i="1"/>
  <c r="A5114" i="1"/>
  <c r="A5113" i="1"/>
  <c r="A5112" i="1"/>
  <c r="A5111" i="1"/>
  <c r="A5110" i="1"/>
  <c r="A5109" i="1"/>
  <c r="A5108" i="1"/>
  <c r="A5107" i="1"/>
  <c r="A5106" i="1"/>
  <c r="A5105" i="1"/>
  <c r="A5104" i="1"/>
  <c r="A5103" i="1"/>
  <c r="A5102" i="1"/>
  <c r="A5101" i="1"/>
  <c r="A5100" i="1"/>
  <c r="A5099" i="1"/>
  <c r="A5098" i="1"/>
  <c r="A5097" i="1"/>
  <c r="A5096" i="1"/>
  <c r="A5095" i="1"/>
  <c r="A5094" i="1"/>
  <c r="A5093" i="1"/>
  <c r="A5092" i="1"/>
  <c r="A5091" i="1"/>
  <c r="A5090" i="1"/>
  <c r="A5089" i="1"/>
  <c r="A5088" i="1"/>
  <c r="A5087" i="1"/>
  <c r="A5086" i="1"/>
  <c r="A5085" i="1"/>
  <c r="A5084" i="1"/>
  <c r="A5083" i="1"/>
  <c r="A5082" i="1"/>
  <c r="A5081" i="1"/>
  <c r="A5080" i="1"/>
  <c r="A5079" i="1"/>
  <c r="A5078" i="1"/>
  <c r="A5077" i="1"/>
  <c r="A5076" i="1"/>
  <c r="A5075" i="1"/>
  <c r="A5074" i="1"/>
  <c r="A5073" i="1"/>
  <c r="A5072" i="1"/>
  <c r="A5071" i="1"/>
  <c r="A5070" i="1"/>
  <c r="A5069" i="1"/>
  <c r="A5068" i="1"/>
  <c r="A5067" i="1"/>
  <c r="A5066" i="1"/>
  <c r="A5065" i="1"/>
  <c r="A5064" i="1"/>
  <c r="A5063" i="1"/>
  <c r="A5062" i="1"/>
  <c r="A5061" i="1"/>
  <c r="A5060" i="1"/>
  <c r="A5059" i="1"/>
  <c r="A5058" i="1"/>
  <c r="A5057" i="1"/>
  <c r="A5056" i="1"/>
  <c r="A5055" i="1"/>
  <c r="A5054" i="1"/>
  <c r="A5053" i="1"/>
  <c r="A5052" i="1"/>
  <c r="A5051" i="1"/>
  <c r="A5050" i="1"/>
  <c r="A5049" i="1"/>
  <c r="A5048" i="1"/>
  <c r="A5047" i="1"/>
  <c r="A5046" i="1"/>
  <c r="A5045" i="1"/>
  <c r="A5044" i="1"/>
  <c r="A5043" i="1"/>
  <c r="A5042" i="1"/>
  <c r="A5041" i="1"/>
  <c r="A5040" i="1"/>
  <c r="A5039" i="1"/>
  <c r="A5038" i="1"/>
  <c r="A5037" i="1"/>
  <c r="A5036" i="1"/>
  <c r="A5035" i="1"/>
  <c r="A5034" i="1"/>
  <c r="A5033" i="1"/>
  <c r="A5032" i="1"/>
  <c r="A5031" i="1"/>
  <c r="A5030" i="1"/>
  <c r="A5029" i="1"/>
  <c r="A5028" i="1"/>
  <c r="A5027" i="1"/>
  <c r="A5026" i="1"/>
  <c r="A5025" i="1"/>
  <c r="A5024" i="1"/>
  <c r="A5023" i="1"/>
  <c r="A5022" i="1"/>
  <c r="A5021" i="1"/>
  <c r="A5020" i="1"/>
  <c r="A5019" i="1"/>
  <c r="A5018" i="1"/>
  <c r="A5017" i="1"/>
  <c r="A5016" i="1"/>
  <c r="A5015" i="1"/>
  <c r="A5014" i="1"/>
  <c r="A5013" i="1"/>
  <c r="A5012" i="1"/>
  <c r="A5011" i="1"/>
  <c r="A5010" i="1"/>
  <c r="A5009" i="1"/>
  <c r="A5008" i="1"/>
  <c r="A5007" i="1"/>
  <c r="A5006" i="1"/>
  <c r="A5005" i="1"/>
  <c r="A5004" i="1"/>
  <c r="A5003" i="1"/>
  <c r="A5002" i="1"/>
  <c r="A5001" i="1"/>
  <c r="A5000" i="1"/>
  <c r="A4999" i="1"/>
  <c r="A4998" i="1"/>
  <c r="A4997" i="1"/>
  <c r="A4996" i="1"/>
  <c r="A4995" i="1"/>
  <c r="A4994" i="1"/>
  <c r="A4993" i="1"/>
  <c r="A4992" i="1"/>
  <c r="A4991" i="1"/>
  <c r="A4990" i="1"/>
  <c r="A4989" i="1"/>
  <c r="A4988" i="1"/>
  <c r="A4987" i="1"/>
  <c r="A4986" i="1"/>
  <c r="A4985" i="1"/>
  <c r="A4984" i="1"/>
  <c r="A4983" i="1"/>
  <c r="A4982" i="1"/>
  <c r="A4981" i="1"/>
  <c r="A4980" i="1"/>
  <c r="A4979" i="1"/>
  <c r="A4978" i="1"/>
  <c r="A4977" i="1"/>
  <c r="A4976" i="1"/>
  <c r="A4975" i="1"/>
  <c r="A4974" i="1"/>
  <c r="A4973" i="1"/>
  <c r="A4972" i="1"/>
  <c r="A4971" i="1"/>
  <c r="A4970" i="1"/>
  <c r="A4969" i="1"/>
  <c r="A4968" i="1"/>
  <c r="A4967" i="1"/>
  <c r="A4966" i="1"/>
  <c r="A4965" i="1"/>
  <c r="A4964" i="1"/>
  <c r="A4963" i="1"/>
  <c r="A4962" i="1"/>
  <c r="A4961" i="1"/>
  <c r="A4960" i="1"/>
  <c r="A4959" i="1"/>
  <c r="A4958" i="1"/>
  <c r="A4957" i="1"/>
  <c r="A4956" i="1"/>
  <c r="A4955" i="1"/>
  <c r="A4954" i="1"/>
  <c r="A4953" i="1"/>
  <c r="A4952" i="1"/>
  <c r="A4951" i="1"/>
  <c r="A4950" i="1"/>
  <c r="A4949" i="1"/>
  <c r="A4948" i="1"/>
  <c r="A4947" i="1"/>
  <c r="A4946" i="1"/>
  <c r="A4945" i="1"/>
  <c r="A4944" i="1"/>
  <c r="A4943" i="1"/>
  <c r="A4942" i="1"/>
  <c r="A4941" i="1"/>
  <c r="A4940" i="1"/>
  <c r="A4939" i="1"/>
  <c r="A4938" i="1"/>
  <c r="A4937" i="1"/>
  <c r="A4936" i="1"/>
  <c r="A4935" i="1"/>
  <c r="A4934" i="1"/>
  <c r="A4933" i="1"/>
  <c r="A4932" i="1"/>
  <c r="A4931" i="1"/>
  <c r="A4930" i="1"/>
  <c r="A4929" i="1"/>
  <c r="A4928" i="1"/>
  <c r="A4927" i="1"/>
  <c r="A4926" i="1"/>
  <c r="A4925" i="1"/>
  <c r="A4924" i="1"/>
  <c r="A4923" i="1"/>
  <c r="A4922" i="1"/>
  <c r="A4921" i="1"/>
  <c r="A4920" i="1"/>
  <c r="A4919" i="1"/>
  <c r="A4918" i="1"/>
  <c r="A4917" i="1"/>
  <c r="A4916" i="1"/>
  <c r="A4915" i="1"/>
  <c r="A4914" i="1"/>
  <c r="A4913" i="1"/>
  <c r="A4912" i="1"/>
  <c r="A4911" i="1"/>
  <c r="A4910" i="1"/>
  <c r="A4909" i="1"/>
  <c r="A4908" i="1"/>
  <c r="A4907" i="1"/>
  <c r="A4906" i="1"/>
  <c r="A4905" i="1"/>
  <c r="A4904" i="1"/>
  <c r="A4903" i="1"/>
  <c r="A4902" i="1"/>
  <c r="A4901" i="1"/>
  <c r="A4900" i="1"/>
  <c r="A4899" i="1"/>
  <c r="A4898" i="1"/>
  <c r="A4897" i="1"/>
  <c r="A4896" i="1"/>
  <c r="A4895" i="1"/>
  <c r="A4894" i="1"/>
  <c r="A4893" i="1"/>
  <c r="A4892" i="1"/>
  <c r="A4891" i="1"/>
  <c r="A4890" i="1"/>
  <c r="A4889" i="1"/>
  <c r="A4888" i="1"/>
  <c r="A4887" i="1"/>
  <c r="A4886" i="1"/>
  <c r="A4885" i="1"/>
  <c r="A4884" i="1"/>
  <c r="A4883" i="1"/>
  <c r="A4882" i="1"/>
  <c r="A4881" i="1"/>
  <c r="A4880" i="1"/>
  <c r="A4879" i="1"/>
  <c r="A4878" i="1"/>
  <c r="A4877" i="1"/>
  <c r="A4876" i="1"/>
  <c r="A4875" i="1"/>
  <c r="A4874" i="1"/>
  <c r="A4873" i="1"/>
  <c r="A4872" i="1"/>
  <c r="A4871" i="1"/>
  <c r="A4870" i="1"/>
  <c r="A4869" i="1"/>
  <c r="A4868" i="1"/>
  <c r="A4867" i="1"/>
  <c r="A4866" i="1"/>
  <c r="A4865" i="1"/>
  <c r="A4864" i="1"/>
  <c r="A4863" i="1"/>
  <c r="A4862" i="1"/>
  <c r="A4861" i="1"/>
  <c r="A4860" i="1"/>
  <c r="A4859" i="1"/>
  <c r="A4858" i="1"/>
  <c r="A4857" i="1"/>
  <c r="A4856" i="1"/>
  <c r="A4855" i="1"/>
  <c r="A4854" i="1"/>
  <c r="A4853" i="1"/>
  <c r="A4852" i="1"/>
  <c r="A4851" i="1"/>
  <c r="A4850" i="1"/>
  <c r="A4849" i="1"/>
  <c r="A4848" i="1"/>
  <c r="A4847" i="1"/>
  <c r="A4846" i="1"/>
  <c r="A4845" i="1"/>
  <c r="A4844" i="1"/>
  <c r="A4843" i="1"/>
  <c r="A4842" i="1"/>
  <c r="A4841" i="1"/>
  <c r="A4840" i="1"/>
  <c r="A4839" i="1"/>
  <c r="A4838" i="1"/>
  <c r="A4837" i="1"/>
  <c r="A4836" i="1"/>
  <c r="A4835" i="1"/>
  <c r="A4834" i="1"/>
  <c r="A4833" i="1"/>
  <c r="A4832" i="1"/>
  <c r="A4831" i="1"/>
  <c r="A4830" i="1"/>
  <c r="A4829" i="1"/>
  <c r="A4828" i="1"/>
  <c r="A4827" i="1"/>
  <c r="A4826" i="1"/>
  <c r="A4825" i="1"/>
  <c r="A4824" i="1"/>
  <c r="A4823" i="1"/>
  <c r="A4822" i="1"/>
  <c r="A4821" i="1"/>
  <c r="A4820" i="1"/>
  <c r="A4819" i="1"/>
  <c r="A4818" i="1"/>
  <c r="A4817" i="1"/>
  <c r="A4816" i="1"/>
  <c r="A4815" i="1"/>
  <c r="A4814" i="1"/>
  <c r="A4813" i="1"/>
  <c r="A4812" i="1"/>
  <c r="A4811" i="1"/>
  <c r="A4810" i="1"/>
  <c r="A4809" i="1"/>
  <c r="A4808" i="1"/>
  <c r="A4807" i="1"/>
  <c r="A4806" i="1"/>
  <c r="A4805" i="1"/>
  <c r="A4804" i="1"/>
  <c r="A4803" i="1"/>
  <c r="A4802" i="1"/>
  <c r="A4801" i="1"/>
  <c r="A4800" i="1"/>
  <c r="A4799" i="1"/>
  <c r="A4798" i="1"/>
  <c r="A4797" i="1"/>
  <c r="A4796" i="1"/>
  <c r="A4795" i="1"/>
  <c r="A4794" i="1"/>
  <c r="A4793" i="1"/>
  <c r="A4792" i="1"/>
  <c r="A4791" i="1"/>
  <c r="A4790" i="1"/>
  <c r="A4789" i="1"/>
  <c r="A4788" i="1"/>
  <c r="A4787" i="1"/>
  <c r="A4786" i="1"/>
  <c r="A4785" i="1"/>
  <c r="A4784" i="1"/>
  <c r="A4783" i="1"/>
  <c r="A4782" i="1"/>
  <c r="A4781" i="1"/>
  <c r="A4780" i="1"/>
  <c r="A4779" i="1"/>
  <c r="A4778" i="1"/>
  <c r="A4777" i="1"/>
  <c r="A4776" i="1"/>
  <c r="A4775" i="1"/>
  <c r="A4774" i="1"/>
  <c r="A4773" i="1"/>
  <c r="A4772" i="1"/>
  <c r="A4771" i="1"/>
  <c r="A4770" i="1"/>
  <c r="A4769" i="1"/>
  <c r="A4768" i="1"/>
  <c r="A4767" i="1"/>
  <c r="A4766" i="1"/>
  <c r="A4765" i="1"/>
  <c r="A4764" i="1"/>
  <c r="A4763" i="1"/>
  <c r="A4762" i="1"/>
  <c r="A4761" i="1"/>
  <c r="A4760" i="1"/>
  <c r="A4759" i="1"/>
  <c r="A4758" i="1"/>
  <c r="A4757" i="1"/>
  <c r="A4756" i="1"/>
  <c r="A4755" i="1"/>
  <c r="A4754" i="1"/>
  <c r="A4753" i="1"/>
  <c r="A4752" i="1"/>
  <c r="A4751" i="1"/>
  <c r="A4750" i="1"/>
  <c r="A4749" i="1"/>
  <c r="A4748" i="1"/>
  <c r="A4747" i="1"/>
  <c r="A4746" i="1"/>
  <c r="A4745" i="1"/>
  <c r="A4744" i="1"/>
  <c r="A4743" i="1"/>
  <c r="A4742" i="1"/>
  <c r="A4741" i="1"/>
  <c r="A4740" i="1"/>
  <c r="A4739" i="1"/>
  <c r="A4738" i="1"/>
  <c r="A4737" i="1"/>
  <c r="A4736" i="1"/>
  <c r="A4735" i="1"/>
  <c r="A4734" i="1"/>
  <c r="A4733" i="1"/>
  <c r="A4732" i="1"/>
  <c r="A4731" i="1"/>
  <c r="A4730" i="1"/>
  <c r="A4729" i="1"/>
  <c r="A4728" i="1"/>
  <c r="A4727" i="1"/>
  <c r="A4726" i="1"/>
  <c r="A4725" i="1"/>
  <c r="A4724" i="1"/>
  <c r="A4723" i="1"/>
  <c r="A4722" i="1"/>
  <c r="A4721" i="1"/>
  <c r="A4720" i="1"/>
  <c r="A4719" i="1"/>
  <c r="A4718" i="1"/>
  <c r="A4717" i="1"/>
  <c r="A4716" i="1"/>
  <c r="A4715" i="1"/>
  <c r="A4714" i="1"/>
  <c r="A4713" i="1"/>
  <c r="A4712" i="1"/>
  <c r="A4711" i="1"/>
  <c r="A4710" i="1"/>
  <c r="A4709" i="1"/>
  <c r="A4708" i="1"/>
  <c r="A4707" i="1"/>
  <c r="A4706" i="1"/>
  <c r="A4705" i="1"/>
  <c r="A4704" i="1"/>
  <c r="A4703" i="1"/>
  <c r="A4702" i="1"/>
  <c r="A4701" i="1"/>
  <c r="A4700" i="1"/>
  <c r="A4699" i="1"/>
  <c r="A4698" i="1"/>
  <c r="A4697" i="1"/>
  <c r="A4696" i="1"/>
  <c r="A4695" i="1"/>
  <c r="A4694" i="1"/>
  <c r="A4693" i="1"/>
  <c r="A4692" i="1"/>
  <c r="A4691" i="1"/>
  <c r="A4690" i="1"/>
  <c r="A4689" i="1"/>
  <c r="A4688" i="1"/>
  <c r="A4687" i="1"/>
  <c r="A4686" i="1"/>
  <c r="A4685" i="1"/>
  <c r="A4684" i="1"/>
  <c r="A4683" i="1"/>
  <c r="A4682" i="1"/>
  <c r="A4681" i="1"/>
  <c r="A4680" i="1"/>
  <c r="A4679" i="1"/>
  <c r="A4678" i="1"/>
  <c r="A4677" i="1"/>
  <c r="A4676" i="1"/>
  <c r="A4675" i="1"/>
  <c r="A4674" i="1"/>
  <c r="A4673" i="1"/>
  <c r="A4672" i="1"/>
  <c r="A4671" i="1"/>
  <c r="A4670" i="1"/>
  <c r="A4669" i="1"/>
  <c r="A4668" i="1"/>
  <c r="A4667" i="1"/>
  <c r="A4666" i="1"/>
  <c r="A4665" i="1"/>
  <c r="A4664" i="1"/>
  <c r="A4663" i="1"/>
  <c r="A4662" i="1"/>
  <c r="A4661" i="1"/>
  <c r="A4660" i="1"/>
  <c r="A4659" i="1"/>
  <c r="A4658" i="1"/>
  <c r="A4657" i="1"/>
  <c r="A4656" i="1"/>
  <c r="A4655" i="1"/>
  <c r="A4654" i="1"/>
  <c r="A4653" i="1"/>
  <c r="A4652" i="1"/>
  <c r="A4651" i="1"/>
  <c r="A4650" i="1"/>
  <c r="A4649" i="1"/>
  <c r="A4648" i="1"/>
  <c r="A4647" i="1"/>
  <c r="A4646" i="1"/>
  <c r="A4645" i="1"/>
  <c r="A4644" i="1"/>
  <c r="A4643" i="1"/>
  <c r="A4642" i="1"/>
  <c r="A4641" i="1"/>
  <c r="A4640" i="1"/>
  <c r="A4639" i="1"/>
  <c r="A4638" i="1"/>
  <c r="A4637" i="1"/>
  <c r="A4636" i="1"/>
  <c r="A4635" i="1"/>
  <c r="A4634" i="1"/>
  <c r="A4633" i="1"/>
  <c r="A4632" i="1"/>
  <c r="A4631" i="1"/>
  <c r="A4630" i="1"/>
  <c r="A4629" i="1"/>
  <c r="A4628" i="1"/>
  <c r="A4627" i="1"/>
  <c r="A4626" i="1"/>
  <c r="A4625" i="1"/>
  <c r="A4624" i="1"/>
  <c r="A4623" i="1"/>
  <c r="A4622" i="1"/>
  <c r="A4621" i="1"/>
  <c r="A4620" i="1"/>
  <c r="A4619" i="1"/>
  <c r="A4618" i="1"/>
  <c r="A4617" i="1"/>
  <c r="A4616" i="1"/>
  <c r="A4615" i="1"/>
  <c r="A4614" i="1"/>
  <c r="A4613" i="1"/>
  <c r="A4612" i="1"/>
  <c r="A4611" i="1"/>
  <c r="A4610" i="1"/>
  <c r="A4609" i="1"/>
  <c r="A4608" i="1"/>
  <c r="A4607" i="1"/>
  <c r="A4606" i="1"/>
  <c r="A4605" i="1"/>
  <c r="A4604" i="1"/>
  <c r="A4603" i="1"/>
  <c r="A4602" i="1"/>
  <c r="A4601" i="1"/>
  <c r="A4600" i="1"/>
  <c r="A4599" i="1"/>
  <c r="A4598" i="1"/>
  <c r="A4597" i="1"/>
  <c r="A4596" i="1"/>
  <c r="A4595" i="1"/>
  <c r="A4594" i="1"/>
  <c r="A4593" i="1"/>
  <c r="A4592" i="1"/>
  <c r="A4591" i="1"/>
  <c r="A4590" i="1"/>
  <c r="A4589" i="1"/>
  <c r="A4588" i="1"/>
  <c r="A4587" i="1"/>
  <c r="A4586" i="1"/>
  <c r="A4585" i="1"/>
  <c r="A4584" i="1"/>
  <c r="A4583" i="1"/>
  <c r="A4582" i="1"/>
  <c r="A4581" i="1"/>
  <c r="A4580" i="1"/>
  <c r="A4579" i="1"/>
  <c r="A4578" i="1"/>
  <c r="A4577" i="1"/>
  <c r="A4576" i="1"/>
  <c r="A4575" i="1"/>
  <c r="A4574" i="1"/>
  <c r="A4573" i="1"/>
  <c r="A4572" i="1"/>
  <c r="A4571" i="1"/>
  <c r="A4570" i="1"/>
  <c r="A4569" i="1"/>
  <c r="A4568" i="1"/>
  <c r="A4567" i="1"/>
  <c r="A4566" i="1"/>
  <c r="A4565" i="1"/>
  <c r="A4564" i="1"/>
  <c r="A4563" i="1"/>
  <c r="A4562" i="1"/>
  <c r="A4561" i="1"/>
  <c r="A4560" i="1"/>
  <c r="A4559" i="1"/>
  <c r="A4558" i="1"/>
  <c r="A4557" i="1"/>
  <c r="A4556" i="1"/>
  <c r="A4555" i="1"/>
  <c r="A4554" i="1"/>
  <c r="A4553" i="1"/>
  <c r="A4552" i="1"/>
  <c r="A4551" i="1"/>
  <c r="A4550" i="1"/>
  <c r="A4549" i="1"/>
  <c r="A4548" i="1"/>
  <c r="A4547" i="1"/>
  <c r="A4546" i="1"/>
  <c r="A4545" i="1"/>
  <c r="A4544" i="1"/>
  <c r="A4543" i="1"/>
  <c r="A4542" i="1"/>
  <c r="A4541" i="1"/>
  <c r="A4540" i="1"/>
  <c r="A4539" i="1"/>
  <c r="A4538" i="1"/>
  <c r="A4537" i="1"/>
  <c r="A4536" i="1"/>
  <c r="A4535" i="1"/>
  <c r="A4534" i="1"/>
  <c r="A4533" i="1"/>
  <c r="A4532" i="1"/>
  <c r="A4531" i="1"/>
  <c r="A4530" i="1"/>
  <c r="A4529" i="1"/>
  <c r="A4528" i="1"/>
  <c r="A4527" i="1"/>
  <c r="A4526" i="1"/>
  <c r="A4525" i="1"/>
  <c r="A4524" i="1"/>
  <c r="A4523" i="1"/>
  <c r="A4522" i="1"/>
  <c r="A4521" i="1"/>
  <c r="A4520" i="1"/>
  <c r="A4519" i="1"/>
  <c r="A4518" i="1"/>
  <c r="A4517" i="1"/>
  <c r="A4516" i="1"/>
  <c r="A4515" i="1"/>
  <c r="A4514" i="1"/>
  <c r="A4513" i="1"/>
  <c r="A4512" i="1"/>
  <c r="A4511" i="1"/>
  <c r="A4510" i="1"/>
  <c r="A4509" i="1"/>
  <c r="A4508" i="1"/>
  <c r="A4507" i="1"/>
  <c r="A4506" i="1"/>
  <c r="A4505" i="1"/>
  <c r="A4504" i="1"/>
  <c r="A4503" i="1"/>
  <c r="A4502" i="1"/>
  <c r="A4501" i="1"/>
  <c r="A4500" i="1"/>
  <c r="A4499" i="1"/>
  <c r="A4498" i="1"/>
  <c r="A4497" i="1"/>
  <c r="A4496" i="1"/>
  <c r="A4495" i="1"/>
  <c r="A4494" i="1"/>
  <c r="A4493" i="1"/>
  <c r="A4492" i="1"/>
  <c r="A4491" i="1"/>
  <c r="A4490" i="1"/>
  <c r="A4489" i="1"/>
  <c r="A4488" i="1"/>
  <c r="A4487" i="1"/>
  <c r="A4486" i="1"/>
  <c r="A4485" i="1"/>
  <c r="A4484" i="1"/>
  <c r="A4483" i="1"/>
  <c r="A4482" i="1"/>
  <c r="A4481" i="1"/>
  <c r="A4480" i="1"/>
  <c r="A4479" i="1"/>
  <c r="A4478" i="1"/>
  <c r="A4477" i="1"/>
  <c r="A4476" i="1"/>
  <c r="A4475" i="1"/>
  <c r="A4474" i="1"/>
  <c r="A4473" i="1"/>
  <c r="A4472" i="1"/>
  <c r="A4471" i="1"/>
  <c r="A4470" i="1"/>
  <c r="A4469" i="1"/>
  <c r="A4468" i="1"/>
  <c r="A4467" i="1"/>
  <c r="A4466" i="1"/>
  <c r="A4465" i="1"/>
  <c r="A4464" i="1"/>
  <c r="A4463" i="1"/>
  <c r="A4462" i="1"/>
  <c r="A4461" i="1"/>
  <c r="A4460" i="1"/>
  <c r="A4459" i="1"/>
  <c r="A4458" i="1"/>
  <c r="A4457" i="1"/>
  <c r="A4456" i="1"/>
  <c r="A4455" i="1"/>
  <c r="A4454" i="1"/>
  <c r="A4453" i="1"/>
  <c r="A4452" i="1"/>
  <c r="A4451" i="1"/>
  <c r="A4450" i="1"/>
  <c r="A4449" i="1"/>
  <c r="A4448" i="1"/>
  <c r="A4447" i="1"/>
  <c r="A4446" i="1"/>
  <c r="A4445" i="1"/>
  <c r="A4444" i="1"/>
  <c r="A4443" i="1"/>
  <c r="A4442" i="1"/>
  <c r="A4441" i="1"/>
  <c r="A4440" i="1"/>
  <c r="A4439" i="1"/>
  <c r="A4438" i="1"/>
  <c r="A4437" i="1"/>
  <c r="A4436" i="1"/>
  <c r="A4435" i="1"/>
  <c r="A4434" i="1"/>
  <c r="A4433" i="1"/>
  <c r="A4432" i="1"/>
  <c r="A4431" i="1"/>
  <c r="A4430" i="1"/>
  <c r="A4429" i="1"/>
  <c r="A4428" i="1"/>
  <c r="A4427" i="1"/>
  <c r="A4426" i="1"/>
  <c r="A4425" i="1"/>
  <c r="A4424" i="1"/>
  <c r="A4423" i="1"/>
  <c r="A4422" i="1"/>
  <c r="A4421" i="1"/>
  <c r="A4420" i="1"/>
  <c r="A4419" i="1"/>
  <c r="A4418" i="1"/>
  <c r="A4417" i="1"/>
  <c r="A4416" i="1"/>
  <c r="A4415" i="1"/>
  <c r="A4414" i="1"/>
  <c r="A4413" i="1"/>
  <c r="A4412" i="1"/>
  <c r="A4411" i="1"/>
  <c r="A4410" i="1"/>
  <c r="A4409" i="1"/>
  <c r="A4408" i="1"/>
  <c r="A4407" i="1"/>
  <c r="A4406" i="1"/>
  <c r="A4405" i="1"/>
  <c r="A4404" i="1"/>
  <c r="A4403" i="1"/>
  <c r="A4402" i="1"/>
  <c r="A4401" i="1"/>
  <c r="A4400" i="1"/>
  <c r="A4399" i="1"/>
  <c r="A4398" i="1"/>
  <c r="A4397" i="1"/>
  <c r="A4396" i="1"/>
  <c r="A4395" i="1"/>
  <c r="A4394" i="1"/>
  <c r="A4393" i="1"/>
  <c r="A4392" i="1"/>
  <c r="A4391" i="1"/>
  <c r="A4390" i="1"/>
  <c r="A4389" i="1"/>
  <c r="A4388" i="1"/>
  <c r="A4387" i="1"/>
  <c r="A4386" i="1"/>
  <c r="A4385" i="1"/>
  <c r="A4384" i="1"/>
  <c r="A4383" i="1"/>
  <c r="A4382" i="1"/>
  <c r="A4381" i="1"/>
  <c r="A4380" i="1"/>
  <c r="A4379" i="1"/>
  <c r="A4378" i="1"/>
  <c r="A4377" i="1"/>
  <c r="A4376" i="1"/>
  <c r="A4375" i="1"/>
  <c r="A4374" i="1"/>
  <c r="A4373" i="1"/>
  <c r="A4372" i="1"/>
  <c r="A4371" i="1"/>
  <c r="A4370" i="1"/>
  <c r="A4369" i="1"/>
  <c r="A4368" i="1"/>
  <c r="A4367" i="1"/>
  <c r="A4366" i="1"/>
  <c r="A4365" i="1"/>
  <c r="A4364" i="1"/>
  <c r="A4363" i="1"/>
  <c r="A4362" i="1"/>
  <c r="A4361" i="1"/>
  <c r="A4360" i="1"/>
  <c r="A4359" i="1"/>
  <c r="A4358" i="1"/>
  <c r="A4357" i="1"/>
  <c r="A4356" i="1"/>
  <c r="A4355" i="1"/>
  <c r="A4354" i="1"/>
  <c r="A4353" i="1"/>
  <c r="A4352" i="1"/>
  <c r="A4351" i="1"/>
  <c r="A4350" i="1"/>
  <c r="A4349" i="1"/>
  <c r="A4348" i="1"/>
  <c r="A4347" i="1"/>
  <c r="A4346" i="1"/>
  <c r="A4345" i="1"/>
  <c r="A4344" i="1"/>
  <c r="A4343" i="1"/>
  <c r="A4342" i="1"/>
  <c r="A4341" i="1"/>
  <c r="A4340" i="1"/>
  <c r="A4339" i="1"/>
  <c r="A4338" i="1"/>
  <c r="A4337" i="1"/>
  <c r="A4336" i="1"/>
  <c r="A4335" i="1"/>
  <c r="A4334" i="1"/>
  <c r="A4333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4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100" i="1"/>
  <c r="A4099" i="1"/>
  <c r="A4098" i="1"/>
  <c r="A4097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C8612" i="1" l="1"/>
  <c r="C8611" i="1"/>
  <c r="C8610" i="1"/>
  <c r="C8609" i="1"/>
  <c r="C8608" i="1"/>
  <c r="C8607" i="1"/>
  <c r="C8606" i="1"/>
  <c r="C8605" i="1"/>
  <c r="C8604" i="1"/>
  <c r="C8603" i="1"/>
  <c r="C8602" i="1"/>
  <c r="C8601" i="1"/>
  <c r="C8600" i="1"/>
  <c r="C8599" i="1"/>
  <c r="C8598" i="1"/>
  <c r="C8597" i="1"/>
  <c r="C8596" i="1"/>
  <c r="C8595" i="1"/>
  <c r="C8594" i="1"/>
  <c r="C8593" i="1"/>
  <c r="C8592" i="1"/>
  <c r="C8591" i="1"/>
  <c r="C8590" i="1"/>
  <c r="C8589" i="1"/>
  <c r="C8588" i="1"/>
  <c r="C8587" i="1"/>
  <c r="C8586" i="1"/>
  <c r="C8585" i="1"/>
  <c r="C8584" i="1"/>
  <c r="C8583" i="1"/>
  <c r="C8582" i="1"/>
  <c r="C8581" i="1"/>
  <c r="C8580" i="1"/>
  <c r="C8579" i="1"/>
  <c r="C8578" i="1"/>
  <c r="C8577" i="1"/>
  <c r="C8576" i="1"/>
  <c r="C8575" i="1"/>
  <c r="C8574" i="1"/>
  <c r="C8573" i="1"/>
  <c r="C8572" i="1"/>
  <c r="C8571" i="1"/>
  <c r="C8570" i="1"/>
  <c r="C8569" i="1"/>
  <c r="C8568" i="1"/>
  <c r="C8567" i="1"/>
  <c r="C8566" i="1"/>
  <c r="C8565" i="1"/>
  <c r="C8564" i="1"/>
  <c r="C8563" i="1"/>
  <c r="C8562" i="1"/>
  <c r="C8561" i="1"/>
  <c r="C8560" i="1"/>
  <c r="C8559" i="1"/>
  <c r="C8558" i="1"/>
  <c r="C8557" i="1"/>
  <c r="C8556" i="1"/>
  <c r="C8555" i="1"/>
  <c r="C8554" i="1"/>
  <c r="C8553" i="1"/>
  <c r="C8552" i="1"/>
  <c r="C8551" i="1"/>
  <c r="C8550" i="1"/>
  <c r="C8549" i="1"/>
  <c r="C8548" i="1"/>
  <c r="C8547" i="1"/>
  <c r="C8546" i="1"/>
  <c r="C8545" i="1"/>
  <c r="C8544" i="1"/>
  <c r="C8543" i="1"/>
  <c r="C8542" i="1"/>
  <c r="C8541" i="1"/>
  <c r="C8540" i="1"/>
  <c r="C8539" i="1"/>
  <c r="C8538" i="1"/>
  <c r="C8537" i="1"/>
  <c r="C8536" i="1"/>
  <c r="C8535" i="1"/>
  <c r="C8534" i="1"/>
  <c r="C8533" i="1"/>
  <c r="C8532" i="1"/>
  <c r="C8531" i="1"/>
  <c r="C8530" i="1"/>
  <c r="C8529" i="1"/>
  <c r="C8528" i="1"/>
  <c r="C8527" i="1"/>
  <c r="C8526" i="1"/>
  <c r="C8525" i="1"/>
  <c r="C8524" i="1"/>
  <c r="C8523" i="1"/>
  <c r="C8522" i="1"/>
  <c r="C8521" i="1"/>
  <c r="C8520" i="1"/>
  <c r="C8519" i="1"/>
  <c r="C8518" i="1"/>
  <c r="C8517" i="1"/>
  <c r="C8516" i="1"/>
  <c r="C8515" i="1"/>
  <c r="C8514" i="1"/>
  <c r="C8513" i="1"/>
  <c r="C8512" i="1"/>
  <c r="C8511" i="1"/>
  <c r="C8510" i="1"/>
  <c r="C8509" i="1"/>
  <c r="C8508" i="1"/>
  <c r="C8507" i="1"/>
  <c r="C8506" i="1"/>
  <c r="C8505" i="1"/>
  <c r="C8504" i="1"/>
  <c r="C8503" i="1"/>
  <c r="C8502" i="1"/>
  <c r="C8501" i="1"/>
  <c r="C8500" i="1"/>
  <c r="C8499" i="1"/>
  <c r="C8498" i="1"/>
  <c r="C8497" i="1"/>
  <c r="C8496" i="1"/>
  <c r="C8495" i="1"/>
  <c r="C8494" i="1"/>
  <c r="C8493" i="1"/>
  <c r="C8492" i="1"/>
  <c r="C8491" i="1"/>
  <c r="C8490" i="1"/>
  <c r="C8489" i="1"/>
  <c r="C8488" i="1"/>
  <c r="C8487" i="1"/>
  <c r="C8486" i="1"/>
  <c r="C8485" i="1"/>
  <c r="C8484" i="1"/>
  <c r="C8483" i="1"/>
  <c r="C8482" i="1"/>
  <c r="C8481" i="1"/>
  <c r="C8480" i="1"/>
  <c r="C8479" i="1"/>
  <c r="C8478" i="1"/>
  <c r="C8477" i="1"/>
  <c r="C8476" i="1"/>
  <c r="C8475" i="1"/>
  <c r="C8474" i="1"/>
  <c r="C8473" i="1"/>
  <c r="C8472" i="1"/>
  <c r="C8471" i="1"/>
  <c r="C8470" i="1"/>
  <c r="C8469" i="1"/>
  <c r="C8468" i="1"/>
  <c r="C8467" i="1"/>
  <c r="C8466" i="1"/>
  <c r="C8465" i="1"/>
  <c r="C8464" i="1"/>
  <c r="C8463" i="1"/>
  <c r="C8462" i="1"/>
  <c r="C8461" i="1"/>
  <c r="C8460" i="1"/>
  <c r="C8459" i="1"/>
  <c r="C8458" i="1"/>
  <c r="C8457" i="1"/>
  <c r="C8456" i="1"/>
  <c r="C8455" i="1"/>
  <c r="C8454" i="1"/>
  <c r="C8453" i="1"/>
  <c r="C8452" i="1"/>
  <c r="C8451" i="1"/>
  <c r="C8450" i="1"/>
  <c r="C8449" i="1"/>
  <c r="C8448" i="1"/>
  <c r="C8447" i="1"/>
  <c r="C8446" i="1"/>
  <c r="C8445" i="1"/>
  <c r="C8444" i="1"/>
  <c r="C8443" i="1"/>
  <c r="C8442" i="1"/>
  <c r="C8441" i="1"/>
  <c r="C8440" i="1"/>
  <c r="C8439" i="1"/>
  <c r="C8438" i="1"/>
  <c r="C8437" i="1"/>
  <c r="C8436" i="1"/>
  <c r="C8435" i="1"/>
  <c r="C8434" i="1"/>
  <c r="C8433" i="1"/>
  <c r="C8432" i="1"/>
  <c r="C8431" i="1"/>
  <c r="C8430" i="1"/>
  <c r="C8429" i="1"/>
  <c r="C8428" i="1"/>
  <c r="C8427" i="1"/>
  <c r="C8426" i="1"/>
  <c r="C8425" i="1"/>
  <c r="C8424" i="1"/>
  <c r="C8423" i="1"/>
  <c r="C8422" i="1"/>
  <c r="C8421" i="1"/>
  <c r="C8420" i="1"/>
  <c r="C8419" i="1"/>
  <c r="C8418" i="1"/>
  <c r="C8417" i="1"/>
  <c r="C8416" i="1"/>
  <c r="C8415" i="1"/>
  <c r="C8414" i="1"/>
  <c r="C8413" i="1"/>
  <c r="C8412" i="1"/>
  <c r="C8411" i="1"/>
  <c r="C8410" i="1"/>
  <c r="C8409" i="1"/>
  <c r="C8408" i="1"/>
  <c r="C8407" i="1"/>
  <c r="C8406" i="1"/>
  <c r="C8405" i="1"/>
  <c r="C8404" i="1"/>
  <c r="C8403" i="1"/>
  <c r="C8402" i="1"/>
  <c r="C8401" i="1"/>
  <c r="C8400" i="1"/>
  <c r="C8399" i="1"/>
  <c r="C8398" i="1"/>
  <c r="C8397" i="1"/>
  <c r="C8396" i="1"/>
  <c r="C8395" i="1"/>
  <c r="C8394" i="1"/>
  <c r="C8393" i="1"/>
  <c r="C8392" i="1"/>
  <c r="C8391" i="1"/>
  <c r="C8390" i="1"/>
  <c r="C8389" i="1"/>
  <c r="C8388" i="1"/>
  <c r="C8387" i="1"/>
  <c r="C8386" i="1"/>
  <c r="C8385" i="1"/>
  <c r="C8384" i="1"/>
  <c r="C8383" i="1"/>
  <c r="C8382" i="1"/>
  <c r="C8381" i="1"/>
  <c r="C8380" i="1"/>
  <c r="C8379" i="1"/>
  <c r="C8378" i="1"/>
  <c r="C8377" i="1"/>
  <c r="C8376" i="1"/>
  <c r="C8375" i="1"/>
  <c r="C8374" i="1"/>
  <c r="C8373" i="1"/>
  <c r="C8372" i="1"/>
  <c r="C8371" i="1"/>
  <c r="C8370" i="1"/>
  <c r="C8369" i="1"/>
  <c r="C8368" i="1"/>
  <c r="C8367" i="1"/>
  <c r="C8366" i="1"/>
  <c r="C8365" i="1"/>
  <c r="C8364" i="1"/>
  <c r="C8363" i="1"/>
  <c r="C8362" i="1"/>
  <c r="C8361" i="1"/>
  <c r="C8360" i="1"/>
  <c r="C8359" i="1"/>
  <c r="C8358" i="1"/>
  <c r="C8357" i="1"/>
  <c r="C8356" i="1"/>
  <c r="C8355" i="1"/>
  <c r="C8354" i="1"/>
  <c r="C8353" i="1"/>
  <c r="C8352" i="1"/>
  <c r="C8351" i="1"/>
  <c r="C8350" i="1"/>
  <c r="C8349" i="1"/>
  <c r="C8348" i="1"/>
  <c r="C8347" i="1"/>
  <c r="C8346" i="1"/>
  <c r="C8345" i="1"/>
  <c r="C8344" i="1"/>
  <c r="C8343" i="1"/>
  <c r="C8342" i="1"/>
  <c r="C8341" i="1"/>
  <c r="C8340" i="1"/>
  <c r="C8339" i="1"/>
  <c r="C8338" i="1"/>
  <c r="C8337" i="1"/>
  <c r="C8336" i="1"/>
  <c r="C8335" i="1"/>
  <c r="C8334" i="1"/>
  <c r="C8333" i="1"/>
  <c r="C8332" i="1"/>
  <c r="C8331" i="1"/>
  <c r="C8330" i="1"/>
  <c r="C8329" i="1"/>
  <c r="C8328" i="1"/>
  <c r="C8327" i="1"/>
  <c r="C8326" i="1"/>
  <c r="C8325" i="1"/>
  <c r="C8324" i="1"/>
  <c r="C8323" i="1"/>
  <c r="C8322" i="1"/>
  <c r="C8321" i="1"/>
  <c r="C8320" i="1"/>
  <c r="C8319" i="1"/>
  <c r="C8318" i="1"/>
  <c r="C8317" i="1"/>
  <c r="C8316" i="1"/>
  <c r="C8315" i="1"/>
  <c r="C8314" i="1"/>
  <c r="C8313" i="1"/>
  <c r="C8312" i="1"/>
  <c r="C8311" i="1"/>
  <c r="C8310" i="1"/>
  <c r="C8309" i="1"/>
  <c r="C8308" i="1"/>
  <c r="C8307" i="1"/>
  <c r="C8306" i="1"/>
  <c r="C8305" i="1"/>
  <c r="C8304" i="1"/>
  <c r="C8303" i="1"/>
  <c r="C8302" i="1"/>
  <c r="C8301" i="1"/>
  <c r="C8300" i="1"/>
  <c r="C8299" i="1"/>
  <c r="C8298" i="1"/>
  <c r="C8297" i="1"/>
  <c r="C8296" i="1"/>
  <c r="C8295" i="1"/>
  <c r="C8294" i="1"/>
  <c r="C8293" i="1"/>
  <c r="C8292" i="1"/>
  <c r="C8291" i="1"/>
  <c r="C8290" i="1"/>
  <c r="C8289" i="1"/>
  <c r="C8288" i="1"/>
  <c r="C8287" i="1"/>
  <c r="C8286" i="1"/>
  <c r="C8285" i="1"/>
  <c r="C8284" i="1"/>
  <c r="C8283" i="1"/>
  <c r="C8282" i="1"/>
  <c r="C8281" i="1"/>
  <c r="C8280" i="1"/>
  <c r="C8279" i="1"/>
  <c r="C8278" i="1"/>
  <c r="C8277" i="1"/>
  <c r="C8276" i="1"/>
  <c r="C8275" i="1"/>
  <c r="C8274" i="1"/>
  <c r="C8273" i="1"/>
  <c r="C8272" i="1"/>
  <c r="C8271" i="1"/>
  <c r="C8270" i="1"/>
  <c r="C8269" i="1"/>
  <c r="C8268" i="1"/>
  <c r="C8267" i="1"/>
  <c r="C8266" i="1"/>
  <c r="C8265" i="1"/>
  <c r="C8264" i="1"/>
  <c r="C8263" i="1"/>
  <c r="C8262" i="1"/>
  <c r="C8261" i="1"/>
  <c r="C8260" i="1"/>
  <c r="C8259" i="1"/>
  <c r="C8258" i="1"/>
  <c r="C8257" i="1"/>
  <c r="C8256" i="1"/>
  <c r="C8255" i="1"/>
  <c r="C8254" i="1"/>
  <c r="C8253" i="1"/>
  <c r="C8252" i="1"/>
  <c r="C8251" i="1"/>
  <c r="C8250" i="1"/>
  <c r="C8249" i="1"/>
  <c r="C8248" i="1"/>
  <c r="C8247" i="1"/>
  <c r="C8246" i="1"/>
  <c r="C8245" i="1"/>
  <c r="C8244" i="1"/>
  <c r="C8243" i="1"/>
  <c r="C8242" i="1"/>
  <c r="C8241" i="1"/>
  <c r="C8240" i="1"/>
  <c r="C8239" i="1"/>
  <c r="C8238" i="1"/>
  <c r="C8237" i="1"/>
  <c r="C8236" i="1"/>
  <c r="C8235" i="1"/>
  <c r="C8234" i="1"/>
  <c r="C8233" i="1"/>
  <c r="C8232" i="1"/>
  <c r="C8231" i="1"/>
  <c r="C8230" i="1"/>
  <c r="C8229" i="1"/>
  <c r="C8228" i="1"/>
  <c r="C8227" i="1"/>
  <c r="C8226" i="1"/>
  <c r="C8225" i="1"/>
  <c r="C8224" i="1"/>
  <c r="C8223" i="1"/>
  <c r="C8222" i="1"/>
  <c r="C8221" i="1"/>
  <c r="C8220" i="1"/>
  <c r="C8219" i="1"/>
  <c r="C8218" i="1"/>
  <c r="C8217" i="1"/>
  <c r="C8216" i="1"/>
  <c r="C8215" i="1"/>
  <c r="C8214" i="1"/>
  <c r="C8213" i="1"/>
  <c r="C8212" i="1"/>
  <c r="C8211" i="1"/>
  <c r="C8210" i="1"/>
  <c r="C8209" i="1"/>
  <c r="C8208" i="1"/>
  <c r="C8207" i="1"/>
  <c r="C8206" i="1"/>
  <c r="C8205" i="1"/>
  <c r="C8204" i="1"/>
  <c r="C8203" i="1"/>
  <c r="C8202" i="1"/>
  <c r="C8201" i="1"/>
  <c r="C8200" i="1"/>
  <c r="C8199" i="1"/>
  <c r="C8198" i="1"/>
  <c r="C8197" i="1"/>
  <c r="C8196" i="1"/>
  <c r="C8195" i="1"/>
  <c r="C8194" i="1"/>
  <c r="C8193" i="1"/>
  <c r="C8192" i="1"/>
  <c r="C8191" i="1"/>
  <c r="C8190" i="1"/>
  <c r="C8189" i="1"/>
  <c r="C8188" i="1"/>
  <c r="C8187" i="1"/>
  <c r="C8186" i="1"/>
  <c r="C8185" i="1"/>
  <c r="C8184" i="1"/>
  <c r="C8183" i="1"/>
  <c r="C8182" i="1"/>
  <c r="C8181" i="1"/>
  <c r="C8180" i="1"/>
  <c r="C8179" i="1"/>
  <c r="C8178" i="1"/>
  <c r="C8177" i="1"/>
  <c r="C8176" i="1"/>
  <c r="C8175" i="1"/>
  <c r="C8174" i="1"/>
  <c r="C8173" i="1"/>
  <c r="C8172" i="1"/>
  <c r="C8171" i="1"/>
  <c r="C8170" i="1"/>
  <c r="C8169" i="1"/>
  <c r="C8168" i="1"/>
  <c r="C8167" i="1"/>
  <c r="C8166" i="1"/>
  <c r="C8165" i="1"/>
  <c r="C8164" i="1"/>
  <c r="C8163" i="1"/>
  <c r="C8162" i="1"/>
  <c r="C8161" i="1"/>
  <c r="C8160" i="1"/>
  <c r="C8159" i="1"/>
  <c r="C8158" i="1"/>
  <c r="C8157" i="1"/>
  <c r="C8156" i="1"/>
  <c r="C8155" i="1"/>
  <c r="C8154" i="1"/>
  <c r="C8153" i="1"/>
  <c r="C8152" i="1"/>
  <c r="C8151" i="1"/>
  <c r="C8150" i="1"/>
  <c r="C8149" i="1"/>
  <c r="C8148" i="1"/>
  <c r="C8147" i="1"/>
  <c r="C8146" i="1"/>
  <c r="C8145" i="1"/>
  <c r="C8144" i="1"/>
  <c r="C8143" i="1"/>
  <c r="C8142" i="1"/>
  <c r="C8141" i="1"/>
  <c r="C8140" i="1"/>
  <c r="C8139" i="1"/>
  <c r="C8138" i="1"/>
  <c r="C8137" i="1"/>
  <c r="C8136" i="1"/>
  <c r="C8135" i="1"/>
  <c r="C8134" i="1"/>
  <c r="C8133" i="1"/>
  <c r="C8132" i="1"/>
  <c r="C8131" i="1"/>
  <c r="C8130" i="1"/>
  <c r="C8129" i="1"/>
  <c r="C8128" i="1"/>
  <c r="C8127" i="1"/>
  <c r="C8126" i="1"/>
  <c r="C8125" i="1"/>
  <c r="C8124" i="1"/>
  <c r="C8123" i="1"/>
  <c r="C8122" i="1"/>
  <c r="C8121" i="1"/>
  <c r="C8120" i="1"/>
  <c r="C8119" i="1"/>
  <c r="C8118" i="1"/>
  <c r="C8117" i="1"/>
  <c r="C8116" i="1"/>
  <c r="C8115" i="1"/>
  <c r="C8114" i="1"/>
  <c r="C8113" i="1"/>
  <c r="C8112" i="1"/>
  <c r="C8111" i="1"/>
  <c r="C8110" i="1"/>
  <c r="C8109" i="1"/>
  <c r="C8108" i="1"/>
  <c r="C8107" i="1"/>
  <c r="C8106" i="1"/>
  <c r="C8105" i="1"/>
  <c r="C8104" i="1"/>
  <c r="C8103" i="1"/>
  <c r="C8102" i="1"/>
  <c r="C8101" i="1"/>
  <c r="C8100" i="1"/>
  <c r="C8099" i="1"/>
  <c r="C8098" i="1"/>
  <c r="C8097" i="1"/>
  <c r="C8096" i="1"/>
  <c r="C8095" i="1"/>
  <c r="C8094" i="1"/>
  <c r="C8093" i="1"/>
  <c r="C8092" i="1"/>
  <c r="C8091" i="1"/>
  <c r="C8090" i="1"/>
  <c r="C8089" i="1"/>
  <c r="C8088" i="1"/>
  <c r="C8087" i="1"/>
  <c r="C8086" i="1"/>
  <c r="C8085" i="1"/>
  <c r="C8084" i="1"/>
  <c r="C8083" i="1"/>
  <c r="C8082" i="1"/>
  <c r="C8081" i="1"/>
  <c r="C8080" i="1"/>
  <c r="C8079" i="1"/>
  <c r="C8078" i="1"/>
  <c r="C8077" i="1"/>
  <c r="C8076" i="1"/>
  <c r="C8075" i="1"/>
  <c r="C8074" i="1"/>
  <c r="C8073" i="1"/>
  <c r="C8072" i="1"/>
  <c r="C8071" i="1"/>
  <c r="C8070" i="1"/>
  <c r="C8069" i="1"/>
  <c r="C8068" i="1"/>
  <c r="C8067" i="1"/>
  <c r="C8066" i="1"/>
  <c r="C8065" i="1"/>
  <c r="C8064" i="1"/>
  <c r="C8063" i="1"/>
  <c r="C8062" i="1"/>
  <c r="C8061" i="1"/>
  <c r="C8060" i="1"/>
  <c r="C8059" i="1"/>
  <c r="C8058" i="1"/>
  <c r="C8057" i="1"/>
  <c r="C8056" i="1"/>
  <c r="C8055" i="1"/>
  <c r="C8054" i="1"/>
  <c r="C8053" i="1"/>
  <c r="C8052" i="1"/>
  <c r="C8051" i="1"/>
  <c r="C8050" i="1"/>
  <c r="C8049" i="1"/>
  <c r="C8048" i="1"/>
  <c r="C8047" i="1"/>
  <c r="C8046" i="1"/>
  <c r="C8045" i="1"/>
  <c r="C8044" i="1"/>
  <c r="C8043" i="1"/>
  <c r="C8042" i="1"/>
  <c r="C8041" i="1"/>
  <c r="C8040" i="1"/>
  <c r="C8039" i="1"/>
  <c r="C8038" i="1"/>
  <c r="C8037" i="1"/>
  <c r="C8036" i="1"/>
  <c r="C8035" i="1"/>
  <c r="C8034" i="1"/>
  <c r="C8033" i="1"/>
  <c r="C8032" i="1"/>
  <c r="C8031" i="1"/>
  <c r="C8030" i="1"/>
  <c r="C8029" i="1"/>
  <c r="C8028" i="1"/>
  <c r="C8027" i="1"/>
  <c r="C8026" i="1"/>
  <c r="C8025" i="1"/>
  <c r="C8024" i="1"/>
  <c r="C8023" i="1"/>
  <c r="C8022" i="1"/>
  <c r="C8021" i="1"/>
  <c r="C8020" i="1"/>
  <c r="C8019" i="1"/>
  <c r="C8018" i="1"/>
  <c r="C8017" i="1"/>
  <c r="C8016" i="1"/>
  <c r="C8015" i="1"/>
  <c r="C8014" i="1"/>
  <c r="C8013" i="1"/>
  <c r="C8012" i="1"/>
  <c r="C8011" i="1"/>
  <c r="C8010" i="1"/>
  <c r="C8009" i="1"/>
  <c r="C8008" i="1"/>
  <c r="C8007" i="1"/>
  <c r="C8006" i="1"/>
  <c r="C8005" i="1"/>
  <c r="C8004" i="1"/>
  <c r="C8003" i="1"/>
  <c r="C8002" i="1"/>
  <c r="C8001" i="1"/>
  <c r="C8000" i="1"/>
  <c r="C7999" i="1"/>
  <c r="C7998" i="1"/>
  <c r="C7997" i="1"/>
  <c r="C7996" i="1"/>
  <c r="C7995" i="1"/>
  <c r="C7994" i="1"/>
  <c r="C7993" i="1"/>
  <c r="C7992" i="1"/>
  <c r="C7991" i="1"/>
  <c r="C7990" i="1"/>
  <c r="C7989" i="1"/>
  <c r="C7988" i="1"/>
  <c r="C7987" i="1"/>
  <c r="C7986" i="1"/>
  <c r="C7985" i="1"/>
  <c r="C7984" i="1"/>
  <c r="C7983" i="1"/>
  <c r="C7982" i="1"/>
  <c r="C7981" i="1"/>
  <c r="C7980" i="1"/>
  <c r="C7979" i="1"/>
  <c r="C7978" i="1"/>
  <c r="C7977" i="1"/>
  <c r="C7976" i="1"/>
  <c r="C7975" i="1"/>
  <c r="C7974" i="1"/>
  <c r="C7973" i="1"/>
  <c r="C7972" i="1"/>
  <c r="C7971" i="1"/>
  <c r="C7970" i="1"/>
  <c r="C7969" i="1"/>
  <c r="C7968" i="1"/>
  <c r="C7967" i="1"/>
  <c r="C7966" i="1"/>
  <c r="C7965" i="1"/>
  <c r="C7964" i="1"/>
  <c r="C7963" i="1"/>
  <c r="C7962" i="1"/>
  <c r="C7961" i="1"/>
  <c r="C7960" i="1"/>
  <c r="C7959" i="1"/>
  <c r="C7958" i="1"/>
  <c r="C7957" i="1"/>
  <c r="C7956" i="1"/>
  <c r="C7955" i="1"/>
  <c r="C7954" i="1"/>
  <c r="C7953" i="1"/>
  <c r="C7952" i="1"/>
  <c r="C7951" i="1"/>
  <c r="C7950" i="1"/>
  <c r="C7949" i="1"/>
  <c r="C7948" i="1"/>
  <c r="C7947" i="1"/>
  <c r="C7946" i="1"/>
  <c r="C7945" i="1"/>
  <c r="C7944" i="1"/>
  <c r="C7943" i="1"/>
  <c r="C7942" i="1"/>
  <c r="C7941" i="1"/>
  <c r="C7940" i="1"/>
  <c r="C7939" i="1"/>
  <c r="C7938" i="1"/>
  <c r="C7937" i="1"/>
  <c r="C7936" i="1"/>
  <c r="C7935" i="1"/>
  <c r="C7934" i="1"/>
  <c r="C7933" i="1"/>
  <c r="C7932" i="1"/>
  <c r="C7931" i="1"/>
  <c r="C7930" i="1"/>
  <c r="C7929" i="1"/>
  <c r="C7928" i="1"/>
  <c r="C7927" i="1"/>
  <c r="C7926" i="1"/>
  <c r="C7925" i="1"/>
  <c r="C7924" i="1"/>
  <c r="C7923" i="1"/>
  <c r="C7922" i="1"/>
  <c r="C7921" i="1"/>
  <c r="C7920" i="1"/>
  <c r="C7919" i="1"/>
  <c r="C7918" i="1"/>
  <c r="C7917" i="1"/>
  <c r="C7916" i="1"/>
  <c r="C7915" i="1"/>
  <c r="C7914" i="1"/>
  <c r="C7913" i="1"/>
  <c r="C7912" i="1"/>
  <c r="C7911" i="1"/>
  <c r="C7910" i="1"/>
  <c r="C7909" i="1"/>
  <c r="C7908" i="1"/>
  <c r="C7907" i="1"/>
  <c r="C7906" i="1"/>
  <c r="C7905" i="1"/>
  <c r="C7904" i="1"/>
  <c r="C7903" i="1"/>
  <c r="C7902" i="1"/>
  <c r="C7901" i="1"/>
  <c r="C7900" i="1"/>
  <c r="C7899" i="1"/>
  <c r="C7898" i="1"/>
  <c r="C7897" i="1"/>
  <c r="C7896" i="1"/>
  <c r="C7895" i="1"/>
  <c r="C7894" i="1"/>
  <c r="C7893" i="1"/>
  <c r="C7892" i="1"/>
  <c r="C7891" i="1"/>
  <c r="C7890" i="1"/>
  <c r="C7889" i="1"/>
  <c r="C7888" i="1"/>
  <c r="C7887" i="1"/>
  <c r="C7886" i="1"/>
  <c r="C7885" i="1"/>
  <c r="C7884" i="1"/>
  <c r="C7883" i="1"/>
  <c r="C7882" i="1"/>
  <c r="C7881" i="1"/>
  <c r="C7880" i="1"/>
  <c r="C7879" i="1"/>
  <c r="C7878" i="1"/>
  <c r="C7877" i="1"/>
  <c r="C7876" i="1"/>
  <c r="C7875" i="1"/>
  <c r="C7874" i="1"/>
  <c r="C7873" i="1"/>
  <c r="C7872" i="1"/>
  <c r="C7871" i="1"/>
  <c r="C7870" i="1"/>
  <c r="C7869" i="1"/>
  <c r="C7868" i="1"/>
  <c r="C7867" i="1"/>
  <c r="C7866" i="1"/>
  <c r="C7865" i="1"/>
  <c r="C7864" i="1"/>
  <c r="C7863" i="1"/>
  <c r="C7862" i="1"/>
  <c r="C7861" i="1"/>
  <c r="C7860" i="1"/>
  <c r="C7859" i="1"/>
  <c r="C7858" i="1"/>
  <c r="C7857" i="1"/>
  <c r="C7856" i="1"/>
  <c r="C7855" i="1"/>
  <c r="C7854" i="1"/>
  <c r="C7853" i="1"/>
  <c r="C7852" i="1"/>
  <c r="C7851" i="1"/>
  <c r="C7850" i="1"/>
  <c r="C7849" i="1"/>
  <c r="C7848" i="1"/>
  <c r="C7847" i="1"/>
  <c r="C7846" i="1"/>
  <c r="C7845" i="1"/>
  <c r="C7844" i="1"/>
  <c r="C7843" i="1"/>
  <c r="C7842" i="1"/>
  <c r="C7841" i="1"/>
  <c r="C7840" i="1"/>
  <c r="C7839" i="1"/>
  <c r="C7838" i="1"/>
  <c r="C7837" i="1"/>
  <c r="C7836" i="1"/>
  <c r="C7835" i="1"/>
  <c r="C7834" i="1"/>
  <c r="C7833" i="1"/>
  <c r="C7832" i="1"/>
  <c r="C7831" i="1"/>
  <c r="C7830" i="1"/>
  <c r="C7829" i="1"/>
  <c r="C7828" i="1"/>
  <c r="C7827" i="1"/>
  <c r="C7826" i="1"/>
  <c r="C7825" i="1"/>
  <c r="C7824" i="1"/>
  <c r="C7823" i="1"/>
  <c r="C7822" i="1"/>
  <c r="C7821" i="1"/>
  <c r="C7820" i="1"/>
  <c r="C7819" i="1"/>
  <c r="C7818" i="1"/>
  <c r="C7817" i="1"/>
  <c r="C7816" i="1"/>
  <c r="C7815" i="1"/>
  <c r="C7814" i="1"/>
  <c r="C7813" i="1"/>
  <c r="C7812" i="1"/>
  <c r="C7811" i="1"/>
  <c r="C7810" i="1"/>
  <c r="C7809" i="1"/>
  <c r="C7808" i="1"/>
  <c r="C7807" i="1"/>
  <c r="C7806" i="1"/>
  <c r="C7805" i="1"/>
  <c r="C7804" i="1"/>
  <c r="C7803" i="1"/>
  <c r="C7802" i="1"/>
  <c r="C7801" i="1"/>
  <c r="C7800" i="1"/>
  <c r="C7799" i="1"/>
  <c r="C7798" i="1"/>
  <c r="C7797" i="1"/>
  <c r="C7796" i="1"/>
  <c r="C7795" i="1"/>
  <c r="C7794" i="1"/>
  <c r="C7793" i="1"/>
  <c r="C7792" i="1"/>
  <c r="C7791" i="1"/>
  <c r="C7790" i="1"/>
  <c r="C7789" i="1"/>
  <c r="C7788" i="1"/>
  <c r="C7787" i="1"/>
  <c r="C7786" i="1"/>
  <c r="C7785" i="1"/>
  <c r="C7784" i="1"/>
  <c r="C7783" i="1"/>
  <c r="C7782" i="1"/>
  <c r="C7781" i="1"/>
  <c r="C7780" i="1"/>
  <c r="C7779" i="1"/>
  <c r="C7778" i="1"/>
  <c r="C7777" i="1"/>
  <c r="C7776" i="1"/>
  <c r="C7775" i="1"/>
  <c r="C7774" i="1"/>
  <c r="C7773" i="1"/>
  <c r="C7772" i="1"/>
  <c r="C7771" i="1"/>
  <c r="C7770" i="1"/>
  <c r="C7769" i="1"/>
  <c r="C7768" i="1"/>
  <c r="C7767" i="1"/>
  <c r="C7766" i="1"/>
  <c r="C7765" i="1"/>
  <c r="C7764" i="1"/>
  <c r="C7763" i="1"/>
  <c r="C7762" i="1"/>
  <c r="C7761" i="1"/>
  <c r="C7760" i="1"/>
  <c r="C7759" i="1"/>
  <c r="C7758" i="1"/>
  <c r="C7757" i="1"/>
  <c r="C7756" i="1"/>
  <c r="C7755" i="1"/>
  <c r="C7754" i="1"/>
  <c r="C7753" i="1"/>
  <c r="C7752" i="1"/>
  <c r="C7751" i="1"/>
  <c r="C7750" i="1"/>
  <c r="C7749" i="1"/>
  <c r="C7748" i="1"/>
  <c r="C7747" i="1"/>
  <c r="C7746" i="1"/>
  <c r="C7745" i="1"/>
  <c r="C7744" i="1"/>
  <c r="C7743" i="1"/>
  <c r="C7742" i="1"/>
  <c r="C7741" i="1"/>
  <c r="C7740" i="1"/>
  <c r="C7739" i="1"/>
  <c r="C7738" i="1"/>
  <c r="C7737" i="1"/>
  <c r="C7736" i="1"/>
  <c r="C7735" i="1"/>
  <c r="C7734" i="1"/>
  <c r="C7733" i="1"/>
  <c r="C7732" i="1"/>
  <c r="C7731" i="1"/>
  <c r="C7730" i="1"/>
  <c r="C7729" i="1"/>
  <c r="C7728" i="1"/>
  <c r="C7727" i="1"/>
  <c r="C7726" i="1"/>
  <c r="C7725" i="1"/>
  <c r="C7724" i="1"/>
  <c r="C7723" i="1"/>
  <c r="C7722" i="1"/>
  <c r="C7721" i="1"/>
  <c r="C7720" i="1"/>
  <c r="C7719" i="1"/>
  <c r="C7718" i="1"/>
  <c r="C7717" i="1"/>
  <c r="C7716" i="1"/>
  <c r="C7715" i="1"/>
  <c r="C7714" i="1"/>
  <c r="C7713" i="1"/>
  <c r="C7712" i="1"/>
  <c r="C7711" i="1"/>
  <c r="C7710" i="1"/>
  <c r="C7709" i="1"/>
  <c r="C7708" i="1"/>
  <c r="C7707" i="1"/>
  <c r="C7706" i="1"/>
  <c r="C7705" i="1"/>
  <c r="C7704" i="1"/>
  <c r="C7703" i="1"/>
  <c r="C7702" i="1"/>
  <c r="C7701" i="1"/>
  <c r="C7700" i="1"/>
  <c r="C7699" i="1"/>
  <c r="C7698" i="1"/>
  <c r="C7697" i="1"/>
  <c r="C7696" i="1"/>
  <c r="C7695" i="1"/>
  <c r="C7694" i="1"/>
  <c r="C7693" i="1"/>
  <c r="C7692" i="1"/>
  <c r="C7691" i="1"/>
  <c r="C7690" i="1"/>
  <c r="C7689" i="1"/>
  <c r="C7688" i="1"/>
  <c r="C7687" i="1"/>
  <c r="C7686" i="1"/>
  <c r="C7685" i="1"/>
  <c r="C7684" i="1"/>
  <c r="C7683" i="1"/>
  <c r="C7682" i="1"/>
  <c r="C7681" i="1"/>
  <c r="C7680" i="1"/>
  <c r="C7679" i="1"/>
  <c r="C7678" i="1"/>
  <c r="C7677" i="1"/>
  <c r="C7676" i="1"/>
  <c r="C7675" i="1"/>
  <c r="C7674" i="1"/>
  <c r="C7673" i="1"/>
  <c r="C7672" i="1"/>
  <c r="C7671" i="1"/>
  <c r="C7670" i="1"/>
  <c r="C7669" i="1"/>
  <c r="C7668" i="1"/>
  <c r="C7667" i="1"/>
  <c r="C7666" i="1"/>
  <c r="C7665" i="1"/>
  <c r="C7664" i="1"/>
  <c r="C7663" i="1"/>
  <c r="C7662" i="1"/>
  <c r="C7661" i="1"/>
  <c r="C7660" i="1"/>
  <c r="C7659" i="1"/>
  <c r="C7658" i="1"/>
  <c r="C7657" i="1"/>
  <c r="C7656" i="1"/>
  <c r="C7655" i="1"/>
  <c r="C7654" i="1"/>
  <c r="C7653" i="1"/>
  <c r="C7652" i="1"/>
  <c r="C7651" i="1"/>
  <c r="C7650" i="1"/>
  <c r="C7649" i="1"/>
  <c r="C7648" i="1"/>
  <c r="C7647" i="1"/>
  <c r="C7646" i="1"/>
  <c r="C7645" i="1"/>
  <c r="C7644" i="1"/>
  <c r="C7643" i="1"/>
  <c r="C7642" i="1"/>
  <c r="C7641" i="1"/>
  <c r="C7640" i="1"/>
  <c r="C7639" i="1"/>
  <c r="C7638" i="1"/>
  <c r="C7637" i="1"/>
  <c r="C7636" i="1"/>
  <c r="C7635" i="1"/>
  <c r="C7634" i="1"/>
  <c r="C7633" i="1"/>
  <c r="C7632" i="1"/>
  <c r="C7631" i="1"/>
  <c r="C7630" i="1"/>
  <c r="C7629" i="1"/>
  <c r="C7628" i="1"/>
  <c r="C7627" i="1"/>
  <c r="C7626" i="1"/>
  <c r="C7625" i="1"/>
  <c r="C7624" i="1"/>
  <c r="C7623" i="1"/>
  <c r="C7622" i="1"/>
  <c r="C7621" i="1"/>
  <c r="C7620" i="1"/>
  <c r="C7619" i="1"/>
  <c r="C7618" i="1"/>
  <c r="C7617" i="1"/>
  <c r="C7616" i="1"/>
  <c r="C7615" i="1"/>
  <c r="C7614" i="1"/>
  <c r="C7613" i="1"/>
  <c r="C7612" i="1"/>
  <c r="C7611" i="1"/>
  <c r="C7610" i="1"/>
  <c r="C7609" i="1"/>
  <c r="C7608" i="1"/>
  <c r="C7607" i="1"/>
  <c r="C7606" i="1"/>
  <c r="C7605" i="1"/>
  <c r="C7604" i="1"/>
  <c r="C7603" i="1"/>
  <c r="C7602" i="1"/>
  <c r="C7601" i="1"/>
  <c r="C7600" i="1"/>
  <c r="C7599" i="1"/>
  <c r="C7598" i="1"/>
  <c r="C7597" i="1"/>
  <c r="C7596" i="1"/>
  <c r="C7595" i="1"/>
  <c r="C7594" i="1"/>
  <c r="C7593" i="1"/>
  <c r="C7592" i="1"/>
  <c r="C7591" i="1"/>
  <c r="C7590" i="1"/>
  <c r="C7589" i="1"/>
  <c r="C7588" i="1"/>
  <c r="C7587" i="1"/>
  <c r="C7586" i="1"/>
  <c r="C7585" i="1"/>
  <c r="C7584" i="1"/>
  <c r="C7583" i="1"/>
  <c r="C7582" i="1"/>
  <c r="C7581" i="1"/>
  <c r="C7580" i="1"/>
  <c r="C7579" i="1"/>
  <c r="C7578" i="1"/>
  <c r="C7577" i="1"/>
  <c r="C7576" i="1"/>
  <c r="C7575" i="1"/>
  <c r="C7574" i="1"/>
  <c r="C7573" i="1"/>
  <c r="C7572" i="1"/>
  <c r="C7571" i="1"/>
  <c r="C7570" i="1"/>
  <c r="C7569" i="1"/>
  <c r="C7568" i="1"/>
  <c r="C7567" i="1"/>
  <c r="C7566" i="1"/>
  <c r="C7565" i="1"/>
  <c r="C7564" i="1"/>
  <c r="C7563" i="1"/>
  <c r="C7562" i="1"/>
  <c r="C7561" i="1"/>
  <c r="C7560" i="1"/>
  <c r="C7559" i="1"/>
  <c r="C7558" i="1"/>
  <c r="C7557" i="1"/>
  <c r="C7556" i="1"/>
  <c r="C7555" i="1"/>
  <c r="C7554" i="1"/>
  <c r="C7553" i="1"/>
  <c r="C7552" i="1"/>
  <c r="C7551" i="1"/>
  <c r="C7550" i="1"/>
  <c r="C7549" i="1"/>
  <c r="C7548" i="1"/>
  <c r="C7547" i="1"/>
  <c r="C7546" i="1"/>
  <c r="C7545" i="1"/>
  <c r="C7544" i="1"/>
  <c r="C7543" i="1"/>
  <c r="C7542" i="1"/>
  <c r="C7541" i="1"/>
  <c r="C7540" i="1"/>
  <c r="C7539" i="1"/>
  <c r="C7538" i="1"/>
  <c r="C7537" i="1"/>
  <c r="C7536" i="1"/>
  <c r="C7535" i="1"/>
  <c r="C7534" i="1"/>
  <c r="C7533" i="1"/>
  <c r="C7532" i="1"/>
  <c r="C7531" i="1"/>
  <c r="C7530" i="1"/>
  <c r="C7529" i="1"/>
  <c r="C7528" i="1"/>
  <c r="C7527" i="1"/>
  <c r="C7526" i="1"/>
  <c r="C7525" i="1"/>
  <c r="C7524" i="1"/>
  <c r="C7523" i="1"/>
  <c r="C7522" i="1"/>
  <c r="C7521" i="1"/>
  <c r="C7520" i="1"/>
  <c r="C7519" i="1"/>
  <c r="C7518" i="1"/>
  <c r="C7517" i="1"/>
  <c r="C7516" i="1"/>
  <c r="C7515" i="1"/>
  <c r="C7514" i="1"/>
  <c r="C7513" i="1"/>
  <c r="C7512" i="1"/>
  <c r="C7511" i="1"/>
  <c r="C7510" i="1"/>
  <c r="C7509" i="1"/>
  <c r="C7508" i="1"/>
  <c r="C7507" i="1"/>
  <c r="C7506" i="1"/>
  <c r="C7505" i="1"/>
  <c r="C7504" i="1"/>
  <c r="C7503" i="1"/>
  <c r="C7502" i="1"/>
  <c r="C7501" i="1"/>
  <c r="C7500" i="1"/>
  <c r="C7499" i="1"/>
  <c r="C7498" i="1"/>
  <c r="C7497" i="1"/>
  <c r="C7496" i="1"/>
  <c r="C7495" i="1"/>
  <c r="C7494" i="1"/>
  <c r="C7493" i="1"/>
  <c r="C7492" i="1"/>
  <c r="C7491" i="1"/>
  <c r="C7490" i="1"/>
  <c r="C7489" i="1"/>
  <c r="C7488" i="1"/>
  <c r="C7487" i="1"/>
  <c r="C7486" i="1"/>
  <c r="C7485" i="1"/>
  <c r="C7484" i="1"/>
  <c r="C7483" i="1"/>
  <c r="C7482" i="1"/>
  <c r="C7481" i="1"/>
  <c r="C7480" i="1"/>
  <c r="C7479" i="1"/>
  <c r="C7478" i="1"/>
  <c r="C7477" i="1"/>
  <c r="C7476" i="1"/>
  <c r="C7475" i="1"/>
  <c r="C7474" i="1"/>
  <c r="C7473" i="1"/>
  <c r="C7472" i="1"/>
  <c r="C7471" i="1"/>
  <c r="C7470" i="1"/>
  <c r="C7469" i="1"/>
  <c r="C7468" i="1"/>
  <c r="C7467" i="1"/>
  <c r="C7466" i="1"/>
  <c r="C7465" i="1"/>
  <c r="C7464" i="1"/>
  <c r="C7463" i="1"/>
  <c r="C7462" i="1"/>
  <c r="C7461" i="1"/>
  <c r="C7460" i="1"/>
  <c r="C7459" i="1"/>
  <c r="C7458" i="1"/>
  <c r="C7457" i="1"/>
  <c r="C7456" i="1"/>
  <c r="C7455" i="1"/>
  <c r="C7454" i="1"/>
  <c r="C7453" i="1"/>
  <c r="C7452" i="1"/>
  <c r="C7451" i="1"/>
  <c r="C7450" i="1"/>
  <c r="C7449" i="1"/>
  <c r="C7448" i="1"/>
  <c r="C7447" i="1"/>
  <c r="C7446" i="1"/>
  <c r="C7445" i="1"/>
  <c r="C7444" i="1"/>
  <c r="C7443" i="1"/>
  <c r="C7442" i="1"/>
  <c r="C7441" i="1"/>
  <c r="C7440" i="1"/>
  <c r="C7439" i="1"/>
  <c r="C7438" i="1"/>
  <c r="C7437" i="1"/>
  <c r="C7436" i="1"/>
  <c r="C7435" i="1"/>
  <c r="C7434" i="1"/>
  <c r="C7433" i="1"/>
  <c r="C7432" i="1"/>
  <c r="C7431" i="1"/>
  <c r="C7430" i="1"/>
  <c r="C7429" i="1"/>
  <c r="C7428" i="1"/>
  <c r="C7427" i="1"/>
  <c r="C7426" i="1"/>
  <c r="C7425" i="1"/>
  <c r="C7424" i="1"/>
  <c r="C7423" i="1"/>
  <c r="C7422" i="1"/>
  <c r="C7421" i="1"/>
  <c r="C7420" i="1"/>
  <c r="C7419" i="1"/>
  <c r="C7418" i="1"/>
  <c r="C7417" i="1"/>
  <c r="C7416" i="1"/>
  <c r="C7415" i="1"/>
  <c r="C7414" i="1"/>
  <c r="C7413" i="1"/>
  <c r="C7412" i="1"/>
  <c r="C7411" i="1"/>
  <c r="C7410" i="1"/>
  <c r="C7409" i="1"/>
  <c r="C7408" i="1"/>
  <c r="C7407" i="1"/>
  <c r="C7406" i="1"/>
  <c r="C7405" i="1"/>
  <c r="C7404" i="1"/>
  <c r="C7403" i="1"/>
  <c r="C7402" i="1"/>
  <c r="C7401" i="1"/>
  <c r="C7400" i="1"/>
  <c r="C7399" i="1"/>
  <c r="C7398" i="1"/>
  <c r="C7397" i="1"/>
  <c r="C7396" i="1"/>
  <c r="C7395" i="1"/>
  <c r="C7394" i="1"/>
  <c r="C7393" i="1"/>
  <c r="C7392" i="1"/>
  <c r="C7391" i="1"/>
  <c r="C7390" i="1"/>
  <c r="C7389" i="1"/>
  <c r="C7388" i="1"/>
  <c r="C7387" i="1"/>
  <c r="C7386" i="1"/>
  <c r="C7385" i="1"/>
  <c r="C7384" i="1"/>
  <c r="C7383" i="1"/>
  <c r="C7382" i="1"/>
  <c r="C7381" i="1"/>
  <c r="C7380" i="1"/>
  <c r="C7379" i="1"/>
  <c r="C7378" i="1"/>
  <c r="C7377" i="1"/>
  <c r="C7376" i="1"/>
  <c r="C7375" i="1"/>
  <c r="C7374" i="1"/>
  <c r="C7373" i="1"/>
  <c r="C7372" i="1"/>
  <c r="C7371" i="1"/>
  <c r="C7370" i="1"/>
  <c r="C7369" i="1"/>
  <c r="C7368" i="1"/>
  <c r="C7367" i="1"/>
  <c r="C7366" i="1"/>
  <c r="C7365" i="1"/>
  <c r="C7364" i="1"/>
  <c r="C7363" i="1"/>
  <c r="C7362" i="1"/>
  <c r="C7361" i="1"/>
  <c r="C7360" i="1"/>
  <c r="C7359" i="1"/>
  <c r="C7358" i="1"/>
  <c r="C7357" i="1"/>
  <c r="C7356" i="1"/>
  <c r="C7355" i="1"/>
  <c r="C7354" i="1"/>
  <c r="C7353" i="1"/>
  <c r="C7352" i="1"/>
  <c r="C7351" i="1"/>
  <c r="C7350" i="1"/>
  <c r="C7349" i="1"/>
  <c r="C7348" i="1"/>
  <c r="C7347" i="1"/>
  <c r="C7346" i="1"/>
  <c r="C7345" i="1"/>
  <c r="C7344" i="1"/>
  <c r="C7343" i="1"/>
  <c r="C7342" i="1"/>
  <c r="C7341" i="1"/>
  <c r="C7340" i="1"/>
  <c r="C7339" i="1"/>
  <c r="C7338" i="1"/>
  <c r="C7337" i="1"/>
  <c r="C7336" i="1"/>
  <c r="C7335" i="1"/>
  <c r="C7334" i="1"/>
  <c r="C7333" i="1"/>
  <c r="C7332" i="1"/>
  <c r="C7331" i="1"/>
  <c r="C7330" i="1"/>
  <c r="C7329" i="1"/>
  <c r="C7328" i="1"/>
  <c r="C7327" i="1"/>
  <c r="C7326" i="1"/>
  <c r="C7325" i="1"/>
  <c r="C7324" i="1"/>
  <c r="C7323" i="1"/>
  <c r="C7322" i="1"/>
  <c r="C7321" i="1"/>
  <c r="C7320" i="1"/>
  <c r="C7319" i="1"/>
  <c r="C7318" i="1"/>
  <c r="C7317" i="1"/>
  <c r="C7316" i="1"/>
  <c r="C7315" i="1"/>
  <c r="C7314" i="1"/>
  <c r="C7313" i="1"/>
  <c r="C7312" i="1"/>
  <c r="C7311" i="1"/>
  <c r="C7310" i="1"/>
  <c r="C7309" i="1"/>
  <c r="C7308" i="1"/>
  <c r="C7307" i="1"/>
  <c r="C7306" i="1"/>
  <c r="C7305" i="1"/>
  <c r="C7304" i="1"/>
  <c r="C7303" i="1"/>
  <c r="C7302" i="1"/>
  <c r="C7301" i="1"/>
  <c r="C7300" i="1"/>
  <c r="C7299" i="1"/>
  <c r="C7298" i="1"/>
  <c r="C7297" i="1"/>
  <c r="C7296" i="1"/>
  <c r="C7295" i="1"/>
  <c r="C7294" i="1"/>
  <c r="C7293" i="1"/>
  <c r="C7292" i="1"/>
  <c r="C7291" i="1"/>
  <c r="C7290" i="1"/>
  <c r="C7289" i="1"/>
  <c r="C7288" i="1"/>
  <c r="C7287" i="1"/>
  <c r="C7286" i="1"/>
  <c r="C7285" i="1"/>
  <c r="C7284" i="1"/>
  <c r="C7283" i="1"/>
  <c r="C7282" i="1"/>
  <c r="C7281" i="1"/>
  <c r="C7280" i="1"/>
  <c r="C7279" i="1"/>
  <c r="C7278" i="1"/>
  <c r="C7277" i="1"/>
  <c r="C7276" i="1"/>
  <c r="C7275" i="1"/>
  <c r="C7274" i="1"/>
  <c r="C7273" i="1"/>
  <c r="C7272" i="1"/>
  <c r="C7271" i="1"/>
  <c r="C7270" i="1"/>
  <c r="C7269" i="1"/>
  <c r="C7268" i="1"/>
  <c r="C7267" i="1"/>
  <c r="C7266" i="1"/>
  <c r="C7265" i="1"/>
  <c r="C7264" i="1"/>
  <c r="C7263" i="1"/>
  <c r="C7262" i="1"/>
  <c r="C7261" i="1"/>
  <c r="C7260" i="1"/>
  <c r="C7259" i="1"/>
  <c r="C7258" i="1"/>
  <c r="C7257" i="1"/>
  <c r="C7256" i="1"/>
  <c r="C7255" i="1"/>
  <c r="C7254" i="1"/>
  <c r="C7253" i="1"/>
  <c r="C7252" i="1"/>
  <c r="C7251" i="1"/>
  <c r="C7250" i="1"/>
  <c r="C7249" i="1"/>
  <c r="C7248" i="1"/>
  <c r="C7247" i="1"/>
  <c r="C7246" i="1"/>
  <c r="C7245" i="1"/>
  <c r="C7244" i="1"/>
  <c r="C7243" i="1"/>
  <c r="C7242" i="1"/>
  <c r="C7241" i="1"/>
  <c r="C7240" i="1"/>
  <c r="C7239" i="1"/>
  <c r="C7238" i="1"/>
  <c r="C7237" i="1"/>
  <c r="C7236" i="1"/>
  <c r="C7235" i="1"/>
  <c r="C7234" i="1"/>
  <c r="C7233" i="1"/>
  <c r="C7232" i="1"/>
  <c r="C7231" i="1"/>
  <c r="C7230" i="1"/>
  <c r="C7229" i="1"/>
  <c r="C7228" i="1"/>
  <c r="C7227" i="1"/>
  <c r="C7226" i="1"/>
  <c r="C7225" i="1"/>
  <c r="C7224" i="1"/>
  <c r="C7223" i="1"/>
  <c r="C7222" i="1"/>
  <c r="C7221" i="1"/>
  <c r="C7220" i="1"/>
  <c r="C7219" i="1"/>
  <c r="C7218" i="1"/>
  <c r="C7217" i="1"/>
  <c r="C7216" i="1"/>
  <c r="C7215" i="1"/>
  <c r="C7214" i="1"/>
  <c r="C7213" i="1"/>
  <c r="C7212" i="1"/>
  <c r="C7211" i="1"/>
  <c r="C7210" i="1"/>
  <c r="C7209" i="1"/>
  <c r="C7208" i="1"/>
  <c r="C7207" i="1"/>
  <c r="C7206" i="1"/>
  <c r="C7205" i="1"/>
  <c r="C7204" i="1"/>
  <c r="C7203" i="1"/>
  <c r="C7202" i="1"/>
  <c r="C7201" i="1"/>
  <c r="C7200" i="1"/>
  <c r="C7199" i="1"/>
  <c r="C7198" i="1"/>
  <c r="C7197" i="1"/>
  <c r="C7196" i="1"/>
  <c r="C7195" i="1"/>
  <c r="C7194" i="1"/>
  <c r="C7193" i="1"/>
  <c r="C7192" i="1"/>
  <c r="C7191" i="1"/>
  <c r="C7190" i="1"/>
  <c r="C7189" i="1"/>
  <c r="C7188" i="1"/>
  <c r="C7187" i="1"/>
  <c r="C7186" i="1"/>
  <c r="C7185" i="1"/>
  <c r="C7184" i="1"/>
  <c r="C7183" i="1"/>
  <c r="C7182" i="1"/>
  <c r="C7181" i="1"/>
  <c r="C7180" i="1"/>
  <c r="C7179" i="1"/>
  <c r="C7178" i="1"/>
  <c r="C7177" i="1"/>
  <c r="C7176" i="1"/>
  <c r="C7175" i="1"/>
  <c r="C7174" i="1"/>
  <c r="C7173" i="1"/>
  <c r="C7172" i="1"/>
  <c r="C7171" i="1"/>
  <c r="C7170" i="1"/>
  <c r="C7169" i="1"/>
  <c r="C7168" i="1"/>
  <c r="C7167" i="1"/>
  <c r="C7166" i="1"/>
  <c r="C7165" i="1"/>
  <c r="C7164" i="1"/>
  <c r="C7163" i="1"/>
  <c r="C7162" i="1"/>
  <c r="C7161" i="1"/>
  <c r="C7160" i="1"/>
  <c r="C7159" i="1"/>
  <c r="C7158" i="1"/>
  <c r="C7157" i="1"/>
  <c r="C7156" i="1"/>
  <c r="C7155" i="1"/>
  <c r="C7154" i="1"/>
  <c r="C7153" i="1"/>
  <c r="C7152" i="1"/>
  <c r="C7151" i="1"/>
  <c r="C7150" i="1"/>
  <c r="C7149" i="1"/>
  <c r="C7148" i="1"/>
  <c r="C7147" i="1"/>
  <c r="C7146" i="1"/>
  <c r="C7145" i="1"/>
  <c r="C7144" i="1"/>
  <c r="C7143" i="1"/>
  <c r="C7142" i="1"/>
  <c r="C7141" i="1"/>
  <c r="C7140" i="1"/>
  <c r="C7139" i="1"/>
  <c r="C7138" i="1"/>
  <c r="C7137" i="1"/>
  <c r="C7136" i="1"/>
  <c r="C7135" i="1"/>
  <c r="C7134" i="1"/>
  <c r="C7133" i="1"/>
  <c r="C7132" i="1"/>
  <c r="C7131" i="1"/>
  <c r="C7130" i="1"/>
  <c r="C7129" i="1"/>
  <c r="C7128" i="1"/>
  <c r="C7127" i="1"/>
  <c r="C7126" i="1"/>
  <c r="C7125" i="1"/>
  <c r="C7124" i="1"/>
  <c r="C7123" i="1"/>
  <c r="C7122" i="1"/>
  <c r="C7121" i="1"/>
  <c r="C7120" i="1"/>
  <c r="C7119" i="1"/>
  <c r="C7118" i="1"/>
  <c r="C7117" i="1"/>
  <c r="C7116" i="1"/>
  <c r="C7115" i="1"/>
  <c r="C7114" i="1"/>
  <c r="C7113" i="1"/>
  <c r="C7112" i="1"/>
  <c r="C7111" i="1"/>
  <c r="C7110" i="1"/>
  <c r="C7109" i="1"/>
  <c r="C7108" i="1"/>
  <c r="C7107" i="1"/>
  <c r="C7106" i="1"/>
  <c r="C7105" i="1"/>
  <c r="C7104" i="1"/>
  <c r="C7103" i="1"/>
  <c r="C7102" i="1"/>
  <c r="C7101" i="1"/>
  <c r="C7100" i="1"/>
  <c r="C7099" i="1"/>
  <c r="C7098" i="1"/>
  <c r="C7097" i="1"/>
  <c r="C7096" i="1"/>
  <c r="C7095" i="1"/>
  <c r="C7094" i="1"/>
  <c r="C7093" i="1"/>
  <c r="C7092" i="1"/>
  <c r="C7091" i="1"/>
  <c r="C7090" i="1"/>
  <c r="C7089" i="1"/>
  <c r="C7088" i="1"/>
  <c r="C7087" i="1"/>
  <c r="C7086" i="1"/>
  <c r="C7085" i="1"/>
  <c r="C7084" i="1"/>
  <c r="C7083" i="1"/>
  <c r="C7082" i="1"/>
  <c r="C7081" i="1"/>
  <c r="C7080" i="1"/>
  <c r="C7079" i="1"/>
  <c r="C7078" i="1"/>
  <c r="C7077" i="1"/>
  <c r="C7076" i="1"/>
  <c r="C7075" i="1"/>
  <c r="C7074" i="1"/>
  <c r="C7073" i="1"/>
  <c r="C7072" i="1"/>
  <c r="C7071" i="1"/>
  <c r="C7070" i="1"/>
  <c r="C7069" i="1"/>
  <c r="C7068" i="1"/>
  <c r="C7067" i="1"/>
  <c r="C7066" i="1"/>
  <c r="C7065" i="1"/>
  <c r="C7064" i="1"/>
  <c r="C7063" i="1"/>
  <c r="C7062" i="1"/>
  <c r="C7061" i="1"/>
  <c r="C7060" i="1"/>
  <c r="C7059" i="1"/>
  <c r="C7058" i="1"/>
  <c r="C7057" i="1"/>
  <c r="C7056" i="1"/>
  <c r="C7055" i="1"/>
  <c r="C7054" i="1"/>
  <c r="C7053" i="1"/>
  <c r="C7052" i="1"/>
  <c r="C7051" i="1"/>
  <c r="C7050" i="1"/>
  <c r="C7049" i="1"/>
  <c r="C7048" i="1"/>
  <c r="C7047" i="1"/>
  <c r="C7046" i="1"/>
  <c r="C7045" i="1"/>
  <c r="C7044" i="1"/>
  <c r="C7043" i="1"/>
  <c r="C7042" i="1"/>
  <c r="C7041" i="1"/>
  <c r="C7040" i="1"/>
  <c r="C7039" i="1"/>
  <c r="C7038" i="1"/>
  <c r="C7037" i="1"/>
  <c r="C7036" i="1"/>
  <c r="C7035" i="1"/>
  <c r="C7034" i="1"/>
  <c r="C7033" i="1"/>
  <c r="C7032" i="1"/>
  <c r="C7031" i="1"/>
  <c r="C7030" i="1"/>
  <c r="C7029" i="1"/>
  <c r="C7028" i="1"/>
  <c r="C7027" i="1"/>
  <c r="C7026" i="1"/>
  <c r="C7025" i="1"/>
  <c r="C7024" i="1"/>
  <c r="C7023" i="1"/>
  <c r="C7022" i="1"/>
  <c r="C7021" i="1"/>
  <c r="C7020" i="1"/>
  <c r="C7019" i="1"/>
  <c r="C7018" i="1"/>
  <c r="C7017" i="1"/>
  <c r="C7016" i="1"/>
  <c r="C7015" i="1"/>
  <c r="C7014" i="1"/>
  <c r="C7013" i="1"/>
  <c r="C7012" i="1"/>
  <c r="C7011" i="1"/>
  <c r="C7010" i="1"/>
  <c r="C7009" i="1"/>
  <c r="C7008" i="1"/>
  <c r="C7007" i="1"/>
  <c r="C7006" i="1"/>
  <c r="C7005" i="1"/>
  <c r="C7004" i="1"/>
  <c r="C7003" i="1"/>
  <c r="C7002" i="1"/>
  <c r="C7001" i="1"/>
  <c r="C7000" i="1"/>
  <c r="C6999" i="1"/>
  <c r="C6998" i="1"/>
  <c r="C6997" i="1"/>
  <c r="C6996" i="1"/>
  <c r="C6995" i="1"/>
  <c r="C6994" i="1"/>
  <c r="C6993" i="1"/>
  <c r="C6992" i="1"/>
  <c r="C6991" i="1"/>
  <c r="C6990" i="1"/>
  <c r="C6989" i="1"/>
  <c r="C6988" i="1"/>
  <c r="C6987" i="1"/>
  <c r="C6986" i="1"/>
  <c r="C6985" i="1"/>
  <c r="C6984" i="1"/>
  <c r="C6983" i="1"/>
  <c r="C6982" i="1"/>
  <c r="C6981" i="1"/>
  <c r="C6980" i="1"/>
  <c r="C6979" i="1"/>
  <c r="C6978" i="1"/>
  <c r="C6977" i="1"/>
  <c r="C6976" i="1"/>
  <c r="C6975" i="1"/>
  <c r="C6974" i="1"/>
  <c r="C6973" i="1"/>
  <c r="C6972" i="1"/>
  <c r="C6971" i="1"/>
  <c r="C6970" i="1"/>
  <c r="C6969" i="1"/>
  <c r="C6968" i="1"/>
  <c r="C6967" i="1"/>
  <c r="C6966" i="1"/>
  <c r="C6965" i="1"/>
  <c r="C6964" i="1"/>
  <c r="C6963" i="1"/>
  <c r="C6962" i="1"/>
  <c r="C6961" i="1"/>
  <c r="C6960" i="1"/>
  <c r="C6959" i="1"/>
  <c r="C6958" i="1"/>
  <c r="C6957" i="1"/>
  <c r="C6956" i="1"/>
  <c r="C6955" i="1"/>
  <c r="C6954" i="1"/>
  <c r="C6953" i="1"/>
  <c r="C6952" i="1"/>
  <c r="C6951" i="1"/>
  <c r="C6950" i="1"/>
  <c r="C6949" i="1"/>
  <c r="C6948" i="1"/>
  <c r="C6947" i="1"/>
  <c r="C6946" i="1"/>
  <c r="C6945" i="1"/>
  <c r="C6944" i="1"/>
  <c r="C6943" i="1"/>
  <c r="C6942" i="1"/>
  <c r="C6941" i="1"/>
  <c r="C6940" i="1"/>
  <c r="C6939" i="1"/>
  <c r="C6938" i="1"/>
  <c r="C6937" i="1"/>
  <c r="C6936" i="1"/>
  <c r="C6935" i="1"/>
  <c r="C6934" i="1"/>
  <c r="C6933" i="1"/>
  <c r="C6932" i="1"/>
  <c r="C6931" i="1"/>
  <c r="C6930" i="1"/>
  <c r="C6929" i="1"/>
  <c r="C6928" i="1"/>
  <c r="C6927" i="1"/>
  <c r="C6926" i="1"/>
  <c r="C6925" i="1"/>
  <c r="C6924" i="1"/>
  <c r="C6923" i="1"/>
  <c r="C6922" i="1"/>
  <c r="C6921" i="1"/>
  <c r="C6920" i="1"/>
  <c r="C6919" i="1"/>
  <c r="C6918" i="1"/>
  <c r="C6917" i="1"/>
  <c r="C6916" i="1"/>
  <c r="C6915" i="1"/>
  <c r="C6914" i="1"/>
  <c r="C6913" i="1"/>
  <c r="C6912" i="1"/>
  <c r="C6911" i="1"/>
  <c r="C6910" i="1"/>
  <c r="C6909" i="1"/>
  <c r="C6908" i="1"/>
  <c r="C6907" i="1"/>
  <c r="C6906" i="1"/>
  <c r="C6905" i="1"/>
  <c r="C6904" i="1"/>
  <c r="C6903" i="1"/>
  <c r="C6902" i="1"/>
  <c r="C6901" i="1"/>
  <c r="C6900" i="1"/>
  <c r="C6899" i="1"/>
  <c r="C6898" i="1"/>
  <c r="C6897" i="1"/>
  <c r="C6896" i="1"/>
  <c r="C6895" i="1"/>
  <c r="C6894" i="1"/>
  <c r="C6893" i="1"/>
  <c r="C6892" i="1"/>
  <c r="C6891" i="1"/>
  <c r="C6890" i="1"/>
  <c r="C6889" i="1"/>
  <c r="C6888" i="1"/>
  <c r="C6887" i="1"/>
  <c r="C6886" i="1"/>
  <c r="C6885" i="1"/>
  <c r="C6884" i="1"/>
  <c r="C6883" i="1"/>
  <c r="C6882" i="1"/>
  <c r="C6881" i="1"/>
  <c r="C6880" i="1"/>
  <c r="C6879" i="1"/>
  <c r="C6878" i="1"/>
  <c r="C6877" i="1"/>
  <c r="C6876" i="1"/>
  <c r="C6875" i="1"/>
  <c r="C6874" i="1"/>
  <c r="C6873" i="1"/>
  <c r="C6872" i="1"/>
  <c r="C6871" i="1"/>
  <c r="C6870" i="1"/>
  <c r="C6869" i="1"/>
  <c r="C6868" i="1"/>
  <c r="C6867" i="1"/>
  <c r="C6866" i="1"/>
  <c r="C6865" i="1"/>
  <c r="C6864" i="1"/>
  <c r="C6863" i="1"/>
  <c r="C6862" i="1"/>
  <c r="C6861" i="1"/>
  <c r="C6860" i="1"/>
  <c r="C6859" i="1"/>
  <c r="C6858" i="1"/>
  <c r="C6857" i="1"/>
  <c r="C6856" i="1"/>
  <c r="C6855" i="1"/>
  <c r="C6854" i="1"/>
  <c r="C6853" i="1"/>
  <c r="C6852" i="1"/>
  <c r="C6851" i="1"/>
  <c r="C6850" i="1"/>
  <c r="C6849" i="1"/>
  <c r="C6848" i="1"/>
  <c r="C6847" i="1"/>
  <c r="C6846" i="1"/>
  <c r="C6845" i="1"/>
  <c r="C6844" i="1"/>
  <c r="C6843" i="1"/>
  <c r="C6842" i="1"/>
  <c r="C6841" i="1"/>
  <c r="C6840" i="1"/>
  <c r="C6839" i="1"/>
  <c r="C6838" i="1"/>
  <c r="C6837" i="1"/>
  <c r="C6836" i="1"/>
  <c r="C6835" i="1"/>
  <c r="C6834" i="1"/>
  <c r="C6833" i="1"/>
  <c r="C6832" i="1"/>
  <c r="C6831" i="1"/>
  <c r="C6830" i="1"/>
  <c r="C6829" i="1"/>
  <c r="C6828" i="1"/>
  <c r="C6827" i="1"/>
  <c r="C6826" i="1"/>
  <c r="C6825" i="1"/>
  <c r="C6824" i="1"/>
  <c r="C6823" i="1"/>
  <c r="C6822" i="1"/>
  <c r="C6821" i="1"/>
  <c r="C6820" i="1"/>
  <c r="C6819" i="1"/>
  <c r="C6818" i="1"/>
  <c r="C6817" i="1"/>
  <c r="C6816" i="1"/>
  <c r="C6815" i="1"/>
  <c r="C6814" i="1"/>
  <c r="C6813" i="1"/>
  <c r="C6812" i="1"/>
  <c r="C6811" i="1"/>
  <c r="C6810" i="1"/>
  <c r="C6809" i="1"/>
  <c r="C6808" i="1"/>
  <c r="C6807" i="1"/>
  <c r="C6806" i="1"/>
  <c r="C6805" i="1"/>
  <c r="C6804" i="1"/>
  <c r="C6803" i="1"/>
  <c r="C6802" i="1"/>
  <c r="C6801" i="1"/>
  <c r="C6800" i="1"/>
  <c r="C6799" i="1"/>
  <c r="C6798" i="1"/>
  <c r="C6797" i="1"/>
  <c r="C6796" i="1"/>
  <c r="C6795" i="1"/>
  <c r="C6794" i="1"/>
  <c r="C6793" i="1"/>
  <c r="C6792" i="1"/>
  <c r="C6791" i="1"/>
  <c r="C6790" i="1"/>
  <c r="C6789" i="1"/>
  <c r="C6788" i="1"/>
  <c r="C6787" i="1"/>
  <c r="C6786" i="1"/>
  <c r="C6785" i="1"/>
  <c r="C6784" i="1"/>
  <c r="C6783" i="1"/>
  <c r="C6782" i="1"/>
  <c r="C6781" i="1"/>
  <c r="C6780" i="1"/>
  <c r="C6779" i="1"/>
  <c r="C6778" i="1"/>
  <c r="C6777" i="1"/>
  <c r="C6776" i="1"/>
  <c r="C6775" i="1"/>
  <c r="C6774" i="1"/>
  <c r="C6773" i="1"/>
  <c r="C6772" i="1"/>
  <c r="C6771" i="1"/>
  <c r="C6770" i="1"/>
  <c r="C6769" i="1"/>
  <c r="C6768" i="1"/>
  <c r="C6767" i="1"/>
  <c r="C6766" i="1"/>
  <c r="C6765" i="1"/>
  <c r="C6764" i="1"/>
  <c r="C6763" i="1"/>
  <c r="C6762" i="1"/>
  <c r="C6761" i="1"/>
  <c r="C6760" i="1"/>
  <c r="C6759" i="1"/>
  <c r="C6758" i="1"/>
  <c r="C6757" i="1"/>
  <c r="C6756" i="1"/>
  <c r="C6755" i="1"/>
  <c r="C6754" i="1"/>
  <c r="C6753" i="1"/>
  <c r="C6752" i="1"/>
  <c r="C6751" i="1"/>
  <c r="C6750" i="1"/>
  <c r="C6749" i="1"/>
  <c r="C6748" i="1"/>
  <c r="C6747" i="1"/>
  <c r="C6746" i="1"/>
  <c r="C6745" i="1"/>
  <c r="C6744" i="1"/>
  <c r="C6743" i="1"/>
  <c r="C6742" i="1"/>
  <c r="C6741" i="1"/>
  <c r="C6740" i="1"/>
  <c r="C6739" i="1"/>
  <c r="C6738" i="1"/>
  <c r="C6737" i="1"/>
  <c r="C6736" i="1"/>
  <c r="C6735" i="1"/>
  <c r="C6734" i="1"/>
  <c r="C6733" i="1"/>
  <c r="C6732" i="1"/>
  <c r="C6731" i="1"/>
  <c r="C6730" i="1"/>
  <c r="C6729" i="1"/>
  <c r="C6728" i="1"/>
  <c r="C6727" i="1"/>
  <c r="C6726" i="1"/>
  <c r="C6725" i="1"/>
  <c r="C6724" i="1"/>
  <c r="C6723" i="1"/>
  <c r="C6722" i="1"/>
  <c r="C6721" i="1"/>
  <c r="C6720" i="1"/>
  <c r="C6719" i="1"/>
  <c r="C6718" i="1"/>
  <c r="C6717" i="1"/>
  <c r="C6716" i="1"/>
  <c r="C6715" i="1"/>
  <c r="C6714" i="1"/>
  <c r="C6713" i="1"/>
  <c r="C6712" i="1"/>
  <c r="C6711" i="1"/>
  <c r="C6710" i="1"/>
  <c r="C6709" i="1"/>
  <c r="C6708" i="1"/>
  <c r="C6707" i="1"/>
  <c r="C6706" i="1"/>
  <c r="C6705" i="1"/>
  <c r="C6704" i="1"/>
  <c r="C6703" i="1"/>
  <c r="C6702" i="1"/>
  <c r="C6701" i="1"/>
  <c r="C6700" i="1"/>
  <c r="C6699" i="1"/>
  <c r="C6698" i="1"/>
  <c r="C6697" i="1"/>
  <c r="C6696" i="1"/>
  <c r="C6695" i="1"/>
  <c r="C6694" i="1"/>
  <c r="C6693" i="1"/>
  <c r="C6692" i="1"/>
  <c r="C6691" i="1"/>
  <c r="C6690" i="1"/>
  <c r="C6689" i="1"/>
  <c r="C6688" i="1"/>
  <c r="C6687" i="1"/>
  <c r="C6686" i="1"/>
  <c r="C6685" i="1"/>
  <c r="C6684" i="1"/>
  <c r="C6683" i="1"/>
  <c r="C6682" i="1"/>
  <c r="C6681" i="1"/>
  <c r="C6680" i="1"/>
  <c r="C6679" i="1"/>
  <c r="C6678" i="1"/>
  <c r="C6677" i="1"/>
  <c r="C6676" i="1"/>
  <c r="C6675" i="1"/>
  <c r="C6674" i="1"/>
  <c r="C6673" i="1"/>
  <c r="C6672" i="1"/>
  <c r="C6671" i="1"/>
  <c r="C6670" i="1"/>
  <c r="C6669" i="1"/>
  <c r="C6668" i="1"/>
  <c r="C6667" i="1"/>
  <c r="C6666" i="1"/>
  <c r="C6665" i="1"/>
  <c r="C6664" i="1"/>
  <c r="C6663" i="1"/>
  <c r="C6662" i="1"/>
  <c r="C6661" i="1"/>
  <c r="C6660" i="1"/>
  <c r="C6659" i="1"/>
  <c r="C6658" i="1"/>
  <c r="C6657" i="1"/>
  <c r="C6656" i="1"/>
  <c r="C6655" i="1"/>
  <c r="C6654" i="1"/>
  <c r="C6653" i="1"/>
  <c r="C6652" i="1"/>
  <c r="C6651" i="1"/>
  <c r="C6650" i="1"/>
  <c r="C6649" i="1"/>
  <c r="C6648" i="1"/>
  <c r="C6647" i="1"/>
  <c r="C6646" i="1"/>
  <c r="C6645" i="1"/>
  <c r="C6644" i="1"/>
  <c r="C6643" i="1"/>
  <c r="C6642" i="1"/>
  <c r="C6641" i="1"/>
  <c r="C6640" i="1"/>
  <c r="C6639" i="1"/>
  <c r="C6638" i="1"/>
  <c r="C6637" i="1"/>
  <c r="C6636" i="1"/>
  <c r="C6635" i="1"/>
  <c r="C6634" i="1"/>
  <c r="C6633" i="1"/>
  <c r="C6632" i="1"/>
  <c r="C6631" i="1"/>
  <c r="C6630" i="1"/>
  <c r="C6629" i="1"/>
  <c r="C6628" i="1"/>
  <c r="C6627" i="1"/>
  <c r="C6626" i="1"/>
  <c r="C6625" i="1"/>
  <c r="C6624" i="1"/>
  <c r="C6623" i="1"/>
  <c r="C6622" i="1"/>
  <c r="C6621" i="1"/>
  <c r="C6620" i="1"/>
  <c r="C6619" i="1"/>
  <c r="C6618" i="1"/>
  <c r="C6617" i="1"/>
  <c r="C6616" i="1"/>
  <c r="C6615" i="1"/>
  <c r="C6614" i="1"/>
  <c r="C6613" i="1"/>
  <c r="C6612" i="1"/>
  <c r="C6611" i="1"/>
  <c r="C6610" i="1"/>
  <c r="C6609" i="1"/>
  <c r="C6608" i="1"/>
  <c r="C6607" i="1"/>
  <c r="C6606" i="1"/>
  <c r="C6605" i="1"/>
  <c r="C6604" i="1"/>
  <c r="C6603" i="1"/>
  <c r="C6602" i="1"/>
  <c r="C6601" i="1"/>
  <c r="C6600" i="1"/>
  <c r="C6599" i="1"/>
  <c r="C6598" i="1"/>
  <c r="C6597" i="1"/>
  <c r="C6596" i="1"/>
  <c r="C6595" i="1"/>
  <c r="C6594" i="1"/>
  <c r="C6593" i="1"/>
  <c r="C6592" i="1"/>
  <c r="C6591" i="1"/>
  <c r="C6590" i="1"/>
  <c r="C6589" i="1"/>
  <c r="C6588" i="1"/>
  <c r="C6587" i="1"/>
  <c r="C6586" i="1"/>
  <c r="C6585" i="1"/>
  <c r="C6584" i="1"/>
  <c r="C6583" i="1"/>
  <c r="C6582" i="1"/>
  <c r="C6581" i="1"/>
  <c r="C6580" i="1"/>
  <c r="C6579" i="1"/>
  <c r="C6578" i="1"/>
  <c r="C6577" i="1"/>
  <c r="C6576" i="1"/>
  <c r="C6575" i="1"/>
  <c r="C6574" i="1"/>
  <c r="C6573" i="1"/>
  <c r="C6572" i="1"/>
  <c r="C6571" i="1"/>
  <c r="C6570" i="1"/>
  <c r="C6569" i="1"/>
  <c r="C6568" i="1"/>
  <c r="C6567" i="1"/>
  <c r="C6566" i="1"/>
  <c r="C6565" i="1"/>
  <c r="C6564" i="1"/>
  <c r="C6563" i="1"/>
  <c r="C6562" i="1"/>
  <c r="C6561" i="1"/>
  <c r="C6560" i="1"/>
  <c r="C6559" i="1"/>
  <c r="C6558" i="1"/>
  <c r="C6557" i="1"/>
  <c r="C6556" i="1"/>
  <c r="C6555" i="1"/>
  <c r="C6554" i="1"/>
  <c r="C6553" i="1"/>
  <c r="C6552" i="1"/>
  <c r="C6551" i="1"/>
  <c r="C6550" i="1"/>
  <c r="C6549" i="1"/>
  <c r="C6548" i="1"/>
  <c r="C6547" i="1"/>
  <c r="C6546" i="1"/>
  <c r="C6545" i="1"/>
  <c r="C6544" i="1"/>
  <c r="C6543" i="1"/>
  <c r="C6542" i="1"/>
  <c r="C6541" i="1"/>
  <c r="C6540" i="1"/>
  <c r="C6539" i="1"/>
  <c r="C6538" i="1"/>
  <c r="C6537" i="1"/>
  <c r="C6536" i="1"/>
  <c r="C6535" i="1"/>
  <c r="C6534" i="1"/>
  <c r="C6533" i="1"/>
  <c r="C6532" i="1"/>
  <c r="C6531" i="1"/>
  <c r="C6530" i="1"/>
  <c r="C6529" i="1"/>
  <c r="C6528" i="1"/>
  <c r="C6527" i="1"/>
  <c r="C6526" i="1"/>
  <c r="C6525" i="1"/>
  <c r="C6524" i="1"/>
  <c r="C6523" i="1"/>
  <c r="C6522" i="1"/>
  <c r="C6521" i="1"/>
  <c r="C6520" i="1"/>
  <c r="C6519" i="1"/>
  <c r="C6518" i="1"/>
  <c r="C6517" i="1"/>
  <c r="C6516" i="1"/>
  <c r="C6515" i="1"/>
  <c r="C6514" i="1"/>
  <c r="C6513" i="1"/>
  <c r="C6512" i="1"/>
  <c r="C6511" i="1"/>
  <c r="C6510" i="1"/>
  <c r="C6509" i="1"/>
  <c r="C6508" i="1"/>
  <c r="C6507" i="1"/>
  <c r="C6506" i="1"/>
  <c r="C6505" i="1"/>
  <c r="C6504" i="1"/>
  <c r="C6503" i="1"/>
  <c r="C6502" i="1"/>
  <c r="C6501" i="1"/>
  <c r="C6500" i="1"/>
  <c r="C6499" i="1"/>
  <c r="C6498" i="1"/>
  <c r="C6497" i="1"/>
  <c r="C6496" i="1"/>
  <c r="C6495" i="1"/>
  <c r="C6494" i="1"/>
  <c r="C6493" i="1"/>
  <c r="C6492" i="1"/>
  <c r="C6491" i="1"/>
  <c r="C6490" i="1"/>
  <c r="C6489" i="1"/>
  <c r="C6488" i="1"/>
  <c r="C6487" i="1"/>
  <c r="C6486" i="1"/>
  <c r="C6485" i="1"/>
  <c r="C6484" i="1"/>
  <c r="C6483" i="1"/>
  <c r="C6482" i="1"/>
  <c r="C6481" i="1"/>
  <c r="C6480" i="1"/>
  <c r="C6479" i="1"/>
  <c r="C6478" i="1"/>
  <c r="C6477" i="1"/>
  <c r="C6476" i="1"/>
  <c r="C6475" i="1"/>
  <c r="C6474" i="1"/>
  <c r="C6473" i="1"/>
  <c r="C6472" i="1"/>
  <c r="C6471" i="1"/>
  <c r="C6470" i="1"/>
  <c r="C6469" i="1"/>
  <c r="C6468" i="1"/>
  <c r="C6467" i="1"/>
  <c r="C6466" i="1"/>
  <c r="C6465" i="1"/>
  <c r="C6464" i="1"/>
  <c r="C6463" i="1"/>
  <c r="C6462" i="1"/>
  <c r="C6461" i="1"/>
  <c r="C6460" i="1"/>
  <c r="C6459" i="1"/>
  <c r="C6458" i="1"/>
  <c r="C6457" i="1"/>
  <c r="C6456" i="1"/>
  <c r="C6455" i="1"/>
  <c r="C6454" i="1"/>
  <c r="C6453" i="1"/>
  <c r="C6452" i="1"/>
  <c r="C6451" i="1"/>
  <c r="C6450" i="1"/>
  <c r="C6449" i="1"/>
  <c r="C6448" i="1"/>
  <c r="C6447" i="1"/>
  <c r="C6446" i="1"/>
  <c r="C6445" i="1"/>
  <c r="C6444" i="1"/>
  <c r="C6443" i="1"/>
  <c r="C6442" i="1"/>
  <c r="C6441" i="1"/>
  <c r="C6440" i="1"/>
  <c r="C6439" i="1"/>
  <c r="C6438" i="1"/>
  <c r="C6437" i="1"/>
  <c r="C6436" i="1"/>
  <c r="C6435" i="1"/>
  <c r="C6434" i="1"/>
  <c r="C6433" i="1"/>
  <c r="C6432" i="1"/>
  <c r="C6431" i="1"/>
  <c r="C6430" i="1"/>
  <c r="C6429" i="1"/>
  <c r="C6428" i="1"/>
  <c r="C6427" i="1"/>
  <c r="C6426" i="1"/>
  <c r="C6425" i="1"/>
  <c r="C6424" i="1"/>
  <c r="C6423" i="1"/>
  <c r="C6422" i="1"/>
  <c r="C6421" i="1"/>
  <c r="C6420" i="1"/>
  <c r="C6419" i="1"/>
  <c r="C6418" i="1"/>
  <c r="C6417" i="1"/>
  <c r="C6416" i="1"/>
  <c r="C6415" i="1"/>
  <c r="C6414" i="1"/>
  <c r="C6413" i="1"/>
  <c r="C6412" i="1"/>
  <c r="C6411" i="1"/>
  <c r="C6410" i="1"/>
  <c r="C6409" i="1"/>
  <c r="C6408" i="1"/>
  <c r="C6407" i="1"/>
  <c r="C6406" i="1"/>
  <c r="C6405" i="1"/>
  <c r="C6404" i="1"/>
  <c r="C6403" i="1"/>
  <c r="C6402" i="1"/>
  <c r="C6401" i="1"/>
  <c r="C6400" i="1"/>
  <c r="C6399" i="1"/>
  <c r="C6398" i="1"/>
  <c r="C6397" i="1"/>
  <c r="C6396" i="1"/>
  <c r="C6395" i="1"/>
  <c r="C6394" i="1"/>
  <c r="C6393" i="1"/>
  <c r="C6392" i="1"/>
  <c r="C6391" i="1"/>
  <c r="C6390" i="1"/>
  <c r="C6389" i="1"/>
  <c r="C6388" i="1"/>
  <c r="C6387" i="1"/>
  <c r="C6386" i="1"/>
  <c r="C6385" i="1"/>
  <c r="C6384" i="1"/>
  <c r="C6383" i="1"/>
  <c r="C6382" i="1"/>
  <c r="C6381" i="1"/>
  <c r="C6380" i="1"/>
  <c r="C6379" i="1"/>
  <c r="C6378" i="1"/>
  <c r="C6377" i="1"/>
  <c r="C6376" i="1"/>
  <c r="C6375" i="1"/>
  <c r="C6374" i="1"/>
  <c r="C6373" i="1"/>
  <c r="C6372" i="1"/>
  <c r="C6371" i="1"/>
  <c r="C6370" i="1"/>
  <c r="C6369" i="1"/>
  <c r="C6368" i="1"/>
  <c r="C6367" i="1"/>
  <c r="C6366" i="1"/>
  <c r="C6365" i="1"/>
  <c r="C6364" i="1"/>
  <c r="C6363" i="1"/>
  <c r="C6362" i="1"/>
  <c r="C6361" i="1"/>
  <c r="C6360" i="1"/>
  <c r="C6359" i="1"/>
  <c r="C6358" i="1"/>
  <c r="C6357" i="1"/>
  <c r="C6356" i="1"/>
  <c r="C6355" i="1"/>
  <c r="C6354" i="1"/>
  <c r="C6353" i="1"/>
  <c r="C6352" i="1"/>
  <c r="C6351" i="1"/>
  <c r="C6350" i="1"/>
  <c r="C6349" i="1"/>
  <c r="C6348" i="1"/>
  <c r="C6347" i="1"/>
  <c r="C6346" i="1"/>
  <c r="C6345" i="1"/>
  <c r="C6344" i="1"/>
  <c r="C6343" i="1"/>
  <c r="C6342" i="1"/>
  <c r="C6341" i="1"/>
  <c r="C6340" i="1"/>
  <c r="C6339" i="1"/>
  <c r="C6338" i="1"/>
  <c r="C6337" i="1"/>
  <c r="C6336" i="1"/>
  <c r="C6335" i="1"/>
  <c r="C6334" i="1"/>
  <c r="C6333" i="1"/>
  <c r="C6332" i="1"/>
  <c r="C6331" i="1"/>
  <c r="C6330" i="1"/>
  <c r="C6329" i="1"/>
  <c r="C6328" i="1"/>
  <c r="C6327" i="1"/>
  <c r="C6326" i="1"/>
  <c r="C6325" i="1"/>
  <c r="C6324" i="1"/>
  <c r="C6323" i="1"/>
  <c r="C6322" i="1"/>
  <c r="C6321" i="1"/>
  <c r="C6320" i="1"/>
  <c r="C6319" i="1"/>
  <c r="C6318" i="1"/>
  <c r="C6317" i="1"/>
  <c r="C6316" i="1"/>
  <c r="C6315" i="1"/>
  <c r="C6314" i="1"/>
  <c r="C6313" i="1"/>
  <c r="C6312" i="1"/>
  <c r="C6311" i="1"/>
  <c r="C6310" i="1"/>
  <c r="C6309" i="1"/>
  <c r="C6308" i="1"/>
  <c r="C6307" i="1"/>
  <c r="C6306" i="1"/>
  <c r="C6305" i="1"/>
  <c r="C6304" i="1"/>
  <c r="C6303" i="1"/>
  <c r="C6302" i="1"/>
  <c r="C6301" i="1"/>
  <c r="C6300" i="1"/>
  <c r="C6299" i="1"/>
  <c r="C6298" i="1"/>
  <c r="C6297" i="1"/>
  <c r="C6296" i="1"/>
  <c r="C6295" i="1"/>
  <c r="C6294" i="1"/>
  <c r="C6293" i="1"/>
  <c r="C6292" i="1"/>
  <c r="C6291" i="1"/>
  <c r="C6290" i="1"/>
  <c r="C6289" i="1"/>
  <c r="C6288" i="1"/>
  <c r="C6287" i="1"/>
  <c r="C6286" i="1"/>
  <c r="C6285" i="1"/>
  <c r="C6284" i="1"/>
  <c r="C6283" i="1"/>
  <c r="C6282" i="1"/>
  <c r="C6281" i="1"/>
  <c r="C6280" i="1"/>
  <c r="C6279" i="1"/>
  <c r="C6278" i="1"/>
  <c r="C6277" i="1"/>
  <c r="C6276" i="1"/>
  <c r="C6275" i="1"/>
  <c r="C6274" i="1"/>
  <c r="C6273" i="1"/>
  <c r="C6272" i="1"/>
  <c r="C6271" i="1"/>
  <c r="C6270" i="1"/>
  <c r="C6269" i="1"/>
  <c r="C6268" i="1"/>
  <c r="C6267" i="1"/>
  <c r="C6266" i="1"/>
  <c r="C6265" i="1"/>
  <c r="C6264" i="1"/>
  <c r="C6263" i="1"/>
  <c r="C6262" i="1"/>
  <c r="C6261" i="1"/>
  <c r="C6260" i="1"/>
  <c r="C6259" i="1"/>
  <c r="C6258" i="1"/>
  <c r="C6257" i="1"/>
  <c r="C6256" i="1"/>
  <c r="C6255" i="1"/>
  <c r="C6254" i="1"/>
  <c r="C6253" i="1"/>
  <c r="C6252" i="1"/>
  <c r="C6251" i="1"/>
  <c r="C6250" i="1"/>
  <c r="C6249" i="1"/>
  <c r="C6248" i="1"/>
  <c r="C6247" i="1"/>
  <c r="C6246" i="1"/>
  <c r="C6245" i="1"/>
  <c r="C6244" i="1"/>
  <c r="C6243" i="1"/>
  <c r="C6242" i="1"/>
  <c r="C6241" i="1"/>
  <c r="C6240" i="1"/>
  <c r="C6239" i="1"/>
  <c r="C6238" i="1"/>
  <c r="C6237" i="1"/>
  <c r="C6236" i="1"/>
  <c r="C6235" i="1"/>
  <c r="C6234" i="1"/>
  <c r="C6233" i="1"/>
  <c r="C6232" i="1"/>
  <c r="C6231" i="1"/>
  <c r="C6230" i="1"/>
  <c r="C6229" i="1"/>
  <c r="C6228" i="1"/>
  <c r="C6227" i="1"/>
  <c r="C6226" i="1"/>
  <c r="C6225" i="1"/>
  <c r="C6224" i="1"/>
  <c r="C6223" i="1"/>
  <c r="C6222" i="1"/>
  <c r="C6221" i="1"/>
  <c r="C6220" i="1"/>
  <c r="C6219" i="1"/>
  <c r="C6218" i="1"/>
  <c r="C6217" i="1"/>
  <c r="C6216" i="1"/>
  <c r="C6215" i="1"/>
  <c r="C6214" i="1"/>
  <c r="C6213" i="1"/>
  <c r="C6212" i="1"/>
  <c r="C6211" i="1"/>
  <c r="C6210" i="1"/>
  <c r="C6209" i="1"/>
  <c r="C6208" i="1"/>
  <c r="C6207" i="1"/>
  <c r="C6206" i="1"/>
  <c r="C6205" i="1"/>
  <c r="C6204" i="1"/>
  <c r="C6203" i="1"/>
  <c r="C6202" i="1"/>
  <c r="C6201" i="1"/>
  <c r="C6200" i="1"/>
  <c r="C6199" i="1"/>
  <c r="C6198" i="1"/>
  <c r="C6197" i="1"/>
  <c r="C6196" i="1"/>
  <c r="C6195" i="1"/>
  <c r="C6194" i="1"/>
  <c r="C6193" i="1"/>
  <c r="C6192" i="1"/>
  <c r="C6191" i="1"/>
  <c r="C6190" i="1"/>
  <c r="C6189" i="1"/>
  <c r="C6188" i="1"/>
  <c r="C6187" i="1"/>
  <c r="C6186" i="1"/>
  <c r="C6185" i="1"/>
  <c r="C6184" i="1"/>
  <c r="C6183" i="1"/>
  <c r="C6182" i="1"/>
  <c r="C6181" i="1"/>
  <c r="C6180" i="1"/>
  <c r="C6179" i="1"/>
  <c r="C6178" i="1"/>
  <c r="C6177" i="1"/>
  <c r="C6176" i="1"/>
  <c r="C6175" i="1"/>
  <c r="C6174" i="1"/>
  <c r="C6173" i="1"/>
  <c r="C6172" i="1"/>
  <c r="C6171" i="1"/>
  <c r="C6170" i="1"/>
  <c r="C6169" i="1"/>
  <c r="C6168" i="1"/>
  <c r="C6167" i="1"/>
  <c r="C6166" i="1"/>
  <c r="C6165" i="1"/>
  <c r="C6164" i="1"/>
  <c r="C6163" i="1"/>
  <c r="C6162" i="1"/>
  <c r="C6161" i="1"/>
  <c r="C6160" i="1"/>
  <c r="C6159" i="1"/>
  <c r="C6158" i="1"/>
  <c r="C6157" i="1"/>
  <c r="C6156" i="1"/>
  <c r="C6155" i="1"/>
  <c r="C6154" i="1"/>
  <c r="C6153" i="1"/>
  <c r="C6152" i="1"/>
  <c r="C6151" i="1"/>
  <c r="C6150" i="1"/>
  <c r="C6149" i="1"/>
  <c r="C6148" i="1"/>
  <c r="C6147" i="1"/>
  <c r="C6146" i="1"/>
  <c r="C6145" i="1"/>
  <c r="C6144" i="1"/>
  <c r="C6143" i="1"/>
  <c r="C6142" i="1"/>
  <c r="C6141" i="1"/>
  <c r="C6140" i="1"/>
  <c r="C6139" i="1"/>
  <c r="C6138" i="1"/>
  <c r="C6137" i="1"/>
  <c r="C6136" i="1"/>
  <c r="C6135" i="1"/>
  <c r="C6134" i="1"/>
  <c r="C6133" i="1"/>
  <c r="C6132" i="1"/>
  <c r="C6131" i="1"/>
  <c r="C6130" i="1"/>
  <c r="C6129" i="1"/>
  <c r="C6128" i="1"/>
  <c r="C6127" i="1"/>
  <c r="C6126" i="1"/>
  <c r="C6125" i="1"/>
  <c r="C6124" i="1"/>
  <c r="C6123" i="1"/>
  <c r="C6122" i="1"/>
  <c r="C6121" i="1"/>
  <c r="C6120" i="1"/>
  <c r="C6119" i="1"/>
  <c r="C6118" i="1"/>
  <c r="C6117" i="1"/>
  <c r="C6116" i="1"/>
  <c r="C6115" i="1"/>
  <c r="C6114" i="1"/>
  <c r="C6113" i="1"/>
  <c r="C6112" i="1"/>
  <c r="C6111" i="1"/>
  <c r="C6110" i="1"/>
  <c r="C6109" i="1"/>
  <c r="C6108" i="1"/>
  <c r="C6107" i="1"/>
  <c r="C6106" i="1"/>
  <c r="C6105" i="1"/>
  <c r="C6104" i="1"/>
  <c r="C6103" i="1"/>
  <c r="C6102" i="1"/>
  <c r="C6101" i="1"/>
  <c r="C6100" i="1"/>
  <c r="C6099" i="1"/>
  <c r="C6098" i="1"/>
  <c r="C6097" i="1"/>
  <c r="C6096" i="1"/>
  <c r="C6095" i="1"/>
  <c r="C6094" i="1"/>
  <c r="C6093" i="1"/>
  <c r="C6092" i="1"/>
  <c r="C6091" i="1"/>
  <c r="C6090" i="1"/>
  <c r="C6089" i="1"/>
  <c r="C6088" i="1"/>
  <c r="C6087" i="1"/>
  <c r="C6086" i="1"/>
  <c r="C6085" i="1"/>
  <c r="C6084" i="1"/>
  <c r="C6083" i="1"/>
  <c r="C6082" i="1"/>
  <c r="C6081" i="1"/>
  <c r="C6080" i="1"/>
  <c r="C6079" i="1"/>
  <c r="C6078" i="1"/>
  <c r="C6077" i="1"/>
  <c r="C6076" i="1"/>
  <c r="C6075" i="1"/>
  <c r="C6074" i="1"/>
  <c r="C6073" i="1"/>
  <c r="C6072" i="1"/>
  <c r="C6071" i="1"/>
  <c r="C6070" i="1"/>
  <c r="C6069" i="1"/>
  <c r="C6068" i="1"/>
  <c r="C6067" i="1"/>
  <c r="C6066" i="1"/>
  <c r="C6065" i="1"/>
  <c r="C6064" i="1"/>
  <c r="C6063" i="1"/>
  <c r="C6062" i="1"/>
  <c r="C6061" i="1"/>
  <c r="C6060" i="1"/>
  <c r="C6059" i="1"/>
  <c r="C6058" i="1"/>
  <c r="C6057" i="1"/>
  <c r="C6056" i="1"/>
  <c r="C6055" i="1"/>
  <c r="C6054" i="1"/>
  <c r="C6053" i="1"/>
  <c r="C6052" i="1"/>
  <c r="C6051" i="1"/>
  <c r="C6050" i="1"/>
  <c r="C6049" i="1"/>
  <c r="C6048" i="1"/>
  <c r="C6047" i="1"/>
  <c r="C6046" i="1"/>
  <c r="C6045" i="1"/>
  <c r="C6044" i="1"/>
  <c r="C6043" i="1"/>
  <c r="C6042" i="1"/>
  <c r="C6041" i="1"/>
  <c r="C6040" i="1"/>
  <c r="C6039" i="1"/>
  <c r="C6038" i="1"/>
  <c r="C6037" i="1"/>
  <c r="C6036" i="1"/>
  <c r="C6035" i="1"/>
  <c r="C6034" i="1"/>
  <c r="C6033" i="1"/>
  <c r="C6032" i="1"/>
  <c r="C6031" i="1"/>
  <c r="C6030" i="1"/>
  <c r="C6029" i="1"/>
  <c r="C6028" i="1"/>
  <c r="C6027" i="1"/>
  <c r="C6026" i="1"/>
  <c r="C6025" i="1"/>
  <c r="C6024" i="1"/>
  <c r="C6023" i="1"/>
  <c r="C6022" i="1"/>
  <c r="C6021" i="1"/>
  <c r="C6020" i="1"/>
  <c r="C6019" i="1"/>
  <c r="C6018" i="1"/>
  <c r="C6017" i="1"/>
  <c r="C6016" i="1"/>
  <c r="C6015" i="1"/>
  <c r="C6014" i="1"/>
  <c r="C6013" i="1"/>
  <c r="C6012" i="1"/>
  <c r="C6011" i="1"/>
  <c r="C6010" i="1"/>
  <c r="C6009" i="1"/>
  <c r="C6008" i="1"/>
  <c r="C6007" i="1"/>
  <c r="C6006" i="1"/>
  <c r="C6005" i="1"/>
  <c r="C6004" i="1"/>
  <c r="C6003" i="1"/>
  <c r="C6002" i="1"/>
  <c r="C6001" i="1"/>
  <c r="C6000" i="1"/>
  <c r="C5999" i="1"/>
  <c r="C5998" i="1"/>
  <c r="C5997" i="1"/>
  <c r="C5996" i="1"/>
  <c r="C5995" i="1"/>
  <c r="C5994" i="1"/>
  <c r="C5993" i="1"/>
  <c r="C5992" i="1"/>
  <c r="C5991" i="1"/>
  <c r="C5990" i="1"/>
  <c r="C5989" i="1"/>
  <c r="C5988" i="1"/>
  <c r="C5987" i="1"/>
  <c r="C5986" i="1"/>
  <c r="C5985" i="1"/>
  <c r="C5984" i="1"/>
  <c r="C5983" i="1"/>
  <c r="C5982" i="1"/>
  <c r="C5981" i="1"/>
  <c r="C5980" i="1"/>
  <c r="C5979" i="1"/>
  <c r="C5978" i="1"/>
  <c r="C5977" i="1"/>
  <c r="C5976" i="1"/>
  <c r="C5975" i="1"/>
  <c r="C5974" i="1"/>
  <c r="C5973" i="1"/>
  <c r="C5972" i="1"/>
  <c r="C5971" i="1"/>
  <c r="C5970" i="1"/>
  <c r="C5969" i="1"/>
  <c r="C5968" i="1"/>
  <c r="C5967" i="1"/>
  <c r="C5966" i="1"/>
  <c r="C5965" i="1"/>
  <c r="C5964" i="1"/>
  <c r="C5963" i="1"/>
  <c r="C5962" i="1"/>
  <c r="C5961" i="1"/>
  <c r="C5960" i="1"/>
  <c r="C5959" i="1"/>
  <c r="C5958" i="1"/>
  <c r="C5957" i="1"/>
  <c r="C5956" i="1"/>
  <c r="C5955" i="1"/>
  <c r="C5954" i="1"/>
  <c r="C5953" i="1"/>
  <c r="C5952" i="1"/>
  <c r="C5951" i="1"/>
  <c r="C5950" i="1"/>
  <c r="C5949" i="1"/>
  <c r="C5948" i="1"/>
  <c r="C5947" i="1"/>
  <c r="C5946" i="1"/>
  <c r="C5945" i="1"/>
  <c r="C5944" i="1"/>
  <c r="C5943" i="1"/>
  <c r="C5942" i="1"/>
  <c r="C5941" i="1"/>
  <c r="C5940" i="1"/>
  <c r="C5939" i="1"/>
  <c r="C5938" i="1"/>
  <c r="C5937" i="1"/>
  <c r="C5936" i="1"/>
  <c r="C5935" i="1"/>
  <c r="C5934" i="1"/>
  <c r="C5933" i="1"/>
  <c r="C5932" i="1"/>
  <c r="C5931" i="1"/>
  <c r="C5930" i="1"/>
  <c r="C5929" i="1"/>
  <c r="C5928" i="1"/>
  <c r="C5927" i="1"/>
  <c r="C5926" i="1"/>
  <c r="C5925" i="1"/>
  <c r="C5924" i="1"/>
  <c r="C5923" i="1"/>
  <c r="C5922" i="1"/>
  <c r="C5921" i="1"/>
  <c r="C5920" i="1"/>
  <c r="C5919" i="1"/>
  <c r="C5918" i="1"/>
  <c r="C5917" i="1"/>
  <c r="C5916" i="1"/>
  <c r="C5915" i="1"/>
  <c r="C5914" i="1"/>
  <c r="C5913" i="1"/>
  <c r="C5912" i="1"/>
  <c r="C5911" i="1"/>
  <c r="C5910" i="1"/>
  <c r="C5909" i="1"/>
  <c r="C5908" i="1"/>
  <c r="C5907" i="1"/>
  <c r="C5906" i="1"/>
  <c r="C5905" i="1"/>
  <c r="C5904" i="1"/>
  <c r="C5903" i="1"/>
  <c r="C5902" i="1"/>
  <c r="C5901" i="1"/>
  <c r="C5900" i="1"/>
  <c r="C5899" i="1"/>
  <c r="C5898" i="1"/>
  <c r="C5897" i="1"/>
  <c r="C5896" i="1"/>
  <c r="C5895" i="1"/>
  <c r="C5894" i="1"/>
  <c r="C5893" i="1"/>
  <c r="C5892" i="1"/>
  <c r="C5891" i="1"/>
  <c r="C5890" i="1"/>
  <c r="C5889" i="1"/>
  <c r="C5888" i="1"/>
  <c r="C5887" i="1"/>
  <c r="C5886" i="1"/>
  <c r="C5885" i="1"/>
  <c r="C5884" i="1"/>
  <c r="C5883" i="1"/>
  <c r="C5882" i="1"/>
  <c r="C5881" i="1"/>
  <c r="C5880" i="1"/>
  <c r="C5879" i="1"/>
  <c r="C5878" i="1"/>
  <c r="C5877" i="1"/>
  <c r="C5876" i="1"/>
  <c r="C5875" i="1"/>
  <c r="C5874" i="1"/>
  <c r="C5873" i="1"/>
  <c r="C5872" i="1"/>
  <c r="C5871" i="1"/>
  <c r="C5870" i="1"/>
  <c r="C5869" i="1"/>
  <c r="C5868" i="1"/>
  <c r="C5867" i="1"/>
  <c r="C5866" i="1"/>
  <c r="C5865" i="1"/>
  <c r="C5864" i="1"/>
  <c r="C5863" i="1"/>
  <c r="C5862" i="1"/>
  <c r="C5861" i="1"/>
  <c r="C5860" i="1"/>
  <c r="C5859" i="1"/>
  <c r="C5858" i="1"/>
  <c r="C5857" i="1"/>
  <c r="C5856" i="1"/>
  <c r="C5855" i="1"/>
  <c r="C5854" i="1"/>
  <c r="C5853" i="1"/>
  <c r="C5852" i="1"/>
  <c r="C5851" i="1"/>
  <c r="C5850" i="1"/>
  <c r="C5849" i="1"/>
  <c r="C5848" i="1"/>
  <c r="C5847" i="1"/>
  <c r="C5846" i="1"/>
  <c r="C5845" i="1"/>
  <c r="C5844" i="1"/>
  <c r="C5843" i="1"/>
  <c r="C5842" i="1"/>
  <c r="C5841" i="1"/>
  <c r="C5840" i="1"/>
  <c r="C5839" i="1"/>
  <c r="C5838" i="1"/>
  <c r="C5837" i="1"/>
  <c r="C5836" i="1"/>
  <c r="C5835" i="1"/>
  <c r="C5834" i="1"/>
  <c r="C5833" i="1"/>
  <c r="C5832" i="1"/>
  <c r="C5831" i="1"/>
  <c r="C5830" i="1"/>
  <c r="C5829" i="1"/>
  <c r="C5828" i="1"/>
  <c r="C5827" i="1"/>
  <c r="C5826" i="1"/>
  <c r="C5825" i="1"/>
  <c r="C5824" i="1"/>
  <c r="C5823" i="1"/>
  <c r="C5822" i="1"/>
  <c r="C5821" i="1"/>
  <c r="C5820" i="1"/>
  <c r="C5819" i="1"/>
  <c r="C5818" i="1"/>
  <c r="C5817" i="1"/>
  <c r="C5816" i="1"/>
  <c r="C5815" i="1"/>
  <c r="C5814" i="1"/>
  <c r="C5813" i="1"/>
  <c r="C5812" i="1"/>
  <c r="C5811" i="1"/>
  <c r="C5810" i="1"/>
  <c r="C5809" i="1"/>
  <c r="C5808" i="1"/>
  <c r="C5807" i="1"/>
  <c r="C5806" i="1"/>
  <c r="C5805" i="1"/>
  <c r="C5804" i="1"/>
  <c r="C5803" i="1"/>
  <c r="C5802" i="1"/>
  <c r="C5801" i="1"/>
  <c r="C5800" i="1"/>
  <c r="C5799" i="1"/>
  <c r="C5798" i="1"/>
  <c r="C5797" i="1"/>
  <c r="C5796" i="1"/>
  <c r="C5795" i="1"/>
  <c r="C5794" i="1"/>
  <c r="C5793" i="1"/>
  <c r="C5792" i="1"/>
  <c r="C5791" i="1"/>
  <c r="C5790" i="1"/>
  <c r="C5789" i="1"/>
  <c r="C5788" i="1"/>
  <c r="C5787" i="1"/>
  <c r="C5786" i="1"/>
  <c r="C5785" i="1"/>
  <c r="C5784" i="1"/>
  <c r="C5783" i="1"/>
  <c r="C5782" i="1"/>
  <c r="C5781" i="1"/>
  <c r="C5780" i="1"/>
  <c r="C5779" i="1"/>
  <c r="C5778" i="1"/>
  <c r="C5777" i="1"/>
  <c r="C5776" i="1"/>
  <c r="C5775" i="1"/>
  <c r="C5774" i="1"/>
  <c r="C5773" i="1"/>
  <c r="C5772" i="1"/>
  <c r="C5771" i="1"/>
  <c r="C5770" i="1"/>
  <c r="C5769" i="1"/>
  <c r="C5768" i="1"/>
  <c r="C5767" i="1"/>
  <c r="C5766" i="1"/>
  <c r="C5765" i="1"/>
  <c r="C5764" i="1"/>
  <c r="C5763" i="1"/>
  <c r="C5762" i="1"/>
  <c r="C5761" i="1"/>
  <c r="C5760" i="1"/>
  <c r="C5759" i="1"/>
  <c r="C5758" i="1"/>
  <c r="C5757" i="1"/>
  <c r="C5756" i="1"/>
  <c r="C5755" i="1"/>
  <c r="C5754" i="1"/>
  <c r="C5753" i="1"/>
  <c r="C5752" i="1"/>
  <c r="C5751" i="1"/>
  <c r="C5750" i="1"/>
  <c r="C5749" i="1"/>
  <c r="C5748" i="1"/>
  <c r="C5747" i="1"/>
  <c r="C5746" i="1"/>
  <c r="C5745" i="1"/>
  <c r="C5744" i="1"/>
  <c r="C5743" i="1"/>
  <c r="C5742" i="1"/>
  <c r="C5741" i="1"/>
  <c r="C5740" i="1"/>
  <c r="C5739" i="1"/>
  <c r="C5738" i="1"/>
  <c r="C5737" i="1"/>
  <c r="C5736" i="1"/>
  <c r="C5735" i="1"/>
  <c r="C5734" i="1"/>
  <c r="C5733" i="1"/>
  <c r="C5732" i="1"/>
  <c r="C5731" i="1"/>
  <c r="C5730" i="1"/>
  <c r="C5729" i="1"/>
  <c r="C5728" i="1"/>
  <c r="C5727" i="1"/>
  <c r="C5726" i="1"/>
  <c r="C5725" i="1"/>
  <c r="C5724" i="1"/>
  <c r="C5723" i="1"/>
  <c r="C5722" i="1"/>
  <c r="C5721" i="1"/>
  <c r="C5720" i="1"/>
  <c r="C5719" i="1"/>
  <c r="C5718" i="1"/>
  <c r="C5717" i="1"/>
  <c r="C5716" i="1"/>
  <c r="C5715" i="1"/>
  <c r="C5714" i="1"/>
  <c r="C5713" i="1"/>
  <c r="C5712" i="1"/>
  <c r="C5711" i="1"/>
  <c r="C5710" i="1"/>
  <c r="C5709" i="1"/>
  <c r="C5708" i="1"/>
  <c r="C5707" i="1"/>
  <c r="C5706" i="1"/>
  <c r="C5705" i="1"/>
  <c r="C5704" i="1"/>
  <c r="C5703" i="1"/>
  <c r="C5702" i="1"/>
  <c r="C5701" i="1"/>
  <c r="C5700" i="1"/>
  <c r="C5699" i="1"/>
  <c r="C5698" i="1"/>
  <c r="C5697" i="1"/>
  <c r="C5696" i="1"/>
  <c r="C5695" i="1"/>
  <c r="C5694" i="1"/>
  <c r="C5693" i="1"/>
  <c r="C5692" i="1"/>
  <c r="C5691" i="1"/>
  <c r="C5690" i="1"/>
  <c r="C5689" i="1"/>
  <c r="C5688" i="1"/>
  <c r="C5687" i="1"/>
  <c r="C5686" i="1"/>
  <c r="C5685" i="1"/>
  <c r="C5684" i="1"/>
  <c r="C5683" i="1"/>
  <c r="C5682" i="1"/>
  <c r="C5681" i="1"/>
  <c r="C5680" i="1"/>
  <c r="C5679" i="1"/>
  <c r="C5678" i="1"/>
  <c r="C5677" i="1"/>
  <c r="C5676" i="1"/>
  <c r="C5675" i="1"/>
  <c r="C5674" i="1"/>
  <c r="C5673" i="1"/>
  <c r="C5672" i="1"/>
  <c r="C5671" i="1"/>
  <c r="C5670" i="1"/>
  <c r="C5669" i="1"/>
  <c r="C5668" i="1"/>
  <c r="C5667" i="1"/>
  <c r="C5666" i="1"/>
  <c r="C5665" i="1"/>
  <c r="C5664" i="1"/>
  <c r="C5663" i="1"/>
  <c r="C5662" i="1"/>
  <c r="C5661" i="1"/>
  <c r="C5660" i="1"/>
  <c r="C5659" i="1"/>
  <c r="C5658" i="1"/>
  <c r="C5657" i="1"/>
  <c r="C5656" i="1"/>
  <c r="C5655" i="1"/>
  <c r="C5654" i="1"/>
  <c r="C5653" i="1"/>
  <c r="C5652" i="1"/>
  <c r="C5651" i="1"/>
  <c r="C5650" i="1"/>
  <c r="C5649" i="1"/>
  <c r="C5648" i="1"/>
  <c r="C5647" i="1"/>
  <c r="C5646" i="1"/>
  <c r="C5645" i="1"/>
  <c r="C5644" i="1"/>
  <c r="C5643" i="1"/>
  <c r="C5642" i="1"/>
  <c r="C5641" i="1"/>
  <c r="C5640" i="1"/>
  <c r="C5639" i="1"/>
  <c r="C5638" i="1"/>
  <c r="C5637" i="1"/>
  <c r="C5636" i="1"/>
  <c r="C5635" i="1"/>
  <c r="C5634" i="1"/>
  <c r="C5633" i="1"/>
  <c r="C5632" i="1"/>
  <c r="C5631" i="1"/>
  <c r="C5630" i="1"/>
  <c r="C5629" i="1"/>
  <c r="C5628" i="1"/>
  <c r="C5627" i="1"/>
  <c r="C5626" i="1"/>
  <c r="C5625" i="1"/>
  <c r="C5624" i="1"/>
  <c r="C5623" i="1"/>
  <c r="C5622" i="1"/>
  <c r="C5621" i="1"/>
  <c r="C5620" i="1"/>
  <c r="C5619" i="1"/>
  <c r="C5618" i="1"/>
  <c r="C5617" i="1"/>
  <c r="C5616" i="1"/>
  <c r="C5615" i="1"/>
  <c r="C5614" i="1"/>
  <c r="C5613" i="1"/>
  <c r="C5612" i="1"/>
  <c r="C5611" i="1"/>
  <c r="C5610" i="1"/>
  <c r="C5609" i="1"/>
  <c r="C5608" i="1"/>
  <c r="C5607" i="1"/>
  <c r="C5606" i="1"/>
  <c r="C5605" i="1"/>
  <c r="C5604" i="1"/>
  <c r="C5603" i="1"/>
  <c r="C5602" i="1"/>
  <c r="C5601" i="1"/>
  <c r="C5600" i="1"/>
  <c r="C5599" i="1"/>
  <c r="C5598" i="1"/>
  <c r="C5597" i="1"/>
  <c r="C5596" i="1"/>
  <c r="C5595" i="1"/>
  <c r="C5594" i="1"/>
  <c r="C5593" i="1"/>
  <c r="C5592" i="1"/>
  <c r="C5591" i="1"/>
  <c r="C5590" i="1"/>
  <c r="C5589" i="1"/>
  <c r="C5588" i="1"/>
  <c r="C5587" i="1"/>
  <c r="C5586" i="1"/>
  <c r="C5585" i="1"/>
  <c r="C5584" i="1"/>
  <c r="C5583" i="1"/>
  <c r="C5582" i="1"/>
  <c r="C5581" i="1"/>
  <c r="C5580" i="1"/>
  <c r="C5579" i="1"/>
  <c r="C5578" i="1"/>
  <c r="C5577" i="1"/>
  <c r="C5576" i="1"/>
  <c r="C5575" i="1"/>
  <c r="C5574" i="1"/>
  <c r="C5573" i="1"/>
  <c r="C5572" i="1"/>
  <c r="C5571" i="1"/>
  <c r="C5570" i="1"/>
  <c r="C5569" i="1"/>
  <c r="C5568" i="1"/>
  <c r="C5567" i="1"/>
  <c r="C5566" i="1"/>
  <c r="C5565" i="1"/>
  <c r="C5564" i="1"/>
  <c r="C5563" i="1"/>
  <c r="C5562" i="1"/>
  <c r="C5561" i="1"/>
  <c r="C5560" i="1"/>
  <c r="C5559" i="1"/>
  <c r="C5558" i="1"/>
  <c r="C5557" i="1"/>
  <c r="C5556" i="1"/>
  <c r="C5555" i="1"/>
  <c r="C5554" i="1"/>
  <c r="C5553" i="1"/>
  <c r="C5552" i="1"/>
  <c r="C5551" i="1"/>
  <c r="C5550" i="1"/>
  <c r="C5549" i="1"/>
  <c r="C5548" i="1"/>
  <c r="C5547" i="1"/>
  <c r="C5546" i="1"/>
  <c r="C5545" i="1"/>
  <c r="C5544" i="1"/>
  <c r="C5543" i="1"/>
  <c r="C5542" i="1"/>
  <c r="C5541" i="1"/>
  <c r="C5540" i="1"/>
  <c r="C5539" i="1"/>
  <c r="C5538" i="1"/>
  <c r="C5537" i="1"/>
  <c r="C5536" i="1"/>
  <c r="C5535" i="1"/>
  <c r="C5534" i="1"/>
  <c r="C5533" i="1"/>
  <c r="C5532" i="1"/>
  <c r="C5531" i="1"/>
  <c r="C5530" i="1"/>
  <c r="C5529" i="1"/>
  <c r="C5528" i="1"/>
  <c r="C5527" i="1"/>
  <c r="C5526" i="1"/>
  <c r="C5525" i="1"/>
  <c r="C5524" i="1"/>
  <c r="C5523" i="1"/>
  <c r="C5522" i="1"/>
  <c r="C5521" i="1"/>
  <c r="C5520" i="1"/>
  <c r="C5519" i="1"/>
  <c r="C5518" i="1"/>
  <c r="C5517" i="1"/>
  <c r="C5516" i="1"/>
  <c r="C5515" i="1"/>
  <c r="C5514" i="1"/>
  <c r="C5513" i="1"/>
  <c r="C5512" i="1"/>
  <c r="C5511" i="1"/>
  <c r="C5510" i="1"/>
  <c r="C5509" i="1"/>
  <c r="C5508" i="1"/>
  <c r="C5507" i="1"/>
  <c r="C5506" i="1"/>
  <c r="C5505" i="1"/>
  <c r="C5504" i="1"/>
  <c r="C5503" i="1"/>
  <c r="C5502" i="1"/>
  <c r="C5501" i="1"/>
  <c r="C5500" i="1"/>
  <c r="C5499" i="1"/>
  <c r="C5498" i="1"/>
  <c r="C5497" i="1"/>
  <c r="C5496" i="1"/>
  <c r="C5495" i="1"/>
  <c r="C5494" i="1"/>
  <c r="C5493" i="1"/>
  <c r="C5492" i="1"/>
  <c r="C5491" i="1"/>
  <c r="C5490" i="1"/>
  <c r="C5489" i="1"/>
  <c r="C5488" i="1"/>
  <c r="C5487" i="1"/>
  <c r="C5486" i="1"/>
  <c r="C5485" i="1"/>
  <c r="C5484" i="1"/>
  <c r="C5483" i="1"/>
  <c r="C5482" i="1"/>
  <c r="C5481" i="1"/>
  <c r="C5480" i="1"/>
  <c r="C5479" i="1"/>
  <c r="C5478" i="1"/>
  <c r="C5477" i="1"/>
  <c r="C5476" i="1"/>
  <c r="C5475" i="1"/>
  <c r="C5474" i="1"/>
  <c r="C5473" i="1"/>
  <c r="C5472" i="1"/>
  <c r="C5471" i="1"/>
  <c r="C5470" i="1"/>
  <c r="C5469" i="1"/>
  <c r="C5468" i="1"/>
  <c r="C5467" i="1"/>
  <c r="C5466" i="1"/>
  <c r="C5465" i="1"/>
  <c r="C5464" i="1"/>
  <c r="C5463" i="1"/>
  <c r="C5462" i="1"/>
  <c r="C5461" i="1"/>
  <c r="C5460" i="1"/>
  <c r="C5459" i="1"/>
  <c r="C5458" i="1"/>
  <c r="C5457" i="1"/>
  <c r="C5456" i="1"/>
  <c r="C5455" i="1"/>
  <c r="C5454" i="1"/>
  <c r="C5453" i="1"/>
  <c r="C5452" i="1"/>
  <c r="C5451" i="1"/>
  <c r="C5450" i="1"/>
  <c r="C5449" i="1"/>
  <c r="C5448" i="1"/>
  <c r="C5447" i="1"/>
  <c r="C5446" i="1"/>
  <c r="C5445" i="1"/>
  <c r="C5444" i="1"/>
  <c r="C5443" i="1"/>
  <c r="C5442" i="1"/>
  <c r="C5441" i="1"/>
  <c r="C5440" i="1"/>
  <c r="C5439" i="1"/>
  <c r="C5438" i="1"/>
  <c r="C5437" i="1"/>
  <c r="C5436" i="1"/>
  <c r="C5435" i="1"/>
  <c r="C5434" i="1"/>
  <c r="C5433" i="1"/>
  <c r="C5432" i="1"/>
  <c r="C5431" i="1"/>
  <c r="C5430" i="1"/>
  <c r="C5429" i="1"/>
  <c r="C5428" i="1"/>
  <c r="C5427" i="1"/>
  <c r="C5426" i="1"/>
  <c r="C5425" i="1"/>
  <c r="C5424" i="1"/>
  <c r="C5423" i="1"/>
  <c r="C5422" i="1"/>
  <c r="C5421" i="1"/>
  <c r="C5420" i="1"/>
  <c r="C5419" i="1"/>
  <c r="C5418" i="1"/>
  <c r="C5417" i="1"/>
  <c r="C5416" i="1"/>
  <c r="C5415" i="1"/>
  <c r="C5414" i="1"/>
  <c r="C5413" i="1"/>
  <c r="C5412" i="1"/>
  <c r="C5411" i="1"/>
  <c r="C5410" i="1"/>
  <c r="C5409" i="1"/>
  <c r="C5408" i="1"/>
  <c r="C5407" i="1"/>
  <c r="C5406" i="1"/>
  <c r="C5405" i="1"/>
  <c r="C5404" i="1"/>
  <c r="C5403" i="1"/>
  <c r="C5402" i="1"/>
  <c r="C5401" i="1"/>
  <c r="C5400" i="1"/>
  <c r="C5399" i="1"/>
  <c r="C5398" i="1"/>
  <c r="C5397" i="1"/>
  <c r="C5396" i="1"/>
  <c r="C5395" i="1"/>
  <c r="C5394" i="1"/>
  <c r="C5393" i="1"/>
  <c r="C5392" i="1"/>
  <c r="C5391" i="1"/>
  <c r="C5390" i="1"/>
  <c r="C5389" i="1"/>
  <c r="C5388" i="1"/>
  <c r="C5387" i="1"/>
  <c r="C5386" i="1"/>
  <c r="C5385" i="1"/>
  <c r="C5384" i="1"/>
  <c r="C5383" i="1"/>
  <c r="C5382" i="1"/>
  <c r="C5381" i="1"/>
  <c r="C5380" i="1"/>
  <c r="C5379" i="1"/>
  <c r="C5378" i="1"/>
  <c r="C5377" i="1"/>
  <c r="C5376" i="1"/>
  <c r="C5375" i="1"/>
  <c r="C5374" i="1"/>
  <c r="C5373" i="1"/>
  <c r="C5372" i="1"/>
  <c r="C5371" i="1"/>
  <c r="C5370" i="1"/>
  <c r="C5369" i="1"/>
  <c r="C5368" i="1"/>
  <c r="C5367" i="1"/>
  <c r="C5366" i="1"/>
  <c r="C5365" i="1"/>
  <c r="C5364" i="1"/>
  <c r="C5363" i="1"/>
  <c r="C5362" i="1"/>
  <c r="C5361" i="1"/>
  <c r="C5360" i="1"/>
  <c r="C5359" i="1"/>
  <c r="C5358" i="1"/>
  <c r="C5357" i="1"/>
  <c r="C5356" i="1"/>
  <c r="C5355" i="1"/>
  <c r="C5354" i="1"/>
  <c r="C5353" i="1"/>
  <c r="C5352" i="1"/>
  <c r="C5351" i="1"/>
  <c r="C5350" i="1"/>
  <c r="C5349" i="1"/>
  <c r="C5348" i="1"/>
  <c r="C5347" i="1"/>
  <c r="C5346" i="1"/>
  <c r="C5345" i="1"/>
  <c r="C5344" i="1"/>
  <c r="C5343" i="1"/>
  <c r="C5342" i="1"/>
  <c r="C5341" i="1"/>
  <c r="C5340" i="1"/>
  <c r="C5339" i="1"/>
  <c r="C5338" i="1"/>
  <c r="C5337" i="1"/>
  <c r="C5336" i="1"/>
  <c r="C5335" i="1"/>
  <c r="C5334" i="1"/>
  <c r="C5333" i="1"/>
  <c r="C5332" i="1"/>
  <c r="C5331" i="1"/>
  <c r="C5330" i="1"/>
  <c r="C5329" i="1"/>
  <c r="C5328" i="1"/>
  <c r="C5327" i="1"/>
  <c r="C5326" i="1"/>
  <c r="C5325" i="1"/>
  <c r="C5324" i="1"/>
  <c r="C5323" i="1"/>
  <c r="C5322" i="1"/>
  <c r="C5321" i="1"/>
  <c r="C5320" i="1"/>
  <c r="C5319" i="1"/>
  <c r="C5318" i="1"/>
  <c r="C5317" i="1"/>
  <c r="C5316" i="1"/>
  <c r="C5315" i="1"/>
  <c r="C5314" i="1"/>
  <c r="C5313" i="1"/>
  <c r="C5312" i="1"/>
  <c r="C5311" i="1"/>
  <c r="C5310" i="1"/>
  <c r="C5309" i="1"/>
  <c r="C5308" i="1"/>
  <c r="C5307" i="1"/>
  <c r="C5306" i="1"/>
  <c r="C5305" i="1"/>
  <c r="C5304" i="1"/>
  <c r="C5303" i="1"/>
  <c r="C5302" i="1"/>
  <c r="C5301" i="1"/>
  <c r="C5300" i="1"/>
  <c r="C5299" i="1"/>
  <c r="C5298" i="1"/>
  <c r="C5297" i="1"/>
  <c r="C5296" i="1"/>
  <c r="C5295" i="1"/>
  <c r="C5294" i="1"/>
  <c r="C5293" i="1"/>
  <c r="C5292" i="1"/>
  <c r="C5291" i="1"/>
  <c r="C5290" i="1"/>
  <c r="C5289" i="1"/>
  <c r="C5288" i="1"/>
  <c r="C5287" i="1"/>
  <c r="C5286" i="1"/>
  <c r="C5285" i="1"/>
  <c r="C5284" i="1"/>
  <c r="C5283" i="1"/>
  <c r="C5282" i="1"/>
  <c r="C5281" i="1"/>
  <c r="C5280" i="1"/>
  <c r="C5279" i="1"/>
  <c r="C5278" i="1"/>
  <c r="C5277" i="1"/>
  <c r="C5276" i="1"/>
  <c r="C5275" i="1"/>
  <c r="C5274" i="1"/>
  <c r="C5273" i="1"/>
  <c r="C5272" i="1"/>
  <c r="C5271" i="1"/>
  <c r="C5270" i="1"/>
  <c r="C5269" i="1"/>
  <c r="C5268" i="1"/>
  <c r="C5267" i="1"/>
  <c r="C5266" i="1"/>
  <c r="C5265" i="1"/>
  <c r="C5264" i="1"/>
  <c r="C5263" i="1"/>
  <c r="C5262" i="1"/>
  <c r="C5261" i="1"/>
  <c r="C5260" i="1"/>
  <c r="C5259" i="1"/>
  <c r="C5258" i="1"/>
  <c r="C5257" i="1"/>
  <c r="C5256" i="1"/>
  <c r="C5255" i="1"/>
  <c r="C5254" i="1"/>
  <c r="C5253" i="1"/>
  <c r="C5252" i="1"/>
  <c r="C5251" i="1"/>
  <c r="C5250" i="1"/>
  <c r="C5249" i="1"/>
  <c r="C5248" i="1"/>
  <c r="C5247" i="1"/>
  <c r="C5246" i="1"/>
  <c r="C5245" i="1"/>
  <c r="C5244" i="1"/>
  <c r="C5243" i="1"/>
  <c r="C5242" i="1"/>
  <c r="C5241" i="1"/>
  <c r="C5240" i="1"/>
  <c r="C5239" i="1"/>
  <c r="C5238" i="1"/>
  <c r="C5237" i="1"/>
  <c r="C5236" i="1"/>
  <c r="C5235" i="1"/>
  <c r="C5234" i="1"/>
  <c r="C5233" i="1"/>
  <c r="C5232" i="1"/>
  <c r="C5231" i="1"/>
  <c r="C5230" i="1"/>
  <c r="C5229" i="1"/>
  <c r="C5228" i="1"/>
  <c r="C5227" i="1"/>
  <c r="C5226" i="1"/>
  <c r="C5225" i="1"/>
  <c r="C5224" i="1"/>
  <c r="C5223" i="1"/>
  <c r="C5222" i="1"/>
  <c r="C5221" i="1"/>
  <c r="C5220" i="1"/>
  <c r="C5219" i="1"/>
  <c r="C5218" i="1"/>
  <c r="C5217" i="1"/>
  <c r="C5216" i="1"/>
  <c r="C5215" i="1"/>
  <c r="C5214" i="1"/>
  <c r="C5213" i="1"/>
  <c r="C5212" i="1"/>
  <c r="C5211" i="1"/>
  <c r="C5210" i="1"/>
  <c r="C5209" i="1"/>
  <c r="C5208" i="1"/>
  <c r="C5207" i="1"/>
  <c r="C5206" i="1"/>
  <c r="C5205" i="1"/>
  <c r="C5204" i="1"/>
  <c r="C5203" i="1"/>
  <c r="C5202" i="1"/>
  <c r="C5201" i="1"/>
  <c r="C5200" i="1"/>
  <c r="C5199" i="1"/>
  <c r="C5198" i="1"/>
  <c r="C5197" i="1"/>
  <c r="C5196" i="1"/>
  <c r="C5195" i="1"/>
  <c r="C5194" i="1"/>
  <c r="C5193" i="1"/>
  <c r="C5192" i="1"/>
  <c r="C5191" i="1"/>
  <c r="C5190" i="1"/>
  <c r="C5189" i="1"/>
  <c r="C5188" i="1"/>
  <c r="C5187" i="1"/>
  <c r="C5186" i="1"/>
  <c r="C5185" i="1"/>
  <c r="C5184" i="1"/>
  <c r="C5183" i="1"/>
  <c r="C5182" i="1"/>
  <c r="C5181" i="1"/>
  <c r="C5180" i="1"/>
  <c r="C5179" i="1"/>
  <c r="C5178" i="1"/>
  <c r="C5177" i="1"/>
  <c r="C5176" i="1"/>
  <c r="C5175" i="1"/>
  <c r="C5174" i="1"/>
  <c r="C5173" i="1"/>
  <c r="C5172" i="1"/>
  <c r="C5171" i="1"/>
  <c r="C5170" i="1"/>
  <c r="C5169" i="1"/>
  <c r="C5168" i="1"/>
  <c r="C5167" i="1"/>
  <c r="C5166" i="1"/>
  <c r="C5165" i="1"/>
  <c r="C5164" i="1"/>
  <c r="C5163" i="1"/>
  <c r="C5162" i="1"/>
  <c r="C5161" i="1"/>
  <c r="C5160" i="1"/>
  <c r="C5159" i="1"/>
  <c r="C5158" i="1"/>
  <c r="C5157" i="1"/>
  <c r="C5156" i="1"/>
  <c r="C5155" i="1"/>
  <c r="C5154" i="1"/>
  <c r="C5153" i="1"/>
  <c r="C5152" i="1"/>
  <c r="C5151" i="1"/>
  <c r="C5150" i="1"/>
  <c r="C5149" i="1"/>
  <c r="C5148" i="1"/>
  <c r="C5147" i="1"/>
  <c r="C5146" i="1"/>
  <c r="C5145" i="1"/>
  <c r="C5144" i="1"/>
  <c r="C5143" i="1"/>
  <c r="C5142" i="1"/>
  <c r="C5141" i="1"/>
  <c r="C5140" i="1"/>
  <c r="C5139" i="1"/>
  <c r="C5138" i="1"/>
  <c r="C5137" i="1"/>
  <c r="C5136" i="1"/>
  <c r="C5135" i="1"/>
  <c r="C5134" i="1"/>
  <c r="C5133" i="1"/>
  <c r="C5132" i="1"/>
  <c r="C5131" i="1"/>
  <c r="C5130" i="1"/>
  <c r="C5129" i="1"/>
  <c r="C5128" i="1"/>
  <c r="C5127" i="1"/>
  <c r="C5126" i="1"/>
  <c r="C5125" i="1"/>
  <c r="C5124" i="1"/>
  <c r="C5123" i="1"/>
  <c r="C5122" i="1"/>
  <c r="C5121" i="1"/>
  <c r="C5120" i="1"/>
  <c r="C5119" i="1"/>
  <c r="C5118" i="1"/>
  <c r="C5117" i="1"/>
  <c r="C5116" i="1"/>
  <c r="C5115" i="1"/>
  <c r="C5114" i="1"/>
  <c r="C5113" i="1"/>
  <c r="C5112" i="1"/>
  <c r="C5111" i="1"/>
  <c r="C5110" i="1"/>
  <c r="C5109" i="1"/>
  <c r="C5108" i="1"/>
  <c r="C5107" i="1"/>
  <c r="C5106" i="1"/>
  <c r="C5105" i="1"/>
  <c r="C5104" i="1"/>
  <c r="C5103" i="1"/>
  <c r="C5102" i="1"/>
  <c r="C5101" i="1"/>
  <c r="C5100" i="1"/>
  <c r="C5099" i="1"/>
  <c r="C5098" i="1"/>
  <c r="C5097" i="1"/>
  <c r="C5096" i="1"/>
  <c r="C5095" i="1"/>
  <c r="C5094" i="1"/>
  <c r="C5093" i="1"/>
  <c r="C5092" i="1"/>
  <c r="C5091" i="1"/>
  <c r="C5090" i="1"/>
  <c r="C5089" i="1"/>
  <c r="C5088" i="1"/>
  <c r="C5087" i="1"/>
  <c r="C5086" i="1"/>
  <c r="C5085" i="1"/>
  <c r="C5084" i="1"/>
  <c r="C5083" i="1"/>
  <c r="C5082" i="1"/>
  <c r="C5081" i="1"/>
  <c r="C5080" i="1"/>
  <c r="C5079" i="1"/>
  <c r="C5078" i="1"/>
  <c r="C5077" i="1"/>
  <c r="C5076" i="1"/>
  <c r="C5075" i="1"/>
  <c r="C5074" i="1"/>
  <c r="C5073" i="1"/>
  <c r="C5072" i="1"/>
  <c r="C5071" i="1"/>
  <c r="C5070" i="1"/>
  <c r="C5069" i="1"/>
  <c r="C5068" i="1"/>
  <c r="C5067" i="1"/>
  <c r="C5066" i="1"/>
  <c r="C5065" i="1"/>
  <c r="C5064" i="1"/>
  <c r="C5063" i="1"/>
  <c r="C5062" i="1"/>
  <c r="C5061" i="1"/>
  <c r="C5060" i="1"/>
  <c r="C5059" i="1"/>
  <c r="C5058" i="1"/>
  <c r="C5057" i="1"/>
  <c r="C5056" i="1"/>
  <c r="C5055" i="1"/>
  <c r="C5054" i="1"/>
  <c r="C5053" i="1"/>
  <c r="C5052" i="1"/>
  <c r="C5051" i="1"/>
  <c r="C5050" i="1"/>
  <c r="C5049" i="1"/>
  <c r="C5048" i="1"/>
  <c r="C5047" i="1"/>
  <c r="C5046" i="1"/>
  <c r="C5045" i="1"/>
  <c r="C5044" i="1"/>
  <c r="C5043" i="1"/>
  <c r="C5042" i="1"/>
  <c r="C5041" i="1"/>
  <c r="C5040" i="1"/>
  <c r="C5039" i="1"/>
  <c r="C5038" i="1"/>
  <c r="C5037" i="1"/>
  <c r="C5036" i="1"/>
  <c r="C5035" i="1"/>
  <c r="C5034" i="1"/>
  <c r="C5033" i="1"/>
  <c r="C5032" i="1"/>
  <c r="C5031" i="1"/>
  <c r="C5030" i="1"/>
  <c r="C5029" i="1"/>
  <c r="C5028" i="1"/>
  <c r="C5027" i="1"/>
  <c r="C5026" i="1"/>
  <c r="C5025" i="1"/>
  <c r="C5024" i="1"/>
  <c r="C5023" i="1"/>
  <c r="C5022" i="1"/>
  <c r="C5021" i="1"/>
  <c r="C5020" i="1"/>
  <c r="C5019" i="1"/>
  <c r="C5018" i="1"/>
  <c r="C5017" i="1"/>
  <c r="C5016" i="1"/>
  <c r="C5015" i="1"/>
  <c r="C5014" i="1"/>
  <c r="C5013" i="1"/>
  <c r="C5012" i="1"/>
  <c r="C5011" i="1"/>
  <c r="C5010" i="1"/>
  <c r="C5009" i="1"/>
  <c r="C5008" i="1"/>
  <c r="C5007" i="1"/>
  <c r="C5006" i="1"/>
  <c r="C5005" i="1"/>
  <c r="C5004" i="1"/>
  <c r="C5003" i="1"/>
  <c r="C5002" i="1"/>
  <c r="C5001" i="1"/>
  <c r="C5000" i="1"/>
  <c r="C4999" i="1"/>
  <c r="C4998" i="1"/>
  <c r="C4997" i="1"/>
  <c r="C4996" i="1"/>
  <c r="C4995" i="1"/>
  <c r="C4994" i="1"/>
  <c r="C4993" i="1"/>
  <c r="C4992" i="1"/>
  <c r="C4991" i="1"/>
  <c r="C4990" i="1"/>
  <c r="C4989" i="1"/>
  <c r="C4988" i="1"/>
  <c r="C4987" i="1"/>
  <c r="C4986" i="1"/>
  <c r="C4985" i="1"/>
  <c r="C4984" i="1"/>
  <c r="C4983" i="1"/>
  <c r="C4982" i="1"/>
  <c r="C4981" i="1"/>
  <c r="C4980" i="1"/>
  <c r="C4979" i="1"/>
  <c r="C4978" i="1"/>
  <c r="C4977" i="1"/>
  <c r="C4976" i="1"/>
  <c r="C4975" i="1"/>
  <c r="C4974" i="1"/>
  <c r="C4973" i="1"/>
  <c r="C4972" i="1"/>
  <c r="C4971" i="1"/>
  <c r="C4970" i="1"/>
  <c r="C4969" i="1"/>
  <c r="C4968" i="1"/>
  <c r="C4967" i="1"/>
  <c r="C4966" i="1"/>
  <c r="C4965" i="1"/>
  <c r="C4964" i="1"/>
  <c r="C4963" i="1"/>
  <c r="C4962" i="1"/>
  <c r="C4961" i="1"/>
  <c r="C4960" i="1"/>
  <c r="C4959" i="1"/>
  <c r="C4958" i="1"/>
  <c r="C4957" i="1"/>
  <c r="C4956" i="1"/>
  <c r="C4955" i="1"/>
  <c r="C4954" i="1"/>
  <c r="C4953" i="1"/>
  <c r="C4952" i="1"/>
  <c r="C4951" i="1"/>
  <c r="C4950" i="1"/>
  <c r="C4949" i="1"/>
  <c r="C4948" i="1"/>
  <c r="C4947" i="1"/>
  <c r="C4946" i="1"/>
  <c r="C4945" i="1"/>
  <c r="C4944" i="1"/>
  <c r="C4943" i="1"/>
  <c r="C4942" i="1"/>
  <c r="C4941" i="1"/>
  <c r="C4940" i="1"/>
  <c r="C4939" i="1"/>
  <c r="C4938" i="1"/>
  <c r="C4937" i="1"/>
  <c r="C4936" i="1"/>
  <c r="C4935" i="1"/>
  <c r="C4934" i="1"/>
  <c r="C4933" i="1"/>
  <c r="C4932" i="1"/>
  <c r="C4931" i="1"/>
  <c r="C4930" i="1"/>
  <c r="C4929" i="1"/>
  <c r="C4928" i="1"/>
  <c r="C4927" i="1"/>
  <c r="C4926" i="1"/>
  <c r="C4925" i="1"/>
  <c r="C4924" i="1"/>
  <c r="C4923" i="1"/>
  <c r="C4922" i="1"/>
  <c r="C4921" i="1"/>
  <c r="C4920" i="1"/>
  <c r="C4919" i="1"/>
  <c r="C4918" i="1"/>
  <c r="C4917" i="1"/>
  <c r="C4916" i="1"/>
  <c r="C4915" i="1"/>
  <c r="C4914" i="1"/>
  <c r="C4913" i="1"/>
  <c r="C4912" i="1"/>
  <c r="C4911" i="1"/>
  <c r="C4910" i="1"/>
  <c r="C4909" i="1"/>
  <c r="C4908" i="1"/>
  <c r="C4907" i="1"/>
  <c r="C4906" i="1"/>
  <c r="C4905" i="1"/>
  <c r="C4904" i="1"/>
  <c r="C4903" i="1"/>
  <c r="C4902" i="1"/>
  <c r="C4901" i="1"/>
  <c r="C4900" i="1"/>
  <c r="C4899" i="1"/>
  <c r="C4898" i="1"/>
  <c r="C4897" i="1"/>
  <c r="C4896" i="1"/>
  <c r="C4895" i="1"/>
  <c r="C4894" i="1"/>
  <c r="C4893" i="1"/>
  <c r="C4892" i="1"/>
  <c r="C4891" i="1"/>
  <c r="C4890" i="1"/>
  <c r="C4889" i="1"/>
  <c r="C4888" i="1"/>
  <c r="C4887" i="1"/>
  <c r="C4886" i="1"/>
  <c r="C4885" i="1"/>
  <c r="C4884" i="1"/>
  <c r="C4883" i="1"/>
  <c r="C4882" i="1"/>
  <c r="C4881" i="1"/>
  <c r="C4880" i="1"/>
  <c r="C4879" i="1"/>
  <c r="C4878" i="1"/>
  <c r="C4877" i="1"/>
  <c r="C4876" i="1"/>
  <c r="C4875" i="1"/>
  <c r="C4874" i="1"/>
  <c r="C4873" i="1"/>
  <c r="C4872" i="1"/>
  <c r="C4871" i="1"/>
  <c r="C4870" i="1"/>
  <c r="C4869" i="1"/>
  <c r="C4868" i="1"/>
  <c r="C4867" i="1"/>
  <c r="C4866" i="1"/>
  <c r="C4865" i="1"/>
  <c r="C4864" i="1"/>
  <c r="C4863" i="1"/>
  <c r="C4862" i="1"/>
  <c r="C4861" i="1"/>
  <c r="C4860" i="1"/>
  <c r="C4859" i="1"/>
  <c r="C4858" i="1"/>
  <c r="C4857" i="1"/>
  <c r="C4856" i="1"/>
  <c r="C4855" i="1"/>
  <c r="C4854" i="1"/>
  <c r="C4853" i="1"/>
  <c r="C4852" i="1"/>
  <c r="C4851" i="1"/>
  <c r="C4850" i="1"/>
  <c r="C4849" i="1"/>
  <c r="C4848" i="1"/>
  <c r="C4847" i="1"/>
  <c r="C4846" i="1"/>
  <c r="C4845" i="1"/>
  <c r="C4844" i="1"/>
  <c r="C4843" i="1"/>
  <c r="C4842" i="1"/>
  <c r="C4841" i="1"/>
  <c r="C4840" i="1"/>
  <c r="C4839" i="1"/>
  <c r="C4838" i="1"/>
  <c r="C4837" i="1"/>
  <c r="C4836" i="1"/>
  <c r="C4835" i="1"/>
  <c r="C4834" i="1"/>
  <c r="C4833" i="1"/>
  <c r="C4832" i="1"/>
  <c r="C4831" i="1"/>
  <c r="C4830" i="1"/>
  <c r="C4829" i="1"/>
  <c r="C4828" i="1"/>
  <c r="C4827" i="1"/>
  <c r="C4826" i="1"/>
  <c r="C4825" i="1"/>
  <c r="C4824" i="1"/>
  <c r="C4823" i="1"/>
  <c r="C4822" i="1"/>
  <c r="C4821" i="1"/>
  <c r="C4820" i="1"/>
  <c r="C4819" i="1"/>
  <c r="C4818" i="1"/>
  <c r="C4817" i="1"/>
  <c r="C4816" i="1"/>
  <c r="C4815" i="1"/>
  <c r="C4814" i="1"/>
  <c r="C4813" i="1"/>
  <c r="C4812" i="1"/>
  <c r="C4811" i="1"/>
  <c r="C4810" i="1"/>
  <c r="C4809" i="1"/>
  <c r="C4808" i="1"/>
  <c r="C4807" i="1"/>
  <c r="C4806" i="1"/>
  <c r="C4805" i="1"/>
  <c r="C4804" i="1"/>
  <c r="C4803" i="1"/>
  <c r="C4802" i="1"/>
  <c r="C4801" i="1"/>
  <c r="C4800" i="1"/>
  <c r="C4799" i="1"/>
  <c r="C4798" i="1"/>
  <c r="C4797" i="1"/>
  <c r="C4796" i="1"/>
  <c r="C4795" i="1"/>
  <c r="C4794" i="1"/>
  <c r="C4793" i="1"/>
  <c r="C4792" i="1"/>
  <c r="C4791" i="1"/>
  <c r="C4790" i="1"/>
  <c r="C4789" i="1"/>
  <c r="C4788" i="1"/>
  <c r="C4787" i="1"/>
  <c r="C4786" i="1"/>
  <c r="C4785" i="1"/>
  <c r="C4784" i="1"/>
  <c r="C4783" i="1"/>
  <c r="C4782" i="1"/>
  <c r="C4781" i="1"/>
  <c r="C4780" i="1"/>
  <c r="C4779" i="1"/>
  <c r="C4778" i="1"/>
  <c r="C4777" i="1"/>
  <c r="C4776" i="1"/>
  <c r="C4775" i="1"/>
  <c r="C4774" i="1"/>
  <c r="C4773" i="1"/>
  <c r="C4772" i="1"/>
  <c r="C4771" i="1"/>
  <c r="C4770" i="1"/>
  <c r="C4769" i="1"/>
  <c r="C4768" i="1"/>
  <c r="C4767" i="1"/>
  <c r="C4766" i="1"/>
  <c r="C4765" i="1"/>
  <c r="C4764" i="1"/>
  <c r="C4763" i="1"/>
  <c r="C4762" i="1"/>
  <c r="C4761" i="1"/>
  <c r="C4760" i="1"/>
  <c r="C4759" i="1"/>
  <c r="C4758" i="1"/>
  <c r="C4757" i="1"/>
  <c r="C4756" i="1"/>
  <c r="C4755" i="1"/>
  <c r="C4754" i="1"/>
  <c r="C4753" i="1"/>
  <c r="C4752" i="1"/>
  <c r="C4751" i="1"/>
  <c r="C4750" i="1"/>
  <c r="C4749" i="1"/>
  <c r="C4748" i="1"/>
  <c r="C4747" i="1"/>
  <c r="C4746" i="1"/>
  <c r="C4745" i="1"/>
  <c r="C4744" i="1"/>
  <c r="C4743" i="1"/>
  <c r="C4742" i="1"/>
  <c r="C4741" i="1"/>
  <c r="C4740" i="1"/>
  <c r="C4739" i="1"/>
  <c r="C4738" i="1"/>
  <c r="C4737" i="1"/>
  <c r="C4736" i="1"/>
  <c r="C4735" i="1"/>
  <c r="C4734" i="1"/>
  <c r="C4733" i="1"/>
  <c r="C4732" i="1"/>
  <c r="C4731" i="1"/>
  <c r="C4730" i="1"/>
  <c r="C4729" i="1"/>
  <c r="C4728" i="1"/>
  <c r="C4727" i="1"/>
  <c r="C4726" i="1"/>
  <c r="C4725" i="1"/>
  <c r="C4724" i="1"/>
  <c r="C4723" i="1"/>
  <c r="C4722" i="1"/>
  <c r="C4721" i="1"/>
  <c r="C4720" i="1"/>
  <c r="C4719" i="1"/>
  <c r="C4718" i="1"/>
  <c r="C4717" i="1"/>
  <c r="C4716" i="1"/>
  <c r="C4715" i="1"/>
  <c r="C4714" i="1"/>
  <c r="C4713" i="1"/>
  <c r="C4712" i="1"/>
  <c r="C4711" i="1"/>
  <c r="C4710" i="1"/>
  <c r="C4709" i="1"/>
  <c r="C4708" i="1"/>
  <c r="C4707" i="1"/>
  <c r="C4706" i="1"/>
  <c r="C4705" i="1"/>
  <c r="C4704" i="1"/>
  <c r="C4703" i="1"/>
  <c r="C4702" i="1"/>
  <c r="C4701" i="1"/>
  <c r="C4700" i="1"/>
  <c r="C4699" i="1"/>
  <c r="C4698" i="1"/>
  <c r="C4697" i="1"/>
  <c r="C4696" i="1"/>
  <c r="C4695" i="1"/>
  <c r="C4694" i="1"/>
  <c r="C4693" i="1"/>
  <c r="C4692" i="1"/>
  <c r="C4691" i="1"/>
  <c r="C4690" i="1"/>
  <c r="C4689" i="1"/>
  <c r="C4688" i="1"/>
  <c r="C4687" i="1"/>
  <c r="C4686" i="1"/>
  <c r="C4685" i="1"/>
  <c r="C4684" i="1"/>
  <c r="C4683" i="1"/>
  <c r="C4682" i="1"/>
  <c r="C4681" i="1"/>
  <c r="C4680" i="1"/>
  <c r="C4679" i="1"/>
  <c r="C4678" i="1"/>
  <c r="C4677" i="1"/>
  <c r="C4676" i="1"/>
  <c r="C4675" i="1"/>
  <c r="C4674" i="1"/>
  <c r="C4673" i="1"/>
  <c r="C4672" i="1"/>
  <c r="C4671" i="1"/>
  <c r="C4670" i="1"/>
  <c r="C4669" i="1"/>
  <c r="C4668" i="1"/>
  <c r="C4667" i="1"/>
  <c r="C4666" i="1"/>
  <c r="C4665" i="1"/>
  <c r="C4664" i="1"/>
  <c r="C4663" i="1"/>
  <c r="C4662" i="1"/>
  <c r="C4661" i="1"/>
  <c r="C4660" i="1"/>
  <c r="C4659" i="1"/>
  <c r="C4658" i="1"/>
  <c r="C4657" i="1"/>
  <c r="C4656" i="1"/>
  <c r="C4655" i="1"/>
  <c r="C4654" i="1"/>
  <c r="C4653" i="1"/>
  <c r="C4652" i="1"/>
  <c r="C4651" i="1"/>
  <c r="C4650" i="1"/>
  <c r="C4649" i="1"/>
  <c r="C4648" i="1"/>
  <c r="C4647" i="1"/>
  <c r="C4646" i="1"/>
  <c r="C4645" i="1"/>
  <c r="C4644" i="1"/>
  <c r="C4643" i="1"/>
  <c r="C4642" i="1"/>
  <c r="C4641" i="1"/>
  <c r="C4640" i="1"/>
  <c r="C4639" i="1"/>
  <c r="C4638" i="1"/>
  <c r="C4637" i="1"/>
  <c r="C4636" i="1"/>
  <c r="C4635" i="1"/>
  <c r="C4634" i="1"/>
  <c r="C4633" i="1"/>
  <c r="C4632" i="1"/>
  <c r="C4631" i="1"/>
  <c r="C4630" i="1"/>
  <c r="C4629" i="1"/>
  <c r="C4628" i="1"/>
  <c r="C4627" i="1"/>
  <c r="C4626" i="1"/>
  <c r="C4625" i="1"/>
  <c r="C4624" i="1"/>
  <c r="C4623" i="1"/>
  <c r="C4622" i="1"/>
  <c r="C4621" i="1"/>
  <c r="C4620" i="1"/>
  <c r="C4619" i="1"/>
  <c r="C4618" i="1"/>
  <c r="C4617" i="1"/>
  <c r="C4616" i="1"/>
  <c r="C4615" i="1"/>
  <c r="C4614" i="1"/>
  <c r="C4613" i="1"/>
  <c r="C4612" i="1"/>
  <c r="C4611" i="1"/>
  <c r="C4610" i="1"/>
  <c r="C4609" i="1"/>
  <c r="C4608" i="1"/>
  <c r="C4607" i="1"/>
  <c r="C4606" i="1"/>
  <c r="C4605" i="1"/>
  <c r="C4604" i="1"/>
  <c r="C4603" i="1"/>
  <c r="C4602" i="1"/>
  <c r="C4601" i="1"/>
  <c r="C4600" i="1"/>
  <c r="C4599" i="1"/>
  <c r="C4598" i="1"/>
  <c r="C4597" i="1"/>
  <c r="C4596" i="1"/>
  <c r="C4595" i="1"/>
  <c r="C4594" i="1"/>
  <c r="C4593" i="1"/>
  <c r="C4592" i="1"/>
  <c r="C4591" i="1"/>
  <c r="C4590" i="1"/>
  <c r="C4589" i="1"/>
  <c r="C4588" i="1"/>
  <c r="C4587" i="1"/>
  <c r="C4586" i="1"/>
  <c r="C4585" i="1"/>
  <c r="C4584" i="1"/>
  <c r="C4583" i="1"/>
  <c r="C4582" i="1"/>
  <c r="C4581" i="1"/>
  <c r="C4580" i="1"/>
  <c r="C4579" i="1"/>
  <c r="C4578" i="1"/>
  <c r="C4577" i="1"/>
  <c r="C4576" i="1"/>
  <c r="C4575" i="1"/>
  <c r="C4574" i="1"/>
  <c r="C4573" i="1"/>
  <c r="C4572" i="1"/>
  <c r="C4571" i="1"/>
  <c r="C4570" i="1"/>
  <c r="C4569" i="1"/>
  <c r="C4568" i="1"/>
  <c r="C4567" i="1"/>
  <c r="C4566" i="1"/>
  <c r="C4565" i="1"/>
  <c r="C4564" i="1"/>
  <c r="C4563" i="1"/>
  <c r="C4562" i="1"/>
  <c r="C4561" i="1"/>
  <c r="C4560" i="1"/>
  <c r="C4559" i="1"/>
  <c r="C4558" i="1"/>
  <c r="C4557" i="1"/>
  <c r="C4556" i="1"/>
  <c r="C4555" i="1"/>
  <c r="C4554" i="1"/>
  <c r="C4553" i="1"/>
  <c r="C4552" i="1"/>
  <c r="C4551" i="1"/>
  <c r="C4550" i="1"/>
  <c r="C4549" i="1"/>
  <c r="C4548" i="1"/>
  <c r="C4547" i="1"/>
  <c r="C4546" i="1"/>
  <c r="C4545" i="1"/>
  <c r="C4544" i="1"/>
  <c r="C4543" i="1"/>
  <c r="C4542" i="1"/>
  <c r="C4541" i="1"/>
  <c r="C4540" i="1"/>
  <c r="C4539" i="1"/>
  <c r="C4538" i="1"/>
  <c r="C4537" i="1"/>
  <c r="C4536" i="1"/>
  <c r="C4535" i="1"/>
  <c r="C4534" i="1"/>
  <c r="C4533" i="1"/>
  <c r="C4532" i="1"/>
  <c r="C4531" i="1"/>
  <c r="C4530" i="1"/>
  <c r="C4529" i="1"/>
  <c r="C4528" i="1"/>
  <c r="C4527" i="1"/>
  <c r="C4526" i="1"/>
  <c r="C4525" i="1"/>
  <c r="C4524" i="1"/>
  <c r="C4523" i="1"/>
  <c r="C4522" i="1"/>
  <c r="C4521" i="1"/>
  <c r="C4520" i="1"/>
  <c r="C4519" i="1"/>
  <c r="C4518" i="1"/>
  <c r="C4517" i="1"/>
  <c r="C4516" i="1"/>
  <c r="C4515" i="1"/>
  <c r="C4514" i="1"/>
  <c r="C4513" i="1"/>
  <c r="C4512" i="1"/>
  <c r="C4511" i="1"/>
  <c r="C4510" i="1"/>
  <c r="C4509" i="1"/>
  <c r="C4508" i="1"/>
  <c r="C4507" i="1"/>
  <c r="C4506" i="1"/>
  <c r="C4505" i="1"/>
  <c r="C4504" i="1"/>
  <c r="C4503" i="1"/>
  <c r="C4502" i="1"/>
  <c r="C4501" i="1"/>
  <c r="C4500" i="1"/>
  <c r="C4499" i="1"/>
  <c r="C4498" i="1"/>
  <c r="C4497" i="1"/>
  <c r="C4496" i="1"/>
  <c r="C4495" i="1"/>
  <c r="C4494" i="1"/>
  <c r="C4493" i="1"/>
  <c r="C4492" i="1"/>
  <c r="C4491" i="1"/>
  <c r="C4490" i="1"/>
  <c r="C4489" i="1"/>
  <c r="C4488" i="1"/>
  <c r="C4487" i="1"/>
  <c r="C4486" i="1"/>
  <c r="C4485" i="1"/>
  <c r="C4484" i="1"/>
  <c r="C4483" i="1"/>
  <c r="C4482" i="1"/>
  <c r="C4481" i="1"/>
  <c r="C4480" i="1"/>
  <c r="C4479" i="1"/>
  <c r="C4478" i="1"/>
  <c r="C4477" i="1"/>
  <c r="C4476" i="1"/>
  <c r="C4475" i="1"/>
  <c r="C4474" i="1"/>
  <c r="C4473" i="1"/>
  <c r="C4472" i="1"/>
  <c r="C4471" i="1"/>
  <c r="C4470" i="1"/>
  <c r="C4469" i="1"/>
  <c r="C4468" i="1"/>
  <c r="C4467" i="1"/>
  <c r="C4466" i="1"/>
  <c r="C4465" i="1"/>
  <c r="C4464" i="1"/>
  <c r="C4463" i="1"/>
  <c r="C4462" i="1"/>
  <c r="C4461" i="1"/>
  <c r="C4460" i="1"/>
  <c r="C4459" i="1"/>
  <c r="C4458" i="1"/>
  <c r="C4457" i="1"/>
  <c r="C4456" i="1"/>
  <c r="C4455" i="1"/>
  <c r="C4454" i="1"/>
  <c r="C4453" i="1"/>
  <c r="C4452" i="1"/>
  <c r="C4451" i="1"/>
  <c r="C4450" i="1"/>
  <c r="C4449" i="1"/>
  <c r="C4448" i="1"/>
  <c r="C4447" i="1"/>
  <c r="C4446" i="1"/>
  <c r="C4445" i="1"/>
  <c r="C4444" i="1"/>
  <c r="C4443" i="1"/>
  <c r="C4442" i="1"/>
  <c r="C4441" i="1"/>
  <c r="C4440" i="1"/>
  <c r="C4439" i="1"/>
  <c r="C4438" i="1"/>
  <c r="C4437" i="1"/>
  <c r="C4436" i="1"/>
  <c r="C4435" i="1"/>
  <c r="C4434" i="1"/>
  <c r="C4433" i="1"/>
  <c r="C4432" i="1"/>
  <c r="C4431" i="1"/>
  <c r="C4430" i="1"/>
  <c r="C4429" i="1"/>
  <c r="C4428" i="1"/>
  <c r="C4427" i="1"/>
  <c r="C4426" i="1"/>
  <c r="C4425" i="1"/>
  <c r="C4424" i="1"/>
  <c r="C4423" i="1"/>
  <c r="C4422" i="1"/>
  <c r="C4421" i="1"/>
  <c r="C4420" i="1"/>
  <c r="C4419" i="1"/>
  <c r="C4418" i="1"/>
  <c r="C4417" i="1"/>
  <c r="C4416" i="1"/>
  <c r="C4415" i="1"/>
  <c r="C4414" i="1"/>
  <c r="C4413" i="1"/>
  <c r="C4412" i="1"/>
  <c r="C4411" i="1"/>
  <c r="C4410" i="1"/>
  <c r="C4409" i="1"/>
  <c r="C4408" i="1"/>
  <c r="C4407" i="1"/>
  <c r="C4406" i="1"/>
  <c r="C4405" i="1"/>
  <c r="C4404" i="1"/>
  <c r="C4403" i="1"/>
  <c r="C4402" i="1"/>
  <c r="C4401" i="1"/>
  <c r="C4400" i="1"/>
  <c r="C4399" i="1"/>
  <c r="C4398" i="1"/>
  <c r="C4397" i="1"/>
  <c r="C4396" i="1"/>
  <c r="C4395" i="1"/>
  <c r="C4394" i="1"/>
  <c r="C4393" i="1"/>
  <c r="C4392" i="1"/>
  <c r="C4391" i="1"/>
  <c r="C4390" i="1"/>
  <c r="C4389" i="1"/>
  <c r="C4388" i="1"/>
  <c r="C4387" i="1"/>
  <c r="C4386" i="1"/>
  <c r="C4385" i="1"/>
  <c r="C4384" i="1"/>
  <c r="C4383" i="1"/>
  <c r="C4382" i="1"/>
  <c r="C4381" i="1"/>
  <c r="C4380" i="1"/>
  <c r="C4379" i="1"/>
  <c r="C4378" i="1"/>
  <c r="C4377" i="1"/>
  <c r="C4376" i="1"/>
  <c r="C4375" i="1"/>
  <c r="C4374" i="1"/>
  <c r="C4373" i="1"/>
  <c r="C4372" i="1"/>
  <c r="C4371" i="1"/>
  <c r="C4370" i="1"/>
  <c r="C4369" i="1"/>
  <c r="C4368" i="1"/>
  <c r="C4367" i="1"/>
  <c r="C4366" i="1"/>
  <c r="C4365" i="1"/>
  <c r="C4364" i="1"/>
  <c r="C4363" i="1"/>
  <c r="C4362" i="1"/>
  <c r="C4361" i="1"/>
  <c r="C4360" i="1"/>
  <c r="C4359" i="1"/>
  <c r="C4358" i="1"/>
  <c r="C4357" i="1"/>
  <c r="C4356" i="1"/>
  <c r="C4355" i="1"/>
  <c r="C4354" i="1"/>
  <c r="C4353" i="1"/>
  <c r="C4352" i="1"/>
  <c r="C4351" i="1"/>
  <c r="C4350" i="1"/>
  <c r="C4349" i="1"/>
  <c r="C4348" i="1"/>
  <c r="C4347" i="1"/>
  <c r="C4346" i="1"/>
  <c r="C4345" i="1"/>
  <c r="C4344" i="1"/>
  <c r="C4343" i="1"/>
  <c r="C4342" i="1"/>
  <c r="C4341" i="1"/>
  <c r="C4340" i="1"/>
  <c r="C4339" i="1"/>
  <c r="C4338" i="1"/>
  <c r="C4337" i="1"/>
  <c r="C4336" i="1"/>
  <c r="C4335" i="1"/>
  <c r="C4334" i="1"/>
  <c r="C4333" i="1"/>
  <c r="C4332" i="1"/>
  <c r="C4331" i="1"/>
  <c r="C4330" i="1"/>
  <c r="C4329" i="1"/>
  <c r="C4328" i="1"/>
  <c r="C4327" i="1"/>
  <c r="C4326" i="1"/>
  <c r="C4325" i="1"/>
  <c r="C4324" i="1"/>
  <c r="C4323" i="1"/>
  <c r="C4322" i="1"/>
  <c r="C4321" i="1"/>
  <c r="C4320" i="1"/>
  <c r="C4319" i="1"/>
  <c r="C4318" i="1"/>
  <c r="C4317" i="1"/>
  <c r="C4316" i="1"/>
  <c r="C4315" i="1"/>
  <c r="C4314" i="1"/>
  <c r="C4313" i="1"/>
  <c r="C4312" i="1"/>
  <c r="C4311" i="1"/>
  <c r="C4310" i="1"/>
  <c r="C4309" i="1"/>
  <c r="C4308" i="1"/>
  <c r="C4307" i="1"/>
  <c r="C4306" i="1"/>
  <c r="C4305" i="1"/>
  <c r="C4304" i="1"/>
  <c r="C4303" i="1"/>
  <c r="C4302" i="1"/>
  <c r="C4301" i="1"/>
  <c r="C4300" i="1"/>
  <c r="C4299" i="1"/>
  <c r="C4298" i="1"/>
  <c r="C4297" i="1"/>
  <c r="C4296" i="1"/>
  <c r="C4295" i="1"/>
  <c r="C4294" i="1"/>
  <c r="C4293" i="1"/>
  <c r="C4292" i="1"/>
  <c r="C4291" i="1"/>
  <c r="C4290" i="1"/>
  <c r="C4289" i="1"/>
  <c r="C4288" i="1"/>
  <c r="C4287" i="1"/>
  <c r="C4286" i="1"/>
  <c r="C4285" i="1"/>
  <c r="C4284" i="1"/>
  <c r="C4283" i="1"/>
  <c r="C4282" i="1"/>
  <c r="C4281" i="1"/>
  <c r="C4280" i="1"/>
  <c r="C4279" i="1"/>
  <c r="C4278" i="1"/>
  <c r="C4277" i="1"/>
  <c r="C4276" i="1"/>
  <c r="C4275" i="1"/>
  <c r="C4274" i="1"/>
  <c r="C4273" i="1"/>
  <c r="C4272" i="1"/>
  <c r="C4271" i="1"/>
  <c r="C4270" i="1"/>
  <c r="C4269" i="1"/>
  <c r="C4268" i="1"/>
  <c r="C4267" i="1"/>
  <c r="C4266" i="1"/>
  <c r="C4265" i="1"/>
  <c r="C4264" i="1"/>
  <c r="C4263" i="1"/>
  <c r="C4262" i="1"/>
  <c r="C4261" i="1"/>
  <c r="C4260" i="1"/>
  <c r="C4259" i="1"/>
  <c r="C4258" i="1"/>
  <c r="C4257" i="1"/>
  <c r="C4256" i="1"/>
  <c r="C4255" i="1"/>
  <c r="C4254" i="1"/>
  <c r="C4253" i="1"/>
  <c r="C4252" i="1"/>
  <c r="C4251" i="1"/>
  <c r="C4250" i="1"/>
  <c r="C4249" i="1"/>
  <c r="C4248" i="1"/>
  <c r="C4247" i="1"/>
  <c r="C4246" i="1"/>
  <c r="C4245" i="1"/>
  <c r="C4244" i="1"/>
  <c r="C4243" i="1"/>
  <c r="C4242" i="1"/>
  <c r="C4241" i="1"/>
  <c r="C4240" i="1"/>
  <c r="C4239" i="1"/>
  <c r="C4238" i="1"/>
  <c r="C4237" i="1"/>
  <c r="C4236" i="1"/>
  <c r="C4235" i="1"/>
  <c r="C4234" i="1"/>
  <c r="C4233" i="1"/>
  <c r="C4232" i="1"/>
  <c r="C4231" i="1"/>
  <c r="C4230" i="1"/>
  <c r="C4229" i="1"/>
  <c r="C4228" i="1"/>
  <c r="C4227" i="1"/>
  <c r="C4226" i="1"/>
  <c r="C4225" i="1"/>
  <c r="C4224" i="1"/>
  <c r="C4223" i="1"/>
  <c r="C4222" i="1"/>
  <c r="C4221" i="1"/>
  <c r="C4220" i="1"/>
  <c r="C4219" i="1"/>
  <c r="C4218" i="1"/>
  <c r="C4217" i="1"/>
  <c r="C4216" i="1"/>
  <c r="C4215" i="1"/>
  <c r="C4214" i="1"/>
  <c r="C4213" i="1"/>
  <c r="C4212" i="1"/>
  <c r="C4211" i="1"/>
  <c r="C4210" i="1"/>
  <c r="C4209" i="1"/>
  <c r="C4208" i="1"/>
  <c r="C4207" i="1"/>
  <c r="C4206" i="1"/>
  <c r="C4205" i="1"/>
  <c r="C4204" i="1"/>
  <c r="C4203" i="1"/>
  <c r="C4202" i="1"/>
  <c r="C4201" i="1"/>
  <c r="C4200" i="1"/>
  <c r="C4199" i="1"/>
  <c r="C4198" i="1"/>
  <c r="C4197" i="1"/>
  <c r="C4196" i="1"/>
  <c r="C4195" i="1"/>
  <c r="C4194" i="1"/>
  <c r="C4193" i="1"/>
  <c r="C4192" i="1"/>
  <c r="C4191" i="1"/>
  <c r="C4190" i="1"/>
  <c r="C4189" i="1"/>
  <c r="C4188" i="1"/>
  <c r="C4187" i="1"/>
  <c r="C4186" i="1"/>
  <c r="C4185" i="1"/>
  <c r="C4184" i="1"/>
  <c r="C4183" i="1"/>
  <c r="C4182" i="1"/>
  <c r="C4181" i="1"/>
  <c r="C4180" i="1"/>
  <c r="C4179" i="1"/>
  <c r="C4178" i="1"/>
  <c r="C4177" i="1"/>
  <c r="C4176" i="1"/>
  <c r="C4175" i="1"/>
  <c r="C4174" i="1"/>
  <c r="C4173" i="1"/>
  <c r="C4172" i="1"/>
  <c r="C4171" i="1"/>
  <c r="C4170" i="1"/>
  <c r="C4169" i="1"/>
  <c r="C4168" i="1"/>
  <c r="C4167" i="1"/>
  <c r="C4166" i="1"/>
  <c r="C4165" i="1"/>
  <c r="C4164" i="1"/>
  <c r="C4163" i="1"/>
  <c r="C4162" i="1"/>
  <c r="C4161" i="1"/>
  <c r="C4160" i="1"/>
  <c r="C4159" i="1"/>
  <c r="C4158" i="1"/>
  <c r="C4157" i="1"/>
  <c r="C4156" i="1"/>
  <c r="C4155" i="1"/>
  <c r="C4154" i="1"/>
  <c r="C4153" i="1"/>
  <c r="C4152" i="1"/>
  <c r="C4151" i="1"/>
  <c r="C4150" i="1"/>
  <c r="C4149" i="1"/>
  <c r="C4148" i="1"/>
  <c r="C4147" i="1"/>
  <c r="C4146" i="1"/>
  <c r="C4145" i="1"/>
  <c r="C4144" i="1"/>
  <c r="C4143" i="1"/>
  <c r="C4142" i="1"/>
  <c r="C4141" i="1"/>
  <c r="C4140" i="1"/>
  <c r="C4139" i="1"/>
  <c r="C4138" i="1"/>
  <c r="C4137" i="1"/>
  <c r="C4136" i="1"/>
  <c r="C4135" i="1"/>
  <c r="C4134" i="1"/>
  <c r="C4133" i="1"/>
  <c r="C4132" i="1"/>
  <c r="C4131" i="1"/>
  <c r="C4130" i="1"/>
  <c r="C4129" i="1"/>
  <c r="C4128" i="1"/>
  <c r="C4127" i="1"/>
  <c r="C4126" i="1"/>
  <c r="C4125" i="1"/>
  <c r="C4124" i="1"/>
  <c r="C4123" i="1"/>
  <c r="C4122" i="1"/>
  <c r="C4121" i="1"/>
  <c r="C4120" i="1"/>
  <c r="C4119" i="1"/>
  <c r="C4118" i="1"/>
  <c r="C4117" i="1"/>
  <c r="C4116" i="1"/>
  <c r="C4115" i="1"/>
  <c r="C4114" i="1"/>
  <c r="C4113" i="1"/>
  <c r="C4112" i="1"/>
  <c r="C4111" i="1"/>
  <c r="C4110" i="1"/>
  <c r="C4109" i="1"/>
  <c r="C4108" i="1"/>
  <c r="C4107" i="1"/>
  <c r="C4106" i="1"/>
  <c r="C4105" i="1"/>
  <c r="C4104" i="1"/>
  <c r="C4103" i="1"/>
  <c r="C4102" i="1"/>
  <c r="C4101" i="1"/>
  <c r="C4100" i="1"/>
  <c r="C4099" i="1"/>
  <c r="C4098" i="1"/>
  <c r="C4097" i="1"/>
  <c r="C4096" i="1"/>
  <c r="C4095" i="1"/>
  <c r="C4094" i="1"/>
  <c r="C4093" i="1"/>
  <c r="C4092" i="1"/>
  <c r="C4091" i="1"/>
  <c r="C4090" i="1"/>
  <c r="C4089" i="1"/>
  <c r="C4088" i="1"/>
  <c r="C4087" i="1"/>
  <c r="C4086" i="1"/>
  <c r="C4085" i="1"/>
  <c r="C4084" i="1"/>
  <c r="C4083" i="1"/>
  <c r="C4082" i="1"/>
  <c r="C4081" i="1"/>
  <c r="C4080" i="1"/>
  <c r="C4079" i="1"/>
  <c r="C4078" i="1"/>
  <c r="C4077" i="1"/>
  <c r="C4076" i="1"/>
  <c r="C4075" i="1"/>
  <c r="C4074" i="1"/>
  <c r="C4073" i="1"/>
  <c r="C4072" i="1"/>
  <c r="C4071" i="1"/>
  <c r="C4070" i="1"/>
  <c r="C4069" i="1"/>
  <c r="C4068" i="1"/>
  <c r="C4067" i="1"/>
  <c r="C4066" i="1"/>
  <c r="C4065" i="1"/>
  <c r="C4064" i="1"/>
  <c r="C4063" i="1"/>
  <c r="C4062" i="1"/>
  <c r="C4061" i="1"/>
  <c r="C4060" i="1"/>
  <c r="C4059" i="1"/>
  <c r="C4058" i="1"/>
  <c r="C4057" i="1"/>
  <c r="C4056" i="1"/>
  <c r="C4055" i="1"/>
  <c r="C4054" i="1"/>
  <c r="C4053" i="1"/>
  <c r="C4052" i="1"/>
  <c r="C4051" i="1"/>
  <c r="C4050" i="1"/>
  <c r="C4049" i="1"/>
  <c r="C4048" i="1"/>
  <c r="C4047" i="1"/>
  <c r="C4046" i="1"/>
  <c r="C4045" i="1"/>
  <c r="C4044" i="1"/>
  <c r="C4043" i="1"/>
  <c r="C4042" i="1"/>
  <c r="C4041" i="1"/>
  <c r="C4040" i="1"/>
  <c r="C4039" i="1"/>
  <c r="C4038" i="1"/>
  <c r="C4037" i="1"/>
  <c r="C4036" i="1"/>
  <c r="C4035" i="1"/>
  <c r="C4034" i="1"/>
  <c r="C4033" i="1"/>
  <c r="C4032" i="1"/>
  <c r="C4031" i="1"/>
  <c r="C4030" i="1"/>
  <c r="C4029" i="1"/>
  <c r="C4028" i="1"/>
  <c r="C4027" i="1"/>
  <c r="C4026" i="1"/>
  <c r="C4025" i="1"/>
  <c r="C4024" i="1"/>
  <c r="C4023" i="1"/>
  <c r="C4022" i="1"/>
  <c r="C4021" i="1"/>
  <c r="C4020" i="1"/>
  <c r="C4019" i="1"/>
  <c r="C4018" i="1"/>
  <c r="C4017" i="1"/>
  <c r="C4016" i="1"/>
  <c r="C4015" i="1"/>
  <c r="C4014" i="1"/>
  <c r="C4013" i="1"/>
  <c r="C4012" i="1"/>
  <c r="C4011" i="1"/>
  <c r="C4010" i="1"/>
  <c r="C4009" i="1"/>
  <c r="C4008" i="1"/>
  <c r="C4007" i="1"/>
  <c r="C4006" i="1"/>
  <c r="C4005" i="1"/>
  <c r="C4004" i="1"/>
  <c r="C4003" i="1"/>
  <c r="C4002" i="1"/>
  <c r="C4001" i="1"/>
  <c r="C4000" i="1"/>
  <c r="C3999" i="1"/>
  <c r="C3998" i="1"/>
  <c r="C3997" i="1"/>
  <c r="C3996" i="1"/>
  <c r="C3995" i="1"/>
  <c r="C3994" i="1"/>
  <c r="C3993" i="1"/>
  <c r="C3992" i="1"/>
  <c r="C3991" i="1"/>
  <c r="C3990" i="1"/>
  <c r="C3989" i="1"/>
  <c r="C3988" i="1"/>
  <c r="C3987" i="1"/>
  <c r="C3986" i="1"/>
  <c r="C3985" i="1"/>
  <c r="C3984" i="1"/>
  <c r="C3983" i="1"/>
  <c r="C3982" i="1"/>
  <c r="C3981" i="1"/>
  <c r="C3980" i="1"/>
  <c r="C3979" i="1"/>
  <c r="C3978" i="1"/>
  <c r="C3977" i="1"/>
  <c r="C3976" i="1"/>
  <c r="C3975" i="1"/>
  <c r="C3974" i="1"/>
  <c r="C3973" i="1"/>
  <c r="C3972" i="1"/>
  <c r="C3971" i="1"/>
  <c r="C3970" i="1"/>
  <c r="C3969" i="1"/>
  <c r="C3968" i="1"/>
  <c r="C3967" i="1"/>
  <c r="C3966" i="1"/>
  <c r="C3965" i="1"/>
  <c r="C3964" i="1"/>
  <c r="C3963" i="1"/>
  <c r="C3962" i="1"/>
  <c r="C3961" i="1"/>
  <c r="C3960" i="1"/>
  <c r="C3959" i="1"/>
  <c r="C3958" i="1"/>
  <c r="C3957" i="1"/>
  <c r="C3956" i="1"/>
  <c r="C3955" i="1"/>
  <c r="C3954" i="1"/>
  <c r="C3953" i="1"/>
  <c r="C3952" i="1"/>
  <c r="C3951" i="1"/>
  <c r="C3950" i="1"/>
  <c r="C3949" i="1"/>
  <c r="C3948" i="1"/>
  <c r="C3947" i="1"/>
  <c r="C3946" i="1"/>
  <c r="C3945" i="1"/>
  <c r="C3944" i="1"/>
  <c r="C3943" i="1"/>
  <c r="C3942" i="1"/>
  <c r="C3941" i="1"/>
  <c r="C3940" i="1"/>
  <c r="C3939" i="1"/>
  <c r="C3938" i="1"/>
  <c r="C3937" i="1"/>
  <c r="C3936" i="1"/>
  <c r="C3935" i="1"/>
  <c r="C3934" i="1"/>
  <c r="C3933" i="1"/>
  <c r="C3932" i="1"/>
  <c r="C3931" i="1"/>
  <c r="C3930" i="1"/>
  <c r="C3929" i="1"/>
  <c r="C3928" i="1"/>
  <c r="C3927" i="1"/>
  <c r="C3926" i="1"/>
  <c r="C3925" i="1"/>
  <c r="C3924" i="1"/>
  <c r="C3923" i="1"/>
  <c r="C3922" i="1"/>
  <c r="C3921" i="1"/>
  <c r="C3920" i="1"/>
  <c r="C3919" i="1"/>
  <c r="C3918" i="1"/>
  <c r="C3917" i="1"/>
  <c r="C3916" i="1"/>
  <c r="C3915" i="1"/>
  <c r="C3914" i="1"/>
  <c r="C3913" i="1"/>
  <c r="C3912" i="1"/>
  <c r="C3911" i="1"/>
  <c r="C3910" i="1"/>
  <c r="C3909" i="1"/>
  <c r="C3908" i="1"/>
  <c r="C3907" i="1"/>
  <c r="C3906" i="1"/>
  <c r="C3905" i="1"/>
  <c r="C3904" i="1"/>
  <c r="C3903" i="1"/>
  <c r="C3902" i="1"/>
  <c r="C3901" i="1"/>
  <c r="C3900" i="1"/>
  <c r="C3899" i="1"/>
  <c r="C3898" i="1"/>
  <c r="C3897" i="1"/>
  <c r="C3896" i="1"/>
  <c r="C3895" i="1"/>
  <c r="C3894" i="1"/>
  <c r="C3893" i="1"/>
  <c r="C3892" i="1"/>
  <c r="C3891" i="1"/>
  <c r="C3890" i="1"/>
  <c r="C3889" i="1"/>
  <c r="C3888" i="1"/>
  <c r="C3887" i="1"/>
  <c r="C3886" i="1"/>
  <c r="C3885" i="1"/>
  <c r="C3884" i="1"/>
  <c r="C3883" i="1"/>
  <c r="C3882" i="1"/>
  <c r="C3881" i="1"/>
  <c r="C3880" i="1"/>
  <c r="C3879" i="1"/>
  <c r="C3878" i="1"/>
  <c r="C3877" i="1"/>
  <c r="C3876" i="1"/>
  <c r="C3875" i="1"/>
  <c r="C3874" i="1"/>
  <c r="C3873" i="1"/>
  <c r="C3872" i="1"/>
  <c r="C3871" i="1"/>
  <c r="C3870" i="1"/>
  <c r="C3869" i="1"/>
  <c r="C3868" i="1"/>
  <c r="C3867" i="1"/>
  <c r="C3866" i="1"/>
  <c r="C3865" i="1"/>
  <c r="C3864" i="1"/>
  <c r="C3863" i="1"/>
  <c r="C3862" i="1"/>
  <c r="C3861" i="1"/>
  <c r="C3860" i="1"/>
  <c r="C3859" i="1"/>
  <c r="C3858" i="1"/>
  <c r="C3857" i="1"/>
  <c r="C3856" i="1"/>
  <c r="C3855" i="1"/>
  <c r="C3854" i="1"/>
  <c r="C3853" i="1"/>
  <c r="C3852" i="1"/>
  <c r="C3851" i="1"/>
  <c r="C3850" i="1"/>
  <c r="C3849" i="1"/>
  <c r="C3848" i="1"/>
  <c r="C3847" i="1"/>
  <c r="C3846" i="1"/>
  <c r="C3845" i="1"/>
  <c r="C3844" i="1"/>
  <c r="C3843" i="1"/>
  <c r="C3842" i="1"/>
  <c r="C3841" i="1"/>
  <c r="C3840" i="1"/>
  <c r="C3839" i="1"/>
  <c r="C3838" i="1"/>
  <c r="C3837" i="1"/>
  <c r="C3836" i="1"/>
  <c r="C3835" i="1"/>
  <c r="C3834" i="1"/>
  <c r="C3833" i="1"/>
  <c r="C3832" i="1"/>
  <c r="C3831" i="1"/>
  <c r="C3830" i="1"/>
  <c r="C3829" i="1"/>
  <c r="C3828" i="1"/>
  <c r="C3827" i="1"/>
  <c r="C3826" i="1"/>
  <c r="C3825" i="1"/>
  <c r="C3824" i="1"/>
  <c r="C3823" i="1"/>
  <c r="C3822" i="1"/>
  <c r="C3821" i="1"/>
  <c r="C3820" i="1"/>
  <c r="C3819" i="1"/>
  <c r="C3818" i="1"/>
  <c r="C3817" i="1"/>
  <c r="C3816" i="1"/>
  <c r="C3815" i="1"/>
  <c r="C3814" i="1"/>
  <c r="C3813" i="1"/>
  <c r="C3812" i="1"/>
  <c r="C3811" i="1"/>
  <c r="C3810" i="1"/>
  <c r="C3809" i="1"/>
  <c r="C3808" i="1"/>
  <c r="C3807" i="1"/>
  <c r="C3806" i="1"/>
  <c r="C3805" i="1"/>
  <c r="C3804" i="1"/>
  <c r="C3803" i="1"/>
  <c r="C3802" i="1"/>
  <c r="C3801" i="1"/>
  <c r="C3800" i="1"/>
  <c r="C3799" i="1"/>
  <c r="C3798" i="1"/>
  <c r="C3797" i="1"/>
  <c r="C3796" i="1"/>
  <c r="C3795" i="1"/>
  <c r="C3794" i="1"/>
  <c r="C3793" i="1"/>
  <c r="C3792" i="1"/>
  <c r="C3791" i="1"/>
  <c r="C3790" i="1"/>
  <c r="C3789" i="1"/>
  <c r="C3788" i="1"/>
  <c r="C3787" i="1"/>
  <c r="C3786" i="1"/>
  <c r="C3785" i="1"/>
  <c r="C3784" i="1"/>
  <c r="C3783" i="1"/>
  <c r="C3782" i="1"/>
  <c r="C3781" i="1"/>
  <c r="C3780" i="1"/>
  <c r="C3779" i="1"/>
  <c r="C3778" i="1"/>
  <c r="C3777" i="1"/>
  <c r="C3776" i="1"/>
  <c r="C3775" i="1"/>
  <c r="C3774" i="1"/>
  <c r="C3773" i="1"/>
  <c r="C3772" i="1"/>
  <c r="C3771" i="1"/>
  <c r="C3770" i="1"/>
  <c r="C3769" i="1"/>
  <c r="C3768" i="1"/>
  <c r="C3767" i="1"/>
  <c r="C3766" i="1"/>
  <c r="C3765" i="1"/>
  <c r="C3764" i="1"/>
  <c r="C3763" i="1"/>
  <c r="C3762" i="1"/>
  <c r="C3761" i="1"/>
  <c r="C3760" i="1"/>
  <c r="C3759" i="1"/>
  <c r="C3758" i="1"/>
  <c r="C3757" i="1"/>
  <c r="C3756" i="1"/>
  <c r="C3755" i="1"/>
  <c r="C3754" i="1"/>
  <c r="C3753" i="1"/>
  <c r="C3752" i="1"/>
  <c r="C3751" i="1"/>
  <c r="C3750" i="1"/>
  <c r="C3749" i="1"/>
  <c r="C3748" i="1"/>
  <c r="C3747" i="1"/>
  <c r="C3746" i="1"/>
  <c r="C3745" i="1"/>
  <c r="C3744" i="1"/>
  <c r="C3743" i="1"/>
  <c r="C3742" i="1"/>
  <c r="C3741" i="1"/>
  <c r="C3740" i="1"/>
  <c r="C3739" i="1"/>
  <c r="C3738" i="1"/>
  <c r="C3737" i="1"/>
  <c r="C3736" i="1"/>
  <c r="C3735" i="1"/>
  <c r="C3734" i="1"/>
  <c r="C3733" i="1"/>
  <c r="C3732" i="1"/>
  <c r="C3731" i="1"/>
  <c r="C3730" i="1"/>
  <c r="C3729" i="1"/>
  <c r="C3728" i="1"/>
  <c r="C3727" i="1"/>
  <c r="C3726" i="1"/>
  <c r="C3725" i="1"/>
  <c r="C3724" i="1"/>
  <c r="C3723" i="1"/>
  <c r="C3722" i="1"/>
  <c r="C3721" i="1"/>
  <c r="C3720" i="1"/>
  <c r="C3719" i="1"/>
  <c r="C3718" i="1"/>
  <c r="C3717" i="1"/>
  <c r="C3716" i="1"/>
  <c r="C3715" i="1"/>
  <c r="C3714" i="1"/>
  <c r="C3713" i="1"/>
  <c r="C3712" i="1"/>
  <c r="C3711" i="1"/>
  <c r="C3710" i="1"/>
  <c r="C3709" i="1"/>
  <c r="C3708" i="1"/>
  <c r="C3707" i="1"/>
  <c r="C3706" i="1"/>
  <c r="C3705" i="1"/>
  <c r="C3704" i="1"/>
  <c r="C3703" i="1"/>
  <c r="C3702" i="1"/>
  <c r="C3701" i="1"/>
  <c r="C3700" i="1"/>
  <c r="C3699" i="1"/>
  <c r="C3698" i="1"/>
  <c r="C3697" i="1"/>
  <c r="C3696" i="1"/>
  <c r="C3695" i="1"/>
  <c r="C3694" i="1"/>
  <c r="C3693" i="1"/>
  <c r="C3692" i="1"/>
  <c r="C3691" i="1"/>
  <c r="C3690" i="1"/>
  <c r="C3689" i="1"/>
  <c r="C3688" i="1"/>
  <c r="C3687" i="1"/>
  <c r="C3686" i="1"/>
  <c r="C3685" i="1"/>
  <c r="C3684" i="1"/>
  <c r="C3683" i="1"/>
  <c r="C3682" i="1"/>
  <c r="C3681" i="1"/>
  <c r="C3680" i="1"/>
  <c r="C3679" i="1"/>
  <c r="C3678" i="1"/>
  <c r="C3677" i="1"/>
  <c r="C3676" i="1"/>
  <c r="C3675" i="1"/>
  <c r="C3674" i="1"/>
  <c r="C3673" i="1"/>
  <c r="C3672" i="1"/>
  <c r="C3671" i="1"/>
  <c r="C3670" i="1"/>
  <c r="C3669" i="1"/>
  <c r="C3668" i="1"/>
  <c r="C3667" i="1"/>
  <c r="C3666" i="1"/>
  <c r="C3665" i="1"/>
  <c r="C3664" i="1"/>
  <c r="C3663" i="1"/>
  <c r="C3662" i="1"/>
  <c r="C3661" i="1"/>
  <c r="C3660" i="1"/>
  <c r="C3659" i="1"/>
  <c r="C3658" i="1"/>
  <c r="C3657" i="1"/>
  <c r="C3656" i="1"/>
  <c r="C3655" i="1"/>
  <c r="C3654" i="1"/>
  <c r="C3653" i="1"/>
  <c r="C3652" i="1"/>
  <c r="C3651" i="1"/>
  <c r="C3650" i="1"/>
  <c r="C3649" i="1"/>
  <c r="C3648" i="1"/>
  <c r="C3647" i="1"/>
  <c r="C3646" i="1"/>
  <c r="C3645" i="1"/>
  <c r="C3644" i="1"/>
  <c r="C3643" i="1"/>
  <c r="C3642" i="1"/>
  <c r="C3641" i="1"/>
  <c r="C3640" i="1"/>
  <c r="C3639" i="1"/>
  <c r="C3638" i="1"/>
  <c r="C3637" i="1"/>
  <c r="C3636" i="1"/>
  <c r="C3635" i="1"/>
  <c r="C3634" i="1"/>
  <c r="C3633" i="1"/>
  <c r="C3632" i="1"/>
  <c r="C3631" i="1"/>
  <c r="C3630" i="1"/>
  <c r="C3629" i="1"/>
  <c r="C3628" i="1"/>
  <c r="C3627" i="1"/>
  <c r="C3626" i="1"/>
  <c r="C3625" i="1"/>
  <c r="C3624" i="1"/>
  <c r="C3623" i="1"/>
  <c r="C3622" i="1"/>
  <c r="C3621" i="1"/>
  <c r="C3620" i="1"/>
  <c r="C3619" i="1"/>
  <c r="C3618" i="1"/>
  <c r="C3617" i="1"/>
  <c r="C3616" i="1"/>
  <c r="C3615" i="1"/>
  <c r="C3614" i="1"/>
  <c r="C3613" i="1"/>
  <c r="C3612" i="1"/>
  <c r="C3611" i="1"/>
  <c r="C3610" i="1"/>
  <c r="C3609" i="1"/>
  <c r="C3608" i="1"/>
  <c r="C3607" i="1"/>
  <c r="C3606" i="1"/>
  <c r="C3605" i="1"/>
  <c r="C3604" i="1"/>
  <c r="C3603" i="1"/>
  <c r="C3602" i="1"/>
  <c r="C3601" i="1"/>
  <c r="C3600" i="1"/>
  <c r="C3599" i="1"/>
  <c r="C3598" i="1"/>
  <c r="C3597" i="1"/>
  <c r="C3596" i="1"/>
  <c r="C3595" i="1"/>
  <c r="C3594" i="1"/>
  <c r="C3593" i="1"/>
  <c r="C3592" i="1"/>
  <c r="C3591" i="1"/>
  <c r="C3590" i="1"/>
  <c r="C3589" i="1"/>
  <c r="C3588" i="1"/>
  <c r="C3587" i="1"/>
  <c r="C3586" i="1"/>
  <c r="C3585" i="1"/>
  <c r="C3584" i="1"/>
  <c r="C3583" i="1"/>
  <c r="C3582" i="1"/>
  <c r="C3581" i="1"/>
  <c r="C3580" i="1"/>
  <c r="C3579" i="1"/>
  <c r="C3578" i="1"/>
  <c r="C3577" i="1"/>
  <c r="C3576" i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542" i="1"/>
  <c r="C3541" i="1"/>
  <c r="C3540" i="1"/>
  <c r="C3539" i="1"/>
  <c r="C3538" i="1"/>
  <c r="C3537" i="1"/>
  <c r="C3536" i="1"/>
  <c r="C3535" i="1"/>
  <c r="C3534" i="1"/>
  <c r="C3533" i="1"/>
  <c r="C3532" i="1"/>
  <c r="C3531" i="1"/>
  <c r="C3530" i="1"/>
  <c r="C3529" i="1"/>
  <c r="C3528" i="1"/>
  <c r="C3527" i="1"/>
  <c r="C3526" i="1"/>
  <c r="C3525" i="1"/>
  <c r="C3524" i="1"/>
  <c r="C3523" i="1"/>
  <c r="C3522" i="1"/>
  <c r="C3521" i="1"/>
  <c r="C3520" i="1"/>
  <c r="C3519" i="1"/>
  <c r="C3518" i="1"/>
  <c r="C3517" i="1"/>
  <c r="C3516" i="1"/>
  <c r="C3515" i="1"/>
  <c r="C3514" i="1"/>
  <c r="C3513" i="1"/>
  <c r="C3512" i="1"/>
  <c r="C3511" i="1"/>
  <c r="C3510" i="1"/>
  <c r="C3509" i="1"/>
  <c r="C3508" i="1"/>
  <c r="C3507" i="1"/>
  <c r="C3506" i="1"/>
  <c r="C3505" i="1"/>
  <c r="C3504" i="1"/>
  <c r="C3503" i="1"/>
  <c r="C3502" i="1"/>
  <c r="C3501" i="1"/>
  <c r="C3500" i="1"/>
  <c r="C3499" i="1"/>
  <c r="C3498" i="1"/>
  <c r="C3497" i="1"/>
  <c r="C3496" i="1"/>
  <c r="C3495" i="1"/>
  <c r="C3494" i="1"/>
  <c r="C3493" i="1"/>
  <c r="C3492" i="1"/>
  <c r="C3491" i="1"/>
  <c r="C3490" i="1"/>
  <c r="C3489" i="1"/>
  <c r="C3488" i="1"/>
  <c r="C3487" i="1"/>
  <c r="C3486" i="1"/>
  <c r="C3485" i="1"/>
  <c r="C3484" i="1"/>
  <c r="C3483" i="1"/>
  <c r="C3482" i="1"/>
  <c r="C3481" i="1"/>
  <c r="C3480" i="1"/>
  <c r="C3479" i="1"/>
  <c r="C3478" i="1"/>
  <c r="C3477" i="1"/>
  <c r="C3476" i="1"/>
  <c r="C3475" i="1"/>
  <c r="C3474" i="1"/>
  <c r="C3473" i="1"/>
  <c r="C3472" i="1"/>
  <c r="C3471" i="1"/>
  <c r="C3470" i="1"/>
  <c r="C3469" i="1"/>
  <c r="C3468" i="1"/>
  <c r="C3467" i="1"/>
  <c r="C3466" i="1"/>
  <c r="C3465" i="1"/>
  <c r="C3464" i="1"/>
  <c r="C3463" i="1"/>
  <c r="C3462" i="1"/>
  <c r="C3461" i="1"/>
  <c r="C3460" i="1"/>
  <c r="C3459" i="1"/>
  <c r="C3458" i="1"/>
  <c r="C3457" i="1"/>
  <c r="C3456" i="1"/>
  <c r="C3455" i="1"/>
  <c r="C3454" i="1"/>
  <c r="C3453" i="1"/>
  <c r="C3452" i="1"/>
  <c r="C3451" i="1"/>
  <c r="C3450" i="1"/>
  <c r="C3449" i="1"/>
  <c r="C3448" i="1"/>
  <c r="C3447" i="1"/>
  <c r="C3446" i="1"/>
  <c r="C3445" i="1"/>
  <c r="C3444" i="1"/>
  <c r="C3443" i="1"/>
  <c r="C3442" i="1"/>
  <c r="C3441" i="1"/>
  <c r="C3440" i="1"/>
  <c r="C3439" i="1"/>
  <c r="C3438" i="1"/>
  <c r="C3437" i="1"/>
  <c r="C3436" i="1"/>
  <c r="C3435" i="1"/>
  <c r="C3434" i="1"/>
  <c r="C3433" i="1"/>
  <c r="C3432" i="1"/>
  <c r="C3431" i="1"/>
  <c r="C3430" i="1"/>
  <c r="C3429" i="1"/>
  <c r="C3428" i="1"/>
  <c r="C3427" i="1"/>
  <c r="C3426" i="1"/>
  <c r="C3425" i="1"/>
  <c r="C3424" i="1"/>
  <c r="C3423" i="1"/>
  <c r="C3422" i="1"/>
  <c r="C3421" i="1"/>
  <c r="C3420" i="1"/>
  <c r="C3419" i="1"/>
  <c r="C3418" i="1"/>
  <c r="C3417" i="1"/>
  <c r="C3416" i="1"/>
  <c r="C3415" i="1"/>
  <c r="C3414" i="1"/>
  <c r="C3413" i="1"/>
  <c r="C3412" i="1"/>
  <c r="C3411" i="1"/>
  <c r="C3410" i="1"/>
  <c r="C3409" i="1"/>
  <c r="C3408" i="1"/>
  <c r="C3407" i="1"/>
  <c r="C3406" i="1"/>
  <c r="C3405" i="1"/>
  <c r="C3404" i="1"/>
  <c r="C3403" i="1"/>
  <c r="C3402" i="1"/>
  <c r="C3401" i="1"/>
  <c r="C3400" i="1"/>
  <c r="C3399" i="1"/>
  <c r="C3398" i="1"/>
  <c r="C3397" i="1"/>
  <c r="C3396" i="1"/>
  <c r="C3395" i="1"/>
  <c r="C3394" i="1"/>
  <c r="C3393" i="1"/>
  <c r="C3392" i="1"/>
  <c r="C3391" i="1"/>
  <c r="C3390" i="1"/>
  <c r="C3389" i="1"/>
  <c r="C3388" i="1"/>
  <c r="C3387" i="1"/>
  <c r="C3386" i="1"/>
  <c r="C3385" i="1"/>
  <c r="C3384" i="1"/>
  <c r="C3383" i="1"/>
  <c r="C3382" i="1"/>
  <c r="C3381" i="1"/>
  <c r="C3380" i="1"/>
  <c r="C3379" i="1"/>
  <c r="C3378" i="1"/>
  <c r="C3377" i="1"/>
  <c r="C3376" i="1"/>
  <c r="C3375" i="1"/>
  <c r="C3374" i="1"/>
  <c r="C3373" i="1"/>
  <c r="C3372" i="1"/>
  <c r="C3371" i="1"/>
  <c r="C3370" i="1"/>
  <c r="C3369" i="1"/>
  <c r="C3368" i="1"/>
  <c r="C3367" i="1"/>
  <c r="C3366" i="1"/>
  <c r="C3365" i="1"/>
  <c r="C3364" i="1"/>
  <c r="C3363" i="1"/>
  <c r="C3362" i="1"/>
  <c r="C3361" i="1"/>
  <c r="C3360" i="1"/>
  <c r="C3359" i="1"/>
  <c r="C3358" i="1"/>
  <c r="C3357" i="1"/>
  <c r="C3356" i="1"/>
  <c r="C3355" i="1"/>
  <c r="C3354" i="1"/>
  <c r="C3353" i="1"/>
  <c r="C3352" i="1"/>
  <c r="C3351" i="1"/>
  <c r="C3350" i="1"/>
  <c r="C3349" i="1"/>
  <c r="C3348" i="1"/>
  <c r="C3347" i="1"/>
  <c r="C3346" i="1"/>
  <c r="C3345" i="1"/>
  <c r="C3344" i="1"/>
  <c r="C3343" i="1"/>
  <c r="C3342" i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9" i="1"/>
  <c r="C3328" i="1"/>
  <c r="C3327" i="1"/>
  <c r="C3326" i="1"/>
  <c r="C3325" i="1"/>
  <c r="C3324" i="1"/>
  <c r="C3323" i="1"/>
  <c r="C3322" i="1"/>
  <c r="C3321" i="1"/>
  <c r="C3320" i="1"/>
  <c r="C3319" i="1"/>
  <c r="C3318" i="1"/>
  <c r="C3317" i="1"/>
  <c r="C3316" i="1"/>
  <c r="C3315" i="1"/>
  <c r="C3314" i="1"/>
  <c r="C3313" i="1"/>
  <c r="C3312" i="1"/>
  <c r="C3311" i="1"/>
  <c r="C3310" i="1"/>
  <c r="C3309" i="1"/>
  <c r="C3308" i="1"/>
  <c r="C3307" i="1"/>
  <c r="C3306" i="1"/>
  <c r="C3305" i="1"/>
  <c r="C3304" i="1"/>
  <c r="C3303" i="1"/>
  <c r="C3302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4" i="1"/>
  <c r="C3283" i="1"/>
  <c r="C3282" i="1"/>
  <c r="C3281" i="1"/>
  <c r="C3280" i="1"/>
  <c r="C3279" i="1"/>
  <c r="C3278" i="1"/>
  <c r="C3277" i="1"/>
  <c r="C3276" i="1"/>
  <c r="C3275" i="1"/>
  <c r="C3274" i="1"/>
  <c r="C3273" i="1"/>
  <c r="C3272" i="1"/>
  <c r="C3271" i="1"/>
  <c r="C3270" i="1"/>
  <c r="C3269" i="1"/>
  <c r="C3268" i="1"/>
  <c r="C3267" i="1"/>
  <c r="C3266" i="1"/>
  <c r="C3265" i="1"/>
  <c r="C3264" i="1"/>
  <c r="C3263" i="1"/>
  <c r="C3262" i="1"/>
  <c r="C3261" i="1"/>
  <c r="C3260" i="1"/>
  <c r="C3259" i="1"/>
  <c r="C3258" i="1"/>
  <c r="C3257" i="1"/>
  <c r="C3256" i="1"/>
  <c r="C3255" i="1"/>
  <c r="C3254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8" i="1"/>
  <c r="C3237" i="1"/>
  <c r="C3236" i="1"/>
  <c r="C3235" i="1"/>
  <c r="C3234" i="1"/>
  <c r="C3233" i="1"/>
  <c r="C3232" i="1"/>
  <c r="C3231" i="1"/>
  <c r="C3230" i="1"/>
  <c r="C3229" i="1"/>
  <c r="C3228" i="1"/>
  <c r="C3227" i="1"/>
  <c r="C3226" i="1"/>
  <c r="C3225" i="1"/>
  <c r="C3224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3" i="1"/>
  <c r="C3192" i="1"/>
  <c r="C3191" i="1"/>
  <c r="C3190" i="1"/>
  <c r="C3189" i="1"/>
  <c r="C3188" i="1"/>
  <c r="C3187" i="1"/>
  <c r="C3186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7" i="1"/>
  <c r="C3146" i="1"/>
  <c r="C3145" i="1"/>
  <c r="C3144" i="1"/>
  <c r="C3143" i="1"/>
  <c r="C3142" i="1"/>
  <c r="C3141" i="1"/>
  <c r="C3140" i="1"/>
  <c r="C3139" i="1"/>
  <c r="C3138" i="1"/>
  <c r="C3137" i="1"/>
  <c r="C3136" i="1"/>
  <c r="C3135" i="1"/>
  <c r="C3134" i="1"/>
  <c r="C3133" i="1"/>
  <c r="C3132" i="1"/>
  <c r="C3131" i="1"/>
  <c r="C3130" i="1"/>
  <c r="C3129" i="1"/>
  <c r="C3128" i="1"/>
  <c r="C3127" i="1"/>
  <c r="C3126" i="1"/>
  <c r="C3125" i="1"/>
  <c r="C3124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10" i="1"/>
  <c r="C3109" i="1"/>
  <c r="C3108" i="1"/>
  <c r="C3107" i="1"/>
  <c r="C3106" i="1"/>
  <c r="C3105" i="1"/>
  <c r="C3104" i="1"/>
  <c r="C3103" i="1"/>
  <c r="C3102" i="1"/>
  <c r="C3101" i="1"/>
  <c r="C3100" i="1"/>
  <c r="C3099" i="1"/>
  <c r="C3098" i="1"/>
  <c r="C3097" i="1"/>
  <c r="C3096" i="1"/>
  <c r="C3095" i="1"/>
  <c r="C3094" i="1"/>
  <c r="C3093" i="1"/>
  <c r="C3092" i="1"/>
  <c r="C3091" i="1"/>
  <c r="C3090" i="1"/>
  <c r="C3089" i="1"/>
  <c r="C3088" i="1"/>
  <c r="C3087" i="1"/>
  <c r="C3086" i="1"/>
  <c r="C3085" i="1"/>
  <c r="C3084" i="1"/>
  <c r="C3083" i="1"/>
  <c r="C3082" i="1"/>
  <c r="C3081" i="1"/>
  <c r="C3080" i="1"/>
  <c r="C3079" i="1"/>
  <c r="C3078" i="1"/>
  <c r="C3077" i="1"/>
  <c r="C3076" i="1"/>
  <c r="C3075" i="1"/>
  <c r="C3074" i="1"/>
  <c r="C3073" i="1"/>
  <c r="C3072" i="1"/>
  <c r="C3071" i="1"/>
  <c r="C3070" i="1"/>
  <c r="C3069" i="1"/>
  <c r="C3068" i="1"/>
  <c r="C3067" i="1"/>
  <c r="C3066" i="1"/>
  <c r="C3065" i="1"/>
  <c r="C3064" i="1"/>
  <c r="C3063" i="1"/>
  <c r="C3062" i="1"/>
  <c r="C3061" i="1"/>
  <c r="C3060" i="1"/>
  <c r="C3059" i="1"/>
  <c r="C3058" i="1"/>
  <c r="C3057" i="1"/>
  <c r="C3056" i="1"/>
  <c r="C3055" i="1"/>
  <c r="C3054" i="1"/>
  <c r="C3053" i="1"/>
  <c r="C3052" i="1"/>
  <c r="C3051" i="1"/>
  <c r="C3050" i="1"/>
  <c r="C3049" i="1"/>
  <c r="C3048" i="1"/>
  <c r="C3047" i="1"/>
  <c r="C3046" i="1"/>
  <c r="C3045" i="1"/>
  <c r="C3044" i="1"/>
  <c r="C3043" i="1"/>
  <c r="C3042" i="1"/>
  <c r="C3041" i="1"/>
  <c r="C3040" i="1"/>
  <c r="C3039" i="1"/>
  <c r="C3038" i="1"/>
  <c r="C3037" i="1"/>
  <c r="C3036" i="1"/>
  <c r="C3035" i="1"/>
  <c r="C3034" i="1"/>
  <c r="C3033" i="1"/>
  <c r="C3032" i="1"/>
  <c r="C3031" i="1"/>
  <c r="C3030" i="1"/>
  <c r="C3029" i="1"/>
  <c r="C3028" i="1"/>
  <c r="C3027" i="1"/>
  <c r="C3026" i="1"/>
  <c r="C3025" i="1"/>
  <c r="C3024" i="1"/>
  <c r="C3023" i="1"/>
  <c r="C3022" i="1"/>
  <c r="C3021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00" i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<sst xmlns="http://schemas.openxmlformats.org/spreadsheetml/2006/main" count="8631" uniqueCount="8362">
  <si>
    <t>Gene Symbol</t>
  </si>
  <si>
    <t>Virtual Blot</t>
  </si>
  <si>
    <t>Annotation</t>
  </si>
  <si>
    <t>Abundance</t>
  </si>
  <si>
    <t xml:space="preserve">APOBEC1 complementation factor </t>
  </si>
  <si>
    <t>lactosylceramide 4-alpha-galactosyltransferase</t>
  </si>
  <si>
    <t xml:space="preserve">aladin </t>
  </si>
  <si>
    <t>acetoacetyl-CoA synthetase</t>
  </si>
  <si>
    <t xml:space="preserve">alpha- and gamma-adaptin-binding protein p34 </t>
  </si>
  <si>
    <t>AP2 associated kinase 1 isoform 2</t>
  </si>
  <si>
    <t>AP2 associated kinase 1 isoform 1</t>
  </si>
  <si>
    <t>UPF0366 protein C11orf67 homolog isoform 1</t>
  </si>
  <si>
    <t>UPF0366 protein C11orf67 homolog isoform 3</t>
  </si>
  <si>
    <t>UPF0366 protein C11orf67 homolog isoform 4</t>
  </si>
  <si>
    <t>UPF0366 protein C11orf67 homolog isoform 2</t>
  </si>
  <si>
    <t>angio-associated migratory cell protein isoform 1</t>
  </si>
  <si>
    <t>angio-associated migratory cell protein isoform 2</t>
  </si>
  <si>
    <t xml:space="preserve">protein AAR2 homolog </t>
  </si>
  <si>
    <t xml:space="preserve">alanine--tRNA ligase, cytoplasmic </t>
  </si>
  <si>
    <t>alanine--tRNA ligase, mitochondrial precursor</t>
  </si>
  <si>
    <t>alanyl-tRNA editing protein Aarsd1</t>
  </si>
  <si>
    <t xml:space="preserve">L-aminoadipate-semialdehyde dehydrogenase-phosphopantetheinyl transferase </t>
  </si>
  <si>
    <t>protein AATF</t>
  </si>
  <si>
    <t>4-aminobutyrate aminotransferase, mitochondrial isoform 2 precursor</t>
  </si>
  <si>
    <t>4-aminobutyrate aminotransferase, mitochondrial isoform 1 precursor</t>
  </si>
  <si>
    <t>ATP-binding cassette sub-family A member 13</t>
  </si>
  <si>
    <t>ATP-binding cassette sub-family A member 2</t>
  </si>
  <si>
    <t>ATP-binding cassette sub-family A member 3</t>
  </si>
  <si>
    <t>retinal-specific ATP-binding cassette transporter</t>
  </si>
  <si>
    <t>ATP-binding cassette sub-family A member 5</t>
  </si>
  <si>
    <t>ATP-binding cassette sub-family A member 7</t>
  </si>
  <si>
    <t>ATP-binding cassette sub-family A member 9</t>
  </si>
  <si>
    <t xml:space="preserve">ATP-binding cassette sub-family B member 10, mitochondrial </t>
  </si>
  <si>
    <t xml:space="preserve">ATP-binding cassette sub-family B member 6, mitochondrial </t>
  </si>
  <si>
    <t xml:space="preserve">ATP-binding cassette sub-family B member 7, mitochondrial </t>
  </si>
  <si>
    <t>ATP-binding cassette sub-family B member 8, mitochondrial precursor</t>
  </si>
  <si>
    <t>multidrug resistance-associated protein 1</t>
  </si>
  <si>
    <t>canalicular multispecific organic anion transporter 1</t>
  </si>
  <si>
    <t>canalicular multispecific organic anion transporter 2</t>
  </si>
  <si>
    <t xml:space="preserve">ATP-binding cassette, sub-family C (CFTR/MRP), member 4 isoform 1 </t>
  </si>
  <si>
    <t xml:space="preserve">ATP-binding cassette, sub-family C (CFTR/MRP), member 4 isoform 2 </t>
  </si>
  <si>
    <t xml:space="preserve">ATP-binding cassette, sub-family C (CFTR/MRP), member 4 isoform 3 </t>
  </si>
  <si>
    <t>ATP-binding cassette sub-family D member 1</t>
  </si>
  <si>
    <t>ATP-binding cassette sub-family D member 3</t>
  </si>
  <si>
    <t>ATP-binding cassette sub-family D member 4</t>
  </si>
  <si>
    <t>ATP-binding cassette sub-family E member 1</t>
  </si>
  <si>
    <t>ATP-binding cassette sub-family F member 1</t>
  </si>
  <si>
    <t>ATP-binding cassette sub-family F member 2 isoform 1</t>
  </si>
  <si>
    <t>ATP-binding cassette sub-family F member 2 isoform 2</t>
  </si>
  <si>
    <t>ATP-binding cassette sub-family F member 3</t>
  </si>
  <si>
    <t>ATP-binding cassette sub-family G member 2</t>
  </si>
  <si>
    <t>abhydrolase domain-containing protein 10, mitochondrial precursor</t>
  </si>
  <si>
    <t>mycophenolic acid acyl-glucuronide esterase, mitochondrial isoform 2 precursor</t>
  </si>
  <si>
    <t xml:space="preserve">monoacylglycerol lipase ABHD12 </t>
  </si>
  <si>
    <t>abhydrolase domain-containing protein 13</t>
  </si>
  <si>
    <t xml:space="preserve">alpha/beta hydrolase domain-containing protein 14B </t>
  </si>
  <si>
    <t>abhydrolase domain-containing protein 16A</t>
  </si>
  <si>
    <t xml:space="preserve">abhydrolase domain-containing protein FAM108B1 precursor </t>
  </si>
  <si>
    <t>abhydrolase domain-containing protein 4 isoform 1</t>
  </si>
  <si>
    <t>abhydrolase domain-containing protein 4 isoform 2</t>
  </si>
  <si>
    <t xml:space="preserve">1-acylglycerol-3-phosphate O-acyltransferase ABHD5 </t>
  </si>
  <si>
    <t xml:space="preserve">monoacylglycerol lipase ABHD6 </t>
  </si>
  <si>
    <t xml:space="preserve">abl interactor 1 isoform 1 </t>
  </si>
  <si>
    <t xml:space="preserve">abl interactor 1 isoform 4 </t>
  </si>
  <si>
    <t xml:space="preserve">abl interactor 1 isoform 2 </t>
  </si>
  <si>
    <t xml:space="preserve">abl interactor 1 isoform 3 </t>
  </si>
  <si>
    <t xml:space="preserve">abl interactor 1 isoform 5 </t>
  </si>
  <si>
    <t xml:space="preserve">tyrosine-protein kinase ABL1 isoform b </t>
  </si>
  <si>
    <t xml:space="preserve">tyrosine-protein kinase ABL1 isoform a </t>
  </si>
  <si>
    <t>actin-binding LIM protein 1 isoform 1</t>
  </si>
  <si>
    <t>actin-binding LIM protein 1 isoform 2</t>
  </si>
  <si>
    <t>actin-binding LIM protein 1 isoform 3</t>
  </si>
  <si>
    <t xml:space="preserve">active breakpoint cluster region-related protein isoform 1 </t>
  </si>
  <si>
    <t xml:space="preserve">active breakpoint cluster region-related protein isoform 2 </t>
  </si>
  <si>
    <t xml:space="preserve">active breakpoint cluster region-related protein isoform 3 </t>
  </si>
  <si>
    <t>costars family protein ABRACL</t>
  </si>
  <si>
    <t xml:space="preserve">ankyrin repeat and BTB/POZ domain-containing protein 2 </t>
  </si>
  <si>
    <t xml:space="preserve">3-ketoacyl-CoA thiolase A, peroxisomal precursor </t>
  </si>
  <si>
    <t xml:space="preserve">3-ketoacyl-CoA thiolase B, peroxisomal precursor </t>
  </si>
  <si>
    <t xml:space="preserve">3-ketoacyl-CoA thiolase, mitochondrial </t>
  </si>
  <si>
    <t xml:space="preserve">acetyl-CoA carboxylase 1 </t>
  </si>
  <si>
    <t xml:space="preserve">acetyl-Coenzyme A carboxylase beta precursor </t>
  </si>
  <si>
    <t xml:space="preserve">acyl-CoA dehydrogenase family member 10 </t>
  </si>
  <si>
    <t xml:space="preserve">acyl-CoA dehydrogenase family member 11 </t>
  </si>
  <si>
    <t>acyl-Coenzyme A dehydrogenase family, member 10-like</t>
  </si>
  <si>
    <t>isobutyryl-CoA dehydrogenase, mitochondrial precursor</t>
  </si>
  <si>
    <t>acyl-CoA dehydrogenase family member 9, mitochondrial</t>
  </si>
  <si>
    <t>long-chain specific acyl-CoA dehydrogenase, mitochondrial precursor</t>
  </si>
  <si>
    <t>medium-chain specific acyl-CoA dehydrogenase, mitochondrial precursor</t>
  </si>
  <si>
    <t>short-chain specific acyl-CoA dehydrogenase, mitochondrial precursor</t>
  </si>
  <si>
    <t>short/branched chain specific acyl-CoA dehydrogenase, mitochondrial</t>
  </si>
  <si>
    <t xml:space="preserve">very long-chain specific acyl-CoA dehydrogenase, mitochondrial precursor </t>
  </si>
  <si>
    <t>arf-GAP with coiled-coil, ANK repeat and PH domain-containing protein 2</t>
  </si>
  <si>
    <t>acetyl-CoA acetyltransferase, mitochondrial precursor</t>
  </si>
  <si>
    <t xml:space="preserve">acetyl-CoA acetyltransferase, cytosolic </t>
  </si>
  <si>
    <t>acetyl-Coenzyme A acetyltransferase 3</t>
  </si>
  <si>
    <t>Golgi resident protein GCP60</t>
  </si>
  <si>
    <t>acyl-CoA-binding domain-containing protein 5 isoform d</t>
  </si>
  <si>
    <t xml:space="preserve">acyl-CoA-binding domain-containing protein 5 isoform a precursor </t>
  </si>
  <si>
    <t xml:space="preserve">acyl-CoA-binding domain-containing protein 5 isoform b precursor </t>
  </si>
  <si>
    <t>acyl-CoA-binding domain-containing protein 5 isoform c</t>
  </si>
  <si>
    <t>acyl-CoA-binding domain-containing protein 6 isoform 2</t>
  </si>
  <si>
    <t>acyl-CoA-binding domain-containing protein 6 isoform 3</t>
  </si>
  <si>
    <t>acyl-CoA-binding domain-containing protein 6 isoform 1</t>
  </si>
  <si>
    <t xml:space="preserve">adrenocortical dysplasia protein </t>
  </si>
  <si>
    <t xml:space="preserve">apoptotic chromatin condensation inducer in the nucleus isoform 1 </t>
  </si>
  <si>
    <t xml:space="preserve">apoptotic chromatin condensation inducer in the nucleus isoform 3 </t>
  </si>
  <si>
    <t xml:space="preserve">apoptotic chromatin condensation inducer in the nucleus isoform 5 </t>
  </si>
  <si>
    <t xml:space="preserve">apoptotic chromatin condensation inducer in the nucleus isoform 6 </t>
  </si>
  <si>
    <t xml:space="preserve">apoptotic chromatin condensation inducer in the nucleus isoform 2 </t>
  </si>
  <si>
    <t xml:space="preserve">apoptotic chromatin condensation inducer in the nucleus isoform 4 </t>
  </si>
  <si>
    <t>ATP-citrate synthase isoform 2</t>
  </si>
  <si>
    <t>ATP-citrate synthase isoform 1</t>
  </si>
  <si>
    <t xml:space="preserve">cytoplasmic aconitate hydratase </t>
  </si>
  <si>
    <t>aconitate hydratase, mitochondrial precursor</t>
  </si>
  <si>
    <t>acyl-coenzyme A thioesterase 1</t>
  </si>
  <si>
    <t>acyl-coenzyme A thioesterase 10, mitochondrial precursor</t>
  </si>
  <si>
    <t>acyl-coenzyme A thioesterase 12</t>
  </si>
  <si>
    <t>acyl-coenzyme A thioesterase 13</t>
  </si>
  <si>
    <t>acyl-coenzyme A thioesterase 2, mitochondrial precursor</t>
  </si>
  <si>
    <t>acyl-coenzyme A thioesterase 3</t>
  </si>
  <si>
    <t>acyl-coenzyme A thioesterase 4</t>
  </si>
  <si>
    <t>acyl-coenzyme A thioesterase 5</t>
  </si>
  <si>
    <t>acyl-coenzyme A thioesterase 6</t>
  </si>
  <si>
    <t>cytosolic acyl coenzyme A thioester hydrolase isoform 2</t>
  </si>
  <si>
    <t>cytosolic acyl coenzyme A thioester hydrolase isoform 1</t>
  </si>
  <si>
    <t>cytosolic acyl coenzyme A thioester hydrolase isoform 3</t>
  </si>
  <si>
    <t>acyl-coenzyme A thioesterase 8</t>
  </si>
  <si>
    <t xml:space="preserve">acyl-coenzyme A thioesterase 9, mitochondrial </t>
  </si>
  <si>
    <t xml:space="preserve">peroxisomal acyl-coenzyme A oxidase 1 isoform 2 </t>
  </si>
  <si>
    <t xml:space="preserve">peroxisomal acyl-coenzyme A oxidase 1 isoform 1 </t>
  </si>
  <si>
    <t xml:space="preserve">peroxisomal acyl-coenzyme A oxidase 3 </t>
  </si>
  <si>
    <t>low molecular weight phosphotyrosine protein phosphatase isoform 1</t>
  </si>
  <si>
    <t>lysosomal acid phosphatase precursor</t>
  </si>
  <si>
    <t>lysophosphatidic acid phosphatase type 6 precursor</t>
  </si>
  <si>
    <t xml:space="preserve">acyl-CoA synthetase family member 2, mitochondrial precursor </t>
  </si>
  <si>
    <t xml:space="preserve">acyl-CoA synthetase family member 3, mitochondrial precursor </t>
  </si>
  <si>
    <t xml:space="preserve">long-chain-fatty-acid--CoA ligase 1 </t>
  </si>
  <si>
    <t xml:space="preserve">long-chain-fatty-acid--CoA ligase 3 isoform b </t>
  </si>
  <si>
    <t xml:space="preserve">long-chain-fatty-acid--CoA ligase 3 isoform a </t>
  </si>
  <si>
    <t xml:space="preserve">long-chain-fatty-acid--CoA ligase 4 isoform 1 </t>
  </si>
  <si>
    <t xml:space="preserve">long-chain-fatty-acid--CoA ligase 4 isoform 2 </t>
  </si>
  <si>
    <t xml:space="preserve">long-chain-fatty-acid--CoA ligase 5 </t>
  </si>
  <si>
    <t>acetyl-coenzyme A synthetase, cytoplasmic</t>
  </si>
  <si>
    <t>actin, alpha skeletal muscle</t>
  </si>
  <si>
    <t>actin, aortic smooth muscle</t>
  </si>
  <si>
    <t xml:space="preserve">actin, cytoplasmic 1 </t>
  </si>
  <si>
    <t xml:space="preserve">beta-actin-like protein 2 </t>
  </si>
  <si>
    <t xml:space="preserve">actin, alpha cardiac muscle 1 </t>
  </si>
  <si>
    <t xml:space="preserve">actin, cytoplasmic 2 </t>
  </si>
  <si>
    <t>actin, gamma-enteric smooth muscle</t>
  </si>
  <si>
    <t xml:space="preserve">actin-like protein 6A </t>
  </si>
  <si>
    <t xml:space="preserve">actin-like protein 6B </t>
  </si>
  <si>
    <t xml:space="preserve">alpha-actinin-1 </t>
  </si>
  <si>
    <t xml:space="preserve">alpha-actinin-2 </t>
  </si>
  <si>
    <t xml:space="preserve">alpha-actinin-3 </t>
  </si>
  <si>
    <t xml:space="preserve">alpha-actinin-4 </t>
  </si>
  <si>
    <t xml:space="preserve">actin-related protein 10 </t>
  </si>
  <si>
    <t xml:space="preserve">alpha-centractin </t>
  </si>
  <si>
    <t xml:space="preserve">beta-centractin </t>
  </si>
  <si>
    <t xml:space="preserve">actin-related protein 2 </t>
  </si>
  <si>
    <t xml:space="preserve">actin-related protein 3 </t>
  </si>
  <si>
    <t xml:space="preserve">actin-related protein 3B </t>
  </si>
  <si>
    <t xml:space="preserve">aminoacylase-1 </t>
  </si>
  <si>
    <t xml:space="preserve">aspartoacylase-2 </t>
  </si>
  <si>
    <t xml:space="preserve">acylphosphatase-1 </t>
  </si>
  <si>
    <t xml:space="preserve">disintegrin and metalloproteinase domain-containing protein 10 precursor </t>
  </si>
  <si>
    <t>disintegrin and metalloproteinase domain-containing protein 17 isoform 2</t>
  </si>
  <si>
    <t xml:space="preserve">disintegrin and metalloproteinase domain-containing protein 17 precursor </t>
  </si>
  <si>
    <t xml:space="preserve">disintegrin and metalloproteinase domain-containing protein 9 precursor </t>
  </si>
  <si>
    <t>disintegrin and metalloproteinase domain-containing protein 9 isoform 1</t>
  </si>
  <si>
    <t xml:space="preserve">ADAM metallopeptidase with thrombospondin type 1 motif, 17 precursor </t>
  </si>
  <si>
    <t>ADAMTS-like protein 5 isoform 1 precursor</t>
  </si>
  <si>
    <t xml:space="preserve">centaurin, alpha 1 </t>
  </si>
  <si>
    <t xml:space="preserve">arf-GAP with dual PH domain-containing protein 2 </t>
  </si>
  <si>
    <t>double-stranded RNA-specific adenosine deaminase isoform 3</t>
  </si>
  <si>
    <t>double-stranded RNA-specific adenosine deaminase isoform 1</t>
  </si>
  <si>
    <t>double-stranded RNA-specific adenosine deaminase isoform 2</t>
  </si>
  <si>
    <t>tRNA-specific adenosine deaminase 1</t>
  </si>
  <si>
    <t>tRNA-specific adenosine deaminase 2</t>
  </si>
  <si>
    <t xml:space="preserve">tRNA-specific adenosine deaminase-like protein 3 </t>
  </si>
  <si>
    <t xml:space="preserve">uncharacterized aarF domain-containing protein kinase 1 precursor </t>
  </si>
  <si>
    <t>uncharacterized aarF domain-containing protein kinase 5</t>
  </si>
  <si>
    <t>adenylate cyclase type 5</t>
  </si>
  <si>
    <t>adenylate cyclase type 6</t>
  </si>
  <si>
    <t xml:space="preserve">alpha-adducin isoform 1 </t>
  </si>
  <si>
    <t xml:space="preserve">alpha-adducin isoform 3 </t>
  </si>
  <si>
    <t xml:space="preserve">alpha-adducin isoform 2 </t>
  </si>
  <si>
    <t xml:space="preserve">beta-adducin isoform 1 </t>
  </si>
  <si>
    <t xml:space="preserve">beta-adducin isoform 2 </t>
  </si>
  <si>
    <t xml:space="preserve">alcohol dehydrogenase 1 </t>
  </si>
  <si>
    <t xml:space="preserve">alcohol dehydrogenase class-3 </t>
  </si>
  <si>
    <t>alcohol dehydrogenase class 4 mu/sigma chain</t>
  </si>
  <si>
    <t>1,2-dihydroxy-3-keto-5-methylthiopentene dioxygenase</t>
  </si>
  <si>
    <t>adiponectin receptor protein 1</t>
  </si>
  <si>
    <t>adenosine kinase isoform 1</t>
  </si>
  <si>
    <t>adenosine kinase isoform 2</t>
  </si>
  <si>
    <t>activity-dependent neuroprotector homeobox protein</t>
  </si>
  <si>
    <t>2-aminoethanethiol dioxygenase</t>
  </si>
  <si>
    <t xml:space="preserve">ADP-dependent glucokinase precursor </t>
  </si>
  <si>
    <t xml:space="preserve">[Protein ADP-ribosylarginine] hydrolase </t>
  </si>
  <si>
    <t xml:space="preserve">poly(ADP-ribose) glycohydrolase ARH3 </t>
  </si>
  <si>
    <t>beta-adrenergic receptor kinase 1</t>
  </si>
  <si>
    <t>beta-adrenergic receptor kinase 2 isoform 1</t>
  </si>
  <si>
    <t>proteasomal ubiquitin receptor ADRM1</t>
  </si>
  <si>
    <t>adenylosuccinate lyase</t>
  </si>
  <si>
    <t>adenylosuccinate synthetase isozyme 2</t>
  </si>
  <si>
    <t>adenylosuccinate synthetase isozyme 1</t>
  </si>
  <si>
    <t>actin filament-associated protein 1</t>
  </si>
  <si>
    <t xml:space="preserve">actin filament-associated protein 1-like 2 isoform 3 </t>
  </si>
  <si>
    <t xml:space="preserve">actin filament-associated protein 1-like 2 isoform 1 </t>
  </si>
  <si>
    <t xml:space="preserve">actin filament-associated protein 1-like 2 isoform 2 </t>
  </si>
  <si>
    <t>AF4/FMR2 family member 4</t>
  </si>
  <si>
    <t xml:space="preserve">AFG3-like protein 1 </t>
  </si>
  <si>
    <t xml:space="preserve">AFG3-like protein 2 </t>
  </si>
  <si>
    <t>kynurenine formamidase</t>
  </si>
  <si>
    <t xml:space="preserve">aftiphilin isoform 1 </t>
  </si>
  <si>
    <t xml:space="preserve">aftiphilin isoform 2 </t>
  </si>
  <si>
    <t>N(4)-(beta-N-acetylglucosaminyl)-L-asparaginase isoform 2 precursor</t>
  </si>
  <si>
    <t>N(4)-(beta-N-acetylglucosaminyl)-L-asparaginase isoform 1 precursor</t>
  </si>
  <si>
    <t xml:space="preserve">cytosolic carboxypeptidase 4 </t>
  </si>
  <si>
    <t xml:space="preserve">arf-GAP domain and FG repeat-containing protein 1 </t>
  </si>
  <si>
    <t xml:space="preserve">arf-GAP domain and FG repeat-containing protein 2 isoform 1 </t>
  </si>
  <si>
    <t xml:space="preserve">arf-GAP domain and FG repeat-containing protein 2 isoform 2 </t>
  </si>
  <si>
    <t>acylglycerol kinase, mitochondrial precursor</t>
  </si>
  <si>
    <t xml:space="preserve">glycogen debranching enzyme </t>
  </si>
  <si>
    <t>protein argonaute-1</t>
  </si>
  <si>
    <t>protein argonaute-2</t>
  </si>
  <si>
    <t>protein argonaute-3</t>
  </si>
  <si>
    <t>protein argonaute-4</t>
  </si>
  <si>
    <t>1-acyl-sn-glycerol-3-phosphate acyltransferase beta precursor</t>
  </si>
  <si>
    <t xml:space="preserve">1-acyl-sn-glycerol-3-phosphate acyltransferase gamma </t>
  </si>
  <si>
    <t xml:space="preserve">1-acyl-sn-glycerol-3-phosphate acyltransferase delta </t>
  </si>
  <si>
    <t xml:space="preserve">1-acyl-sn-glycerol-3-phosphate acyltransferase epsilon </t>
  </si>
  <si>
    <t xml:space="preserve">alkyldihydroxyacetonephosphate synthase, peroxisomal </t>
  </si>
  <si>
    <t>agrin precursor</t>
  </si>
  <si>
    <t xml:space="preserve">adenosylhomocysteinase </t>
  </si>
  <si>
    <t xml:space="preserve">putative adenosylhomocysteinase 2 </t>
  </si>
  <si>
    <t xml:space="preserve">putative adenosylhomocysteinase 3 isoform 3 </t>
  </si>
  <si>
    <t xml:space="preserve">putative adenosylhomocysteinase 3 isoform 1 </t>
  </si>
  <si>
    <t xml:space="preserve">putative adenosylhomocysteinase 3 isoform 2 </t>
  </si>
  <si>
    <t>AHNAK nucleoprotein isoform 3</t>
  </si>
  <si>
    <t>AHNAK nucleoprotein isoform 1</t>
  </si>
  <si>
    <t xml:space="preserve">PREDICTED: protein AHNAK2 </t>
  </si>
  <si>
    <t>activator of 90 kDa heat shock protein ATPase homolog 1</t>
  </si>
  <si>
    <t>activator of 90 kDa heat shock protein ATPase homolog 2</t>
  </si>
  <si>
    <t>proteasome-associated protein ECM29 homolog</t>
  </si>
  <si>
    <t xml:space="preserve">UPF0723 protein C11orf83 homolog precursor </t>
  </si>
  <si>
    <t xml:space="preserve">UPF0444 transmembrane protein C12orf23 homolog </t>
  </si>
  <si>
    <t>uncharacterized protein C6orf132 homolog</t>
  </si>
  <si>
    <t>UPF0696 protein C11orf68 homolog isoform a</t>
  </si>
  <si>
    <t>axin interactor, dorsalization-associated protein</t>
  </si>
  <si>
    <t>allograft inflammatory factor 1-like</t>
  </si>
  <si>
    <t xml:space="preserve">apoptosis-inducing factor 1, mitochondrial precursor </t>
  </si>
  <si>
    <t xml:space="preserve">apoptosis-inducing factor 2 isoform 1 </t>
  </si>
  <si>
    <t xml:space="preserve">apoptosis-inducing factor 2 isoform 2 </t>
  </si>
  <si>
    <t xml:space="preserve">absent in melanoma 1 protein </t>
  </si>
  <si>
    <t xml:space="preserve">aminoacyl tRNA synthase complex-interacting multifunctional protein 1 </t>
  </si>
  <si>
    <t xml:space="preserve">aminoacyl tRNA synthase complex-interacting multifunctional protein 2 isoform 2 </t>
  </si>
  <si>
    <t xml:space="preserve">aminoacyl tRNA synthase complex-interacting multifunctional protein 2 isoform 1 </t>
  </si>
  <si>
    <t xml:space="preserve">AH receptor-interacting protein </t>
  </si>
  <si>
    <t>uncharacterized protein C14orf142 homolog</t>
  </si>
  <si>
    <t>adenylate kinase 2, mitochondrial isoform b</t>
  </si>
  <si>
    <t>adenylate kinase 2, mitochondrial isoform a</t>
  </si>
  <si>
    <t>GTP:AMP phosphotransferase AK3, mitochondrial</t>
  </si>
  <si>
    <t>A-kinase anchor protein 12</t>
  </si>
  <si>
    <t>A kinase (PRKA) anchor protein 13</t>
  </si>
  <si>
    <t>A-kinase anchor protein 2 isoform 3</t>
  </si>
  <si>
    <t>A-kinase anchor protein 2 isoform 2</t>
  </si>
  <si>
    <t>A-kinase anchor protein 2 isoform 1</t>
  </si>
  <si>
    <t>A-kinase anchor protein 8</t>
  </si>
  <si>
    <t>A-kinase anchor protein 9</t>
  </si>
  <si>
    <t xml:space="preserve">alcohol dehydrogenase [NADP(+)] </t>
  </si>
  <si>
    <t>aldo-keto reductase family 1, member B10</t>
  </si>
  <si>
    <t>aldose reductase</t>
  </si>
  <si>
    <t>aldose reductase-related protein 1</t>
  </si>
  <si>
    <t>aldose reductase-related protein 2</t>
  </si>
  <si>
    <t>aldo-keto reductase family 1, member C12</t>
  </si>
  <si>
    <t>aldo-keto reductase family 1 member C13</t>
  </si>
  <si>
    <t>aldo-keto reductase family 1, member C19</t>
  </si>
  <si>
    <t>1,5-anhydro-D-fructose reductase</t>
  </si>
  <si>
    <t>aflatoxin B1 aldehyde reductase member 2</t>
  </si>
  <si>
    <t xml:space="preserve">RAC-alpha serine/threonine-protein kinase isoform 2 </t>
  </si>
  <si>
    <t xml:space="preserve">RAC-alpha serine/threonine-protein kinase isoform 1 </t>
  </si>
  <si>
    <t>proline-rich AKT1 substrate 1</t>
  </si>
  <si>
    <t xml:space="preserve">RAC-beta serine/threonine-protein kinase </t>
  </si>
  <si>
    <t xml:space="preserve">RAC-gamma serine/threonine-protein kinase </t>
  </si>
  <si>
    <t>AKT-interacting protein</t>
  </si>
  <si>
    <t xml:space="preserve">delta-aminolevulinic acid dehydratase </t>
  </si>
  <si>
    <t xml:space="preserve">serum albumin precursor </t>
  </si>
  <si>
    <t xml:space="preserve">CD166 antigen precursor </t>
  </si>
  <si>
    <t>aldehyde dehydrogenase family 16 member A1</t>
  </si>
  <si>
    <t>delta-1-pyrroline-5-carboxylate synthase isoform 1</t>
  </si>
  <si>
    <t>delta-1-pyrroline-5-carboxylate synthase isoform 2</t>
  </si>
  <si>
    <t xml:space="preserve">retinal dehydrogenase 1 </t>
  </si>
  <si>
    <t>aldehyde dehydrogenase, cytosolic 1</t>
  </si>
  <si>
    <t>aldehyde dehydrogenase, mitochondrial precursor</t>
  </si>
  <si>
    <t>aldehyde dehydrogenase, dimeric NADP-preferring</t>
  </si>
  <si>
    <t xml:space="preserve">fatty aldehyde dehydrogenase </t>
  </si>
  <si>
    <t>aldehyde dehydrogenase family 3 member B1</t>
  </si>
  <si>
    <t>aldehyde dehydrogenase 3 family, member B2</t>
  </si>
  <si>
    <t xml:space="preserve">PREDICTED: aldehyde dehydrogenase family 3 member B1 </t>
  </si>
  <si>
    <t>succinate-semialdehyde dehydrogenase, mitochondrial precursor</t>
  </si>
  <si>
    <t xml:space="preserve">methylmalonate-semialdehyde dehydrogenase [acylating], mitochondrial precursor </t>
  </si>
  <si>
    <t xml:space="preserve">alpha-aminoadipic semialdehyde dehydrogenase isoform b </t>
  </si>
  <si>
    <t xml:space="preserve">alpha-aminoadipic semialdehyde dehydrogenase isoform a </t>
  </si>
  <si>
    <t>4-trimethylaminobutyraldehyde dehydrogenase</t>
  </si>
  <si>
    <t>fructose-bisphosphate aldolase A isoform 1 precursor</t>
  </si>
  <si>
    <t xml:space="preserve">fructose-bisphosphate aldolase A isoform 2 </t>
  </si>
  <si>
    <t xml:space="preserve">aldolase 1 A retrogene 1 </t>
  </si>
  <si>
    <t xml:space="preserve">fructose-bisphosphate aldolase A-like </t>
  </si>
  <si>
    <t xml:space="preserve">fructose-bisphosphate aldolase B </t>
  </si>
  <si>
    <t xml:space="preserve">fructose-bisphosphate aldolase C </t>
  </si>
  <si>
    <t>dol-P-Man:Man(7)GlcNAc(2)-PP-Dol alpha-1,6-mannosyltransferase isoform 1</t>
  </si>
  <si>
    <t xml:space="preserve">UDP-N-acetylglucosamine transferase subunit ALG14 homolog </t>
  </si>
  <si>
    <t>dolichyl-phosphate beta-glucosyltransferase</t>
  </si>
  <si>
    <t xml:space="preserve">alpha-ketoglutarate-dependent dioxygenase alkB homolog 3 </t>
  </si>
  <si>
    <t xml:space="preserve">RNA demethylase ALKBH5 </t>
  </si>
  <si>
    <t xml:space="preserve">alsin isoform 2 </t>
  </si>
  <si>
    <t xml:space="preserve">alsin isoform 1 </t>
  </si>
  <si>
    <t>THO complex subunit 4</t>
  </si>
  <si>
    <t>aly/REF export factor 2</t>
  </si>
  <si>
    <t>alpha-methylacyl-CoA racemase</t>
  </si>
  <si>
    <t xml:space="preserve">putative N-acetylglucosamine-6-phosphate deacetylase </t>
  </si>
  <si>
    <t>E3 ubiquitin-protein ligase AMFR</t>
  </si>
  <si>
    <t xml:space="preserve">AMME syndrome candidate gene 1 protein homolog </t>
  </si>
  <si>
    <t>AMMECR1-like protein isoform 2</t>
  </si>
  <si>
    <t>AMMECR1-like protein isoform 1</t>
  </si>
  <si>
    <t xml:space="preserve">AMP deaminase 1 </t>
  </si>
  <si>
    <t xml:space="preserve">AMP deaminase 2 </t>
  </si>
  <si>
    <t xml:space="preserve">AMP deaminase 3 </t>
  </si>
  <si>
    <t>anaphase-promoting complex subunit 1</t>
  </si>
  <si>
    <t>anaphase-promoting complex subunit 11</t>
  </si>
  <si>
    <t>anaphase-promoting complex subunit 13</t>
  </si>
  <si>
    <t>anaphase-promoting complex subunit 16</t>
  </si>
  <si>
    <t>anaphase-promoting complex subunit 2</t>
  </si>
  <si>
    <t>anaphase-promoting complex subunit 4</t>
  </si>
  <si>
    <t>anaphase-promoting complex subunit 5 isoform a</t>
  </si>
  <si>
    <t>anaphase-promoting complex subunit 5 isoform b</t>
  </si>
  <si>
    <t>protein angel homolog 1</t>
  </si>
  <si>
    <t xml:space="preserve">ankyrin-3 isoform i </t>
  </si>
  <si>
    <t xml:space="preserve">ankyrin-3 isoform g </t>
  </si>
  <si>
    <t xml:space="preserve">ankyrin-3 isoform f </t>
  </si>
  <si>
    <t xml:space="preserve">ankyrin-3 isoform a </t>
  </si>
  <si>
    <t xml:space="preserve">ankyrin-3 isoform d </t>
  </si>
  <si>
    <t xml:space="preserve">ankyrin-3 isoform b </t>
  </si>
  <si>
    <t xml:space="preserve">ankyrin-3 isoform e </t>
  </si>
  <si>
    <t xml:space="preserve">ankyrin-3 isoform h </t>
  </si>
  <si>
    <t xml:space="preserve">ankyrin-3 isoform c </t>
  </si>
  <si>
    <t xml:space="preserve">ankyrin repeat and FYVE domain-containing protein 1 </t>
  </si>
  <si>
    <t xml:space="preserve">ankyrin repeat and KH domain-containing protein 1 </t>
  </si>
  <si>
    <t xml:space="preserve">ankyrin repeat and IBR domain-containing protein 1 </t>
  </si>
  <si>
    <t xml:space="preserve">ankyrin repeat and LEM domain containing 1 </t>
  </si>
  <si>
    <t xml:space="preserve">ankyrin repeat and MYND domain-containing protein 2 </t>
  </si>
  <si>
    <t xml:space="preserve">ankyrin repeat domain-containing protein 13A </t>
  </si>
  <si>
    <t xml:space="preserve">ankyrin repeat domain-containing protein 13D </t>
  </si>
  <si>
    <t xml:space="preserve">ankyrin repeat domain-containing protein 17 isoform b </t>
  </si>
  <si>
    <t xml:space="preserve">ankyrin repeat domain-containing protein 17 isoform a </t>
  </si>
  <si>
    <t xml:space="preserve">ankyrin repeat domain-containing protein 22 </t>
  </si>
  <si>
    <t>serine/threonine-protein phosphatase 6 regulatory ankyrin repeat subunit A</t>
  </si>
  <si>
    <t xml:space="preserve">ankyrin repeat domain-containing protein 40 isoform 1 </t>
  </si>
  <si>
    <t xml:space="preserve">ankyrin repeat domain-containing protein 40 isoform 2 </t>
  </si>
  <si>
    <t xml:space="preserve">ankyrin repeat domain-containing protein 46 </t>
  </si>
  <si>
    <t xml:space="preserve">ankyrin repeat and SAM domain-containing protein 1A </t>
  </si>
  <si>
    <t xml:space="preserve">ankyrin repeat and SAM domain-containing protein 3 </t>
  </si>
  <si>
    <t>ankyrin repeat and zinc finger domain-containing protein 1 isoform 1</t>
  </si>
  <si>
    <t xml:space="preserve">actin-binding protein anillin </t>
  </si>
  <si>
    <t xml:space="preserve">anoctamin-10 isoform 1 </t>
  </si>
  <si>
    <t xml:space="preserve">anoctamin-10 isoform 2 </t>
  </si>
  <si>
    <t xml:space="preserve">anoctamin-6 isoform 1 </t>
  </si>
  <si>
    <t xml:space="preserve">anoctamin-6 isoform 2 </t>
  </si>
  <si>
    <t>acidic leucine-rich nuclear phosphoprotein 32 family member A</t>
  </si>
  <si>
    <t>acidic leucine-rich nuclear phosphoprotein 32 family member B</t>
  </si>
  <si>
    <t>acidic leucine-rich nuclear phosphoprotein 32 family member E isoform 3</t>
  </si>
  <si>
    <t>acidic leucine-rich nuclear phosphoprotein 32 family member E isoform 1</t>
  </si>
  <si>
    <t>acidic leucine-rich nuclear phosphoprotein 32 family member E isoform 2</t>
  </si>
  <si>
    <t>aminopeptidase N</t>
  </si>
  <si>
    <t>annexin A1</t>
  </si>
  <si>
    <t>annexin A11</t>
  </si>
  <si>
    <t>annexin A2</t>
  </si>
  <si>
    <t>annexin A3</t>
  </si>
  <si>
    <t>annexin A4</t>
  </si>
  <si>
    <t>annexin A5</t>
  </si>
  <si>
    <t>annexin A6 isoform b</t>
  </si>
  <si>
    <t>annexin A6 isoform a</t>
  </si>
  <si>
    <t>annexin A7</t>
  </si>
  <si>
    <t>annexin A9</t>
  </si>
  <si>
    <t>retina-specific copper amine oxidase</t>
  </si>
  <si>
    <t>membrane primary amine oxidase</t>
  </si>
  <si>
    <t>AP-1 complex subunit beta-1 isoform 1</t>
  </si>
  <si>
    <t>AP-1 complex subunit beta-1 isoform 3</t>
  </si>
  <si>
    <t>AP-1 complex subunit beta-1 isoform 2</t>
  </si>
  <si>
    <t>AP-1 complex subunit gamma-1</t>
  </si>
  <si>
    <t xml:space="preserve">AP-1 complex subunit gamma-like 2 </t>
  </si>
  <si>
    <t>AP-1 complex subunit mu-1</t>
  </si>
  <si>
    <t>AP-1 complex subunit mu-2 isoform 1</t>
  </si>
  <si>
    <t>AP-1 complex subunit mu-2 isoform 2</t>
  </si>
  <si>
    <t>AP-1 complex subunit sigma-1A</t>
  </si>
  <si>
    <t>AP-1 complex subunit sigma-2</t>
  </si>
  <si>
    <t>AP-1 complex subunit sigma-3</t>
  </si>
  <si>
    <t>AP-2 complex subunit alpha-1 isoform b</t>
  </si>
  <si>
    <t>AP-2 complex subunit alpha-1 isoform a</t>
  </si>
  <si>
    <t>AP-2 complex subunit alpha-2</t>
  </si>
  <si>
    <t>AP-2 complex subunit beta isoform b</t>
  </si>
  <si>
    <t>AP-2 complex subunit beta isoform a</t>
  </si>
  <si>
    <t>AP-2 complex subunit mu</t>
  </si>
  <si>
    <t>AP-2 complex subunit sigma</t>
  </si>
  <si>
    <t>AP-3 complex subunit beta-1</t>
  </si>
  <si>
    <t>AP-3 complex subunit beta-2</t>
  </si>
  <si>
    <t>AP-3 complex subunit delta-1</t>
  </si>
  <si>
    <t>AP-3 complex subunit mu-1</t>
  </si>
  <si>
    <t>AP-3 complex subunit mu-2</t>
  </si>
  <si>
    <t>AP-3 complex subunit sigma-1</t>
  </si>
  <si>
    <t>AP-3 complex subunit sigma-2</t>
  </si>
  <si>
    <t>AP-4 complex subunit beta-1 isoform a</t>
  </si>
  <si>
    <t>AP-4 complex subunit beta-1 isoform b</t>
  </si>
  <si>
    <t>AP-4 complex subunit sigma-1</t>
  </si>
  <si>
    <t>AP-5 complex subunit beta-1</t>
  </si>
  <si>
    <t>AP-5 complex subunit mu-1</t>
  </si>
  <si>
    <t>AP-5 complex subunit sigma-1</t>
  </si>
  <si>
    <t>AP-5 complex subunit zeta-1</t>
  </si>
  <si>
    <t>apoptotic protease-activating factor 1</t>
  </si>
  <si>
    <t xml:space="preserve">protein APCDD1 precursor </t>
  </si>
  <si>
    <t>acylamino-acid-releasing enzyme</t>
  </si>
  <si>
    <t xml:space="preserve">DNA-(apurinic or apyrimidinic site) lyase </t>
  </si>
  <si>
    <t xml:space="preserve">gamma-secretase subunit APH-1A isoform 2 </t>
  </si>
  <si>
    <t xml:space="preserve">gamma-secretase subunit APH-1A isoform 1 </t>
  </si>
  <si>
    <t xml:space="preserve">apoptosis inhibitor 5 </t>
  </si>
  <si>
    <t>methylthioribulose-1-phosphate dehydratase</t>
  </si>
  <si>
    <t>aprataxin and PNK-like factor isoform 1</t>
  </si>
  <si>
    <t>aprataxin and PNK-like factor isoform 2</t>
  </si>
  <si>
    <t>amyloid-like protein 2 isoform a precursor</t>
  </si>
  <si>
    <t>amyloid-like protein 2 isoform b precursor</t>
  </si>
  <si>
    <t>amyloid-like protein 2 isoform c precursor</t>
  </si>
  <si>
    <t>adipocyte plasma membrane-associated protein</t>
  </si>
  <si>
    <t xml:space="preserve">NAD(P)H-hydrate epimerase precursor </t>
  </si>
  <si>
    <t>DNA dC-_dU-editing enzyme APOBEC-3 isoform 1</t>
  </si>
  <si>
    <t>DNA dC-_dU-editing enzyme APOBEC-3 isoform 2</t>
  </si>
  <si>
    <t xml:space="preserve">apolipoprotein L 10b </t>
  </si>
  <si>
    <t>apolipoprotein O isoform 1</t>
  </si>
  <si>
    <t>apolipoprotein O isoform 3</t>
  </si>
  <si>
    <t>apolipoprotein O isoform 2</t>
  </si>
  <si>
    <t xml:space="preserve">apolipoprotein O-like precursor </t>
  </si>
  <si>
    <t xml:space="preserve">amyloid beta A4 protein isoform 1 precursor </t>
  </si>
  <si>
    <t xml:space="preserve">amyloid beta A4 protein isoform 3 precursor </t>
  </si>
  <si>
    <t xml:space="preserve">amyloid beta A4 protein isoform 5 precursor </t>
  </si>
  <si>
    <t xml:space="preserve">amyloid beta A4 protein isoform 6 precursor </t>
  </si>
  <si>
    <t xml:space="preserve">amyloid beta A4 protein isoform 2 precursor </t>
  </si>
  <si>
    <t xml:space="preserve">DCC-interacting protein 13-alpha </t>
  </si>
  <si>
    <t xml:space="preserve">DCC-interacting protein 13-beta </t>
  </si>
  <si>
    <t>adenine phosphoribosyltransferase</t>
  </si>
  <si>
    <t xml:space="preserve">aquaporin-2 </t>
  </si>
  <si>
    <t xml:space="preserve">intron-binding protein aquarius </t>
  </si>
  <si>
    <t xml:space="preserve">serine/threonine-protein kinase A-Raf isoform 2 </t>
  </si>
  <si>
    <t xml:space="preserve">serine/threonine-protein kinase A-Raf isoform 1 </t>
  </si>
  <si>
    <t xml:space="preserve">coatomer subunit delta </t>
  </si>
  <si>
    <t xml:space="preserve">ADP-ribosylation factor 1 </t>
  </si>
  <si>
    <t xml:space="preserve">ADP-ribosylation factor 2 </t>
  </si>
  <si>
    <t xml:space="preserve">ADP-ribosylation factor 3 </t>
  </si>
  <si>
    <t xml:space="preserve">ADP-ribosylation factor 4 </t>
  </si>
  <si>
    <t xml:space="preserve">ADP-ribosylation factor 5 </t>
  </si>
  <si>
    <t xml:space="preserve">ADP-ribosylation factor 6 </t>
  </si>
  <si>
    <t xml:space="preserve">ADP-ribosylation factor GTPase-activating protein 1 isoform b </t>
  </si>
  <si>
    <t xml:space="preserve">ADP-ribosylation factor GTPase-activating protein 1 isoform c </t>
  </si>
  <si>
    <t xml:space="preserve">ADP-ribosylation factor GTPase-activating protein 1 isoform d </t>
  </si>
  <si>
    <t xml:space="preserve">ADP-ribosylation factor GTPase-activating protein 1 isoform a </t>
  </si>
  <si>
    <t xml:space="preserve">ADP-ribosylation factor GTPase-activating protein 2 isoform 1 </t>
  </si>
  <si>
    <t xml:space="preserve">ADP-ribosylation factor GTPase-activating protein 2 isoform 2 </t>
  </si>
  <si>
    <t xml:space="preserve">ADP-ribosylation factor GTPase-activating protein 3 </t>
  </si>
  <si>
    <t>brefeldin A-inhibited guanine nucleotide-exchange protein 1</t>
  </si>
  <si>
    <t>brefeldin A-inhibited guanine nucleotide-exchange protein 2</t>
  </si>
  <si>
    <t xml:space="preserve">arfaptin-1 </t>
  </si>
  <si>
    <t xml:space="preserve">arfaptin-2 </t>
  </si>
  <si>
    <t>ADP-ribosylation factor-related protein 1 isoform 1</t>
  </si>
  <si>
    <t>ADP-ribosylation factor-related protein 1 isoform 2</t>
  </si>
  <si>
    <t xml:space="preserve">arginase-1 </t>
  </si>
  <si>
    <t xml:space="preserve">arginase-2, mitochondrial precursor </t>
  </si>
  <si>
    <t xml:space="preserve">arginine and glutamate-rich protein 1 </t>
  </si>
  <si>
    <t>rho GTPase-activating protein 1 isoform 2</t>
  </si>
  <si>
    <t>rho GTPase-activating protein 1 isoform 1</t>
  </si>
  <si>
    <t>rho GTPase-activating protein 10</t>
  </si>
  <si>
    <t>rho GTPase-activating protein 17 isoform a</t>
  </si>
  <si>
    <t>rho GTPase-activating protein 17 isoform b</t>
  </si>
  <si>
    <t>rho GTPase-activating protein 17 isoform c</t>
  </si>
  <si>
    <t>rho GTPase-activating protein 17 isoform d</t>
  </si>
  <si>
    <t>rho GTPase-activating protein 17 isoform e</t>
  </si>
  <si>
    <t>rho GTPase-activating protein 18</t>
  </si>
  <si>
    <t>rho GTPase-activating protein 25 isoform a</t>
  </si>
  <si>
    <t>rho GTPase-activating protein 25 isoform b</t>
  </si>
  <si>
    <t>rho GTPase-activating protein 27 isoform 2</t>
  </si>
  <si>
    <t>rho GTPase-activating protein 27 isoform 3</t>
  </si>
  <si>
    <t>rho GTPase-activating protein 27 isoform 1</t>
  </si>
  <si>
    <t>rho GTPase-activating protein 29</t>
  </si>
  <si>
    <t>rho GTPase-activating protein 30</t>
  </si>
  <si>
    <t>rho GTPase-activating protein 33</t>
  </si>
  <si>
    <t>rho GTPase-activating protein 5</t>
  </si>
  <si>
    <t>rho GDP-dissociation inhibitor 1</t>
  </si>
  <si>
    <t>rho GDP-dissociation inhibitor 2</t>
  </si>
  <si>
    <t>rho guanine nucleotide exchange factor 1 isoform a</t>
  </si>
  <si>
    <t>rho guanine nucleotide exchange factor 1 isoform b</t>
  </si>
  <si>
    <t>rho guanine nucleotide exchange factor 1 isoform c</t>
  </si>
  <si>
    <t>rho guanine nucleotide exchange factor 1 isoform d</t>
  </si>
  <si>
    <t>rho guanine nucleotide exchange factor 10 isoform b</t>
  </si>
  <si>
    <t>rho guanine nucleotide exchange factor 10 isoform a</t>
  </si>
  <si>
    <t xml:space="preserve">rho guanine nucleotide exchange factor 10-like protein isoform b </t>
  </si>
  <si>
    <t xml:space="preserve">rho guanine nucleotide exchange factor 10-like protein isoform c </t>
  </si>
  <si>
    <t xml:space="preserve">rho guanine nucleotide exchange factor 10-like protein isoform a </t>
  </si>
  <si>
    <t>rho guanine nucleotide exchange factor 11</t>
  </si>
  <si>
    <t>rho guanine nucleotide exchange factor 12</t>
  </si>
  <si>
    <t>rho guanine nucleotide exchange factor 16</t>
  </si>
  <si>
    <t>rho guanine nucleotide exchange factor 18</t>
  </si>
  <si>
    <t>rho guanine nucleotide exchange factor 2 isoform 1</t>
  </si>
  <si>
    <t>rho guanine nucleotide exchange factor 2 isoform 2</t>
  </si>
  <si>
    <t>rho guanine nucleotide exchange factor 2 isoform 3</t>
  </si>
  <si>
    <t>rho guanine nucleotide exchange factor 2 isoform 4</t>
  </si>
  <si>
    <t>rho guanine nucleotide exchange factor 28</t>
  </si>
  <si>
    <t>rho guanine nucleotide exchange factor 37</t>
  </si>
  <si>
    <t>rho guanine nucleotide exchange factor 4</t>
  </si>
  <si>
    <t>rho guanine nucleotide exchange factor 40 isoform 1</t>
  </si>
  <si>
    <t>rho guanine nucleotide exchange factor 40 isoform 2</t>
  </si>
  <si>
    <t>rho guanine nucleotide exchange factor 40 isoform 3</t>
  </si>
  <si>
    <t>rho guanine nucleotide exchange factor 5</t>
  </si>
  <si>
    <t>rho guanine nucleotide exchange factor 6</t>
  </si>
  <si>
    <t>rho guanine nucleotide exchange factor 7 isoform a</t>
  </si>
  <si>
    <t>rho guanine nucleotide exchange factor 7 isoform b</t>
  </si>
  <si>
    <t>rho guanine nucleotide exchange factor 7 isoform c</t>
  </si>
  <si>
    <t>rho guanine nucleotide exchange factor 9</t>
  </si>
  <si>
    <t xml:space="preserve">AT-rich interactive domain-containing protein 1A </t>
  </si>
  <si>
    <t>E3 ubiquitin-protein ligase ARIH1</t>
  </si>
  <si>
    <t>E3 ubiquitin-protein ligase ARIH2</t>
  </si>
  <si>
    <t>ADP-ribosylation factor-like protein 1</t>
  </si>
  <si>
    <t>ADP-ribosylation factor-like protein 13B</t>
  </si>
  <si>
    <t>ADP-ribosylation factor-like protein 15</t>
  </si>
  <si>
    <t>ADP-ribosylation factor-like protein 2</t>
  </si>
  <si>
    <t xml:space="preserve">ADP-ribosylation factor-like protein 2-binding protein isoform 1 </t>
  </si>
  <si>
    <t xml:space="preserve">ADP-ribosylation factor-like protein 2-binding protein isoform 2 </t>
  </si>
  <si>
    <t>ADP-ribosylation factor-like protein 3</t>
  </si>
  <si>
    <t>ADP-ribosylation factor-like protein 4C</t>
  </si>
  <si>
    <t>ADP-ribosylation factor-like protein 5A</t>
  </si>
  <si>
    <t>ADP-ribosylation factor-like protein 5B</t>
  </si>
  <si>
    <t>ADP-ribosylation factor-like protein 5C</t>
  </si>
  <si>
    <t>ADP-ribosylation factor-like protein 6</t>
  </si>
  <si>
    <t>ADP-ribosylation factor-like protein 6-interacting protein 1</t>
  </si>
  <si>
    <t>ADP-ribosylation factor-like protein 6-interacting protein 4</t>
  </si>
  <si>
    <t>PRA1 family protein 3</t>
  </si>
  <si>
    <t>ADP-ribosylation factor-like protein 6-interacting protein 6</t>
  </si>
  <si>
    <t>ADP-ribosylation factor-like protein 8A</t>
  </si>
  <si>
    <t>ADP-ribosylation factor-like protein 8B</t>
  </si>
  <si>
    <t>armadillo repeat-containing protein 1</t>
  </si>
  <si>
    <t xml:space="preserve">PREDICTED: armadillo repeat-containing protein 1 </t>
  </si>
  <si>
    <t>armadillo repeat-containing protein 10</t>
  </si>
  <si>
    <t>armadillo repeat-containing protein 6</t>
  </si>
  <si>
    <t>armadillo repeat-containing protein 7</t>
  </si>
  <si>
    <t>armadillo repeat-containing protein 8 isoform 1</t>
  </si>
  <si>
    <t>armadillo repeat-containing protein 8 isoform 2</t>
  </si>
  <si>
    <t xml:space="preserve">aryl hydrocarbon receptor nuclear translocator isoform b </t>
  </si>
  <si>
    <t xml:space="preserve">aryl hydrocarbon receptor nuclear translocator isoform a </t>
  </si>
  <si>
    <t>aryl hydrocarbon receptor nuclear translocator 2</t>
  </si>
  <si>
    <t>actin-related protein 41673 complex subunit 1A</t>
  </si>
  <si>
    <t>actin-related protein 41673 complex subunit 1B</t>
  </si>
  <si>
    <t>actin-related protein 41673 complex subunit 2</t>
  </si>
  <si>
    <t>actin-related protein 41673 complex subunit 3</t>
  </si>
  <si>
    <t>actin-related protein 41673 complex subunit 4 isoform 1</t>
  </si>
  <si>
    <t>actin-related protein 41673 complex subunit 4 isoform 2</t>
  </si>
  <si>
    <t>actin-related protein 41673 complex subunit 4 isoform 3</t>
  </si>
  <si>
    <t>actin-related protein 41673 complex subunit 5</t>
  </si>
  <si>
    <t xml:space="preserve">actin-related protein 41673 complex subunit 5-like protein </t>
  </si>
  <si>
    <t xml:space="preserve">cAMP-regulated phosphoprotein 19 isoform 1 </t>
  </si>
  <si>
    <t xml:space="preserve">cAMP-regulated phosphoprotein 19 isoform 2 </t>
  </si>
  <si>
    <t>arrestin domain-containing protein 1 isoform a</t>
  </si>
  <si>
    <t>arrestin domain-containing protein 1 isoform b</t>
  </si>
  <si>
    <t xml:space="preserve">arylsulfatase A precursor </t>
  </si>
  <si>
    <t xml:space="preserve">arylsulfatase B precursor </t>
  </si>
  <si>
    <t>armadillo repeat protein deleted in velo-cardio-facial syndrome homolog isoform 1</t>
  </si>
  <si>
    <t>armadillo repeat protein deleted in velo-cardio-facial syndrome homolog isoform 3</t>
  </si>
  <si>
    <t>armadillo repeat protein deleted in velo-cardio-facial syndrome homolog isoform 4</t>
  </si>
  <si>
    <t>armadillo repeat protein deleted in velo-cardio-facial syndrome homolog isoform 2</t>
  </si>
  <si>
    <t xml:space="preserve">signal peptidase complex subunit 3 </t>
  </si>
  <si>
    <t xml:space="preserve">acid ceramidase precursor </t>
  </si>
  <si>
    <t>neutral ceramidase</t>
  </si>
  <si>
    <t xml:space="preserve">arf-GAP with SH3 domain, ANK repeat and PH domain-containing protein 1 isoform b </t>
  </si>
  <si>
    <t xml:space="preserve">arf-GAP with SH3 domain, ANK repeat and PH domain-containing protein 1 isoform c </t>
  </si>
  <si>
    <t xml:space="preserve">arf-GAP with SH3 domain, ANK repeat and PH domain-containing protein 1 isoform d </t>
  </si>
  <si>
    <t xml:space="preserve">arf-GAP with SH3 domain, ANK repeat and PH domain-containing protein 1 isoform e </t>
  </si>
  <si>
    <t xml:space="preserve">arf-GAP with SH3 domain, ANK repeat and PH domain-containing protein 1 </t>
  </si>
  <si>
    <t xml:space="preserve">arf-GAP with SH3 domain, ANK repeat and PH domain-containing protein 2 isoform b </t>
  </si>
  <si>
    <t xml:space="preserve">arf-GAP with SH3 domain, ANK repeat and PH domain-containing protein 2 isoform a </t>
  </si>
  <si>
    <t xml:space="preserve">arf-GAP with SH3 domain, ANK repeat and PH domain-containing protein 2 isoform c </t>
  </si>
  <si>
    <t xml:space="preserve">ankyrin repeat and SOCS box protein 14 isoform 2 </t>
  </si>
  <si>
    <t xml:space="preserve">ankyrin repeat and SOCS box protein 15 </t>
  </si>
  <si>
    <t xml:space="preserve">ankyrin repeat and SOCS box protein 4 </t>
  </si>
  <si>
    <t xml:space="preserve">activating signal cointegrator 1 complex subunit 1 </t>
  </si>
  <si>
    <t xml:space="preserve">activating signal cointegrator 1 complex subunit 2 </t>
  </si>
  <si>
    <t xml:space="preserve">activating signal cointegrator 1 complex subunit 3 </t>
  </si>
  <si>
    <t xml:space="preserve">histone chaperone ASF1A </t>
  </si>
  <si>
    <t xml:space="preserve">histone chaperone ASF1B </t>
  </si>
  <si>
    <t>set1/Ash2 histone methyltransferase complex subunit ASH2 isoform b</t>
  </si>
  <si>
    <t>set1/Ash2 histone methyltransferase complex subunit ASH2 isoform a</t>
  </si>
  <si>
    <t>argininosuccinate lyase</t>
  </si>
  <si>
    <t>ATPase Asna1</t>
  </si>
  <si>
    <t xml:space="preserve">asparagine synthetase [glutamine-hydrolyzing] </t>
  </si>
  <si>
    <t>aspartyl/asparaginyl beta-hydroxylase isoform 2</t>
  </si>
  <si>
    <t>aspartyl/asparaginyl beta-hydroxylase isoform 6</t>
  </si>
  <si>
    <t>aspartyl/asparaginyl beta-hydroxylase isoform 7</t>
  </si>
  <si>
    <t>aspartyl/asparaginyl beta-hydroxylase isoform 9</t>
  </si>
  <si>
    <t>aspartyl/asparaginyl beta-hydroxylase isoform 1</t>
  </si>
  <si>
    <t>aspartyl/asparaginyl beta-hydroxylase isoform 3</t>
  </si>
  <si>
    <t>aspartyl/asparaginyl beta-hydroxylase isoform 4</t>
  </si>
  <si>
    <t>aspartyl/asparaginyl beta-hydroxylase isoform 5</t>
  </si>
  <si>
    <t>aspartyl/asparaginyl beta-hydroxylase isoform 8</t>
  </si>
  <si>
    <t>aspartyl/asparaginyl beta-hydroxylase isoform 10</t>
  </si>
  <si>
    <t xml:space="preserve">abnormal spindle-like microcephaly-associated protein homolog </t>
  </si>
  <si>
    <t>tether containing UBX domain for GLUT4 isoform 3</t>
  </si>
  <si>
    <t>tether containing UBX domain for GLUT4 isoform 2</t>
  </si>
  <si>
    <t>tether containing UBX domain for GLUT4 isoform 1</t>
  </si>
  <si>
    <t>argininosuccinate synthase</t>
  </si>
  <si>
    <t>ATPase family AAA domain-containing protein 1</t>
  </si>
  <si>
    <t>ATPase family AAA domain-containing protein 2</t>
  </si>
  <si>
    <t>ATPase family AAA domain-containing protein 3</t>
  </si>
  <si>
    <t xml:space="preserve">arginyl-tRNA--protein transferase 1 isoform 4 </t>
  </si>
  <si>
    <t xml:space="preserve">arginyl-tRNA--protein transferase 1 isoform 1 </t>
  </si>
  <si>
    <t xml:space="preserve">arginyl-tRNA--protein transferase 1 isoform 2 </t>
  </si>
  <si>
    <t xml:space="preserve">arginyl-tRNA--protein transferase 1 isoform 3 </t>
  </si>
  <si>
    <t>cyclic AMP-dependent transcription factor ATF-6 alpha</t>
  </si>
  <si>
    <t>activating transcription factor 7-interacting protein 1</t>
  </si>
  <si>
    <t xml:space="preserve">autophagy-related protein 16-1 isoform 2 </t>
  </si>
  <si>
    <t xml:space="preserve">autophagy-related protein 16-1 isoform 1 </t>
  </si>
  <si>
    <t xml:space="preserve">autophagy-related protein 16-1 isoform 3 </t>
  </si>
  <si>
    <t xml:space="preserve">autophagy-related protein 2 homolog B </t>
  </si>
  <si>
    <t xml:space="preserve">ubiquitin-like-conjugating enzyme ATG3 </t>
  </si>
  <si>
    <t xml:space="preserve">cysteine protease ATG4B </t>
  </si>
  <si>
    <t xml:space="preserve">autophagy protein 5 </t>
  </si>
  <si>
    <t>ubiquitin-like modifier-activating enzyme ATG7</t>
  </si>
  <si>
    <t>ubiquitin-like modifier-activating enzyme ATG7 isoform 1</t>
  </si>
  <si>
    <t xml:space="preserve">bifunctional purine biosynthesis protein PURH </t>
  </si>
  <si>
    <t xml:space="preserve">atlastin-1 </t>
  </si>
  <si>
    <t xml:space="preserve">atlastin-2 isoform 3 </t>
  </si>
  <si>
    <t xml:space="preserve">atlastin-2 isoform 1 </t>
  </si>
  <si>
    <t xml:space="preserve">atlastin-2 isoform 2 </t>
  </si>
  <si>
    <t xml:space="preserve">atlastin-3 isoform 1 </t>
  </si>
  <si>
    <t xml:space="preserve">atlastin-3 isoform 2 </t>
  </si>
  <si>
    <t xml:space="preserve">serine-protein kinase ATM </t>
  </si>
  <si>
    <t>ATM interactor</t>
  </si>
  <si>
    <t>copper transport protein ATOX1</t>
  </si>
  <si>
    <t>probable phospholipid-transporting ATPase IH</t>
  </si>
  <si>
    <t xml:space="preserve">ATPase, class VI, type 11B </t>
  </si>
  <si>
    <t xml:space="preserve">potassium-transporting ATPase alpha chain 2 </t>
  </si>
  <si>
    <t>probable cation-transporting ATPase 13A1</t>
  </si>
  <si>
    <t>probable cation-transporting ATPase 13A3 isoform 2</t>
  </si>
  <si>
    <t>probable cation-transporting ATPase 13A3 isoform 1</t>
  </si>
  <si>
    <t xml:space="preserve">sodium/potassium-transporting ATPase subunit alpha-1 precursor </t>
  </si>
  <si>
    <t xml:space="preserve">sodium/potassium-transporting ATPase subunit alpha-2 precursor </t>
  </si>
  <si>
    <t>sodium/potassium-transporting ATPase subunit alpha-3</t>
  </si>
  <si>
    <t>sodium/potassium-transporting ATPase subunit alpha-4</t>
  </si>
  <si>
    <t>sodium/potassium-transporting ATPase subunit beta-1</t>
  </si>
  <si>
    <t>sodium/potassium-transporting ATPase subunit beta-3</t>
  </si>
  <si>
    <t xml:space="preserve">sarcoplasmic/endoplasmic reticulum calcium ATPase 1 </t>
  </si>
  <si>
    <t xml:space="preserve">sarcoplasmic/endoplasmic reticulum calcium ATPase 2 isoform a </t>
  </si>
  <si>
    <t xml:space="preserve">sarcoplasmic/endoplasmic reticulum calcium ATPase 2 isoform b </t>
  </si>
  <si>
    <t xml:space="preserve">sarcoplasmic/endoplasmic reticulum calcium ATPase 3 isoform a </t>
  </si>
  <si>
    <t xml:space="preserve">sarcoplasmic/endoplasmic reticulum calcium ATPase 3 isoform c </t>
  </si>
  <si>
    <t xml:space="preserve">sarcoplasmic/endoplasmic reticulum calcium ATPase 3 isoform b </t>
  </si>
  <si>
    <t xml:space="preserve">plasma membrane calcium ATPase 1 </t>
  </si>
  <si>
    <t xml:space="preserve">plasma membrane calcium-transporting ATPase 2 </t>
  </si>
  <si>
    <t xml:space="preserve">plasma membrane calcium ATPase 3 </t>
  </si>
  <si>
    <t xml:space="preserve">plasma membrane calcium ATPase 4 isoform a </t>
  </si>
  <si>
    <t xml:space="preserve">plasma membrane calcium ATPase 4 isoform b </t>
  </si>
  <si>
    <t>calcium-transporting ATPase type 2C member 1 isoform 2</t>
  </si>
  <si>
    <t>calcium-transporting ATPase type 2C member 1 isoform 1</t>
  </si>
  <si>
    <t>calcium-transporting ATPase type 2C member 1 isoform 3</t>
  </si>
  <si>
    <t xml:space="preserve">potassium-transporting ATPase alpha chain 1 </t>
  </si>
  <si>
    <t>ATP synthase subunit alpha, mitochondrial precursor</t>
  </si>
  <si>
    <t>ATP synthase subunit beta, mitochondrial precursor</t>
  </si>
  <si>
    <t xml:space="preserve">ATP synthase subunit gamma, mitochondrial isoform a </t>
  </si>
  <si>
    <t xml:space="preserve">ATP synthase subunit gamma, mitochondrial isoform b </t>
  </si>
  <si>
    <t>ATP synthase subunit delta, mitochondrial precursor</t>
  </si>
  <si>
    <t xml:space="preserve">ATP synthase subunit epsilon, mitochondrial </t>
  </si>
  <si>
    <t>ATP synthase subunit b, mitochondrial precursor</t>
  </si>
  <si>
    <t xml:space="preserve">ATP synthase subunit d, mitochondrial </t>
  </si>
  <si>
    <t>ATP synthase-coupling factor 6, mitochondrial precursor</t>
  </si>
  <si>
    <t xml:space="preserve">ATP synthase subunit f, mitochondrial </t>
  </si>
  <si>
    <t xml:space="preserve">ATP synthase subunit e, mitochondrial </t>
  </si>
  <si>
    <t xml:space="preserve">ATP synthase subunit g, mitochondrial </t>
  </si>
  <si>
    <t>ATP synthase subunit O, mitochondrial precursor</t>
  </si>
  <si>
    <t>ATP synthase subunit s, mitochondrial precursor</t>
  </si>
  <si>
    <t xml:space="preserve">renin receptor precursor </t>
  </si>
  <si>
    <t xml:space="preserve">V-type proton ATPase 116 kDa subunit a isoform 1 isoform 1 </t>
  </si>
  <si>
    <t xml:space="preserve">V-type proton ATPase 116 kDa subunit a isoform 1 isoform 2 </t>
  </si>
  <si>
    <t xml:space="preserve">V-type proton ATPase 116 kDa subunit a isoform 1 isoform 3 </t>
  </si>
  <si>
    <t xml:space="preserve">V-type proton ATPase 116 kDa subunit a isoform 1 isoform 4 </t>
  </si>
  <si>
    <t xml:space="preserve">V-type proton ATPase 116 kDa subunit a isoform 2 </t>
  </si>
  <si>
    <t xml:space="preserve">V-type proton ATPase 116 kDa subunit a isoform 4 </t>
  </si>
  <si>
    <t xml:space="preserve">V-type proton ATPase 16 kDa proteolipid subunit </t>
  </si>
  <si>
    <t>V-type proton ATPase subunit d 1</t>
  </si>
  <si>
    <t>V-type proton ATPase catalytic subunit A</t>
  </si>
  <si>
    <t xml:space="preserve">V-type proton ATPase subunit B, kidney isoform </t>
  </si>
  <si>
    <t xml:space="preserve">V-type proton ATPase subunit B, brain isoform </t>
  </si>
  <si>
    <t>V-type proton ATPase subunit C 1</t>
  </si>
  <si>
    <t>V-type proton ATPase subunit C 2 isoform 2</t>
  </si>
  <si>
    <t>V-type proton ATPase subunit C 2 isoform 1</t>
  </si>
  <si>
    <t xml:space="preserve">V-type proton ATPase subunit D </t>
  </si>
  <si>
    <t>V-type proton ATPase subunit E 1</t>
  </si>
  <si>
    <t>V-type proton ATPase subunit E 2</t>
  </si>
  <si>
    <t xml:space="preserve">V-type proton ATPase subunit F </t>
  </si>
  <si>
    <t>V-type proton ATPase subunit G 1</t>
  </si>
  <si>
    <t xml:space="preserve">V-type proton ATPase subunit H </t>
  </si>
  <si>
    <t xml:space="preserve">copper-transporting ATPase 1 isoform 2 </t>
  </si>
  <si>
    <t xml:space="preserve">copper-transporting ATPase 1 isoform 1 </t>
  </si>
  <si>
    <t xml:space="preserve">ATP synthase F0 subunit 8musculus </t>
  </si>
  <si>
    <t xml:space="preserve">ATP synthase F0 subunit 8 </t>
  </si>
  <si>
    <t>probable phospholipid-transporting ATPase IB</t>
  </si>
  <si>
    <t>probable phospholipid-transporting ATPase IC</t>
  </si>
  <si>
    <t>probable phospholipid-transporting ATPase IK</t>
  </si>
  <si>
    <t xml:space="preserve">ATPase, class I, type 8B, member 4 </t>
  </si>
  <si>
    <t>probable phospholipid-transporting ATPase IIA</t>
  </si>
  <si>
    <t>probable phospholipid-transporting ATPase IIB isoform 1</t>
  </si>
  <si>
    <t>probable phospholipid-transporting ATPase IIB isoform 2</t>
  </si>
  <si>
    <t>ATP synthase mitochondrial F1 complex assembly factor 1</t>
  </si>
  <si>
    <t>ATP synthase mitochondrial F1 complex assembly factor 2</t>
  </si>
  <si>
    <t>ATPase inhibitor, mitochondrial precursor</t>
  </si>
  <si>
    <t xml:space="preserve">serine/threonine-protein kinase ATR </t>
  </si>
  <si>
    <t>all-trans retinoic acid-induced differentiation factor isoform 1 precursor</t>
  </si>
  <si>
    <t xml:space="preserve">ataxin-10 </t>
  </si>
  <si>
    <t xml:space="preserve">ataxin-2 </t>
  </si>
  <si>
    <t>ataxin-2-like protein</t>
  </si>
  <si>
    <t xml:space="preserve">ataxin-3 isoform 1 </t>
  </si>
  <si>
    <t xml:space="preserve">ataxin-3 isoform 2 </t>
  </si>
  <si>
    <t>putative ataxin-7-like protein 3B</t>
  </si>
  <si>
    <t xml:space="preserve">uncharacterized protein LOC99169 </t>
  </si>
  <si>
    <t xml:space="preserve">uncharacterized protein LOC270156 </t>
  </si>
  <si>
    <t>methylglutaconyl-CoA hydratase, mitochondrial precursor</t>
  </si>
  <si>
    <t>ancient ubiquitous protein 1</t>
  </si>
  <si>
    <t xml:space="preserve">aurora kinase A </t>
  </si>
  <si>
    <t>cell death regulator Aven isoform 1</t>
  </si>
  <si>
    <t>cell death regulator Aven isoform 2</t>
  </si>
  <si>
    <t>late secretory pathway protein AVL9 homolog</t>
  </si>
  <si>
    <t>arginine vasopressin-induced protein 1</t>
  </si>
  <si>
    <t>UPF0415 protein C7orf25 homolog</t>
  </si>
  <si>
    <t>UPF0600 protein C5orf51 homolog</t>
  </si>
  <si>
    <t xml:space="preserve">BCSC-1 </t>
  </si>
  <si>
    <t xml:space="preserve">uncharacterized protein LOC278676 </t>
  </si>
  <si>
    <t xml:space="preserve">5-azacytidine-induced protein 1 </t>
  </si>
  <si>
    <t>beta-2-microglobulin precursor</t>
  </si>
  <si>
    <t>beta-1,3-galactosyltransferase 6</t>
  </si>
  <si>
    <t xml:space="preserve">galactosylgalactosylxylosylprotein 3-beta-glucuronosyltransferase 3 </t>
  </si>
  <si>
    <t>UDP-GlcNAc:betaGal beta-1,3-N-acetylglucosaminyltransferase 3 precursor</t>
  </si>
  <si>
    <t xml:space="preserve">beta-1,4 N-acetylgalactosaminyltransferase 1 isoform 2 </t>
  </si>
  <si>
    <t xml:space="preserve">beta-1,4 N-acetylgalactosaminyltransferase 1 isoform 3 </t>
  </si>
  <si>
    <t xml:space="preserve">beta-1,4 N-acetylgalactosaminyltransferase 1 isoform 4 </t>
  </si>
  <si>
    <t xml:space="preserve">beta-1,4 N-acetylgalactosaminyltransferase 1 isoform 1 </t>
  </si>
  <si>
    <t xml:space="preserve">beta-1,4 N-acetylgalactosaminyltransferase 2 </t>
  </si>
  <si>
    <t>beta-1,4-galactosyltransferase 1</t>
  </si>
  <si>
    <t xml:space="preserve">beta-1,4-galactosyltransferase 4 precursor </t>
  </si>
  <si>
    <t>beta-1,4-galactosyltransferase 5</t>
  </si>
  <si>
    <t>BRISC and BRCA1-A complex member 1</t>
  </si>
  <si>
    <t xml:space="preserve">bcl2 antagonist of cell death </t>
  </si>
  <si>
    <t>BAG family molecular chaperone regulator 1 isoform 1L</t>
  </si>
  <si>
    <t>BAG family molecular chaperone regulator 1 isoform 1S</t>
  </si>
  <si>
    <t>BAG family molecular chaperone regulator 2</t>
  </si>
  <si>
    <t>BAG family molecular chaperone regulator 4</t>
  </si>
  <si>
    <t>BAG family molecular chaperone regulator 5</t>
  </si>
  <si>
    <t>large proline-rich protein BAG6 isoform 1</t>
  </si>
  <si>
    <t>large proline-rich protein BAG6 isoform 2</t>
  </si>
  <si>
    <t>large proline-rich protein BAG6 isoform 3</t>
  </si>
  <si>
    <t>brain-specific angiogenesis inhibitor 1-associated protein 2 isoform a</t>
  </si>
  <si>
    <t>brain-specific angiogenesis inhibitor 1-associated protein 2 isoform b</t>
  </si>
  <si>
    <t>brain-specific angiogenesis inhibitor 1-associated protein 2 isoform c</t>
  </si>
  <si>
    <t>brain-specific angiogenesis inhibitor 1-associated protein 2-like protein 1</t>
  </si>
  <si>
    <t xml:space="preserve">bcl-2 homologous antagonist/killer </t>
  </si>
  <si>
    <t>barrier-to-autointegration factor</t>
  </si>
  <si>
    <t xml:space="preserve">brain acid soluble protein 1 </t>
  </si>
  <si>
    <t xml:space="preserve">apoptosis regulator BAX </t>
  </si>
  <si>
    <t xml:space="preserve">tyrosine-protein kinase BAZ1B </t>
  </si>
  <si>
    <t>eukaryotic translation initiation factor 1A-like 3</t>
  </si>
  <si>
    <t xml:space="preserve">BBSome-interacting protein 1 </t>
  </si>
  <si>
    <t xml:space="preserve">Bardet-Biedl syndrome 1 </t>
  </si>
  <si>
    <t xml:space="preserve">protein odr-4 homolog isoform 1 </t>
  </si>
  <si>
    <t xml:space="preserve">protein odr-4 homolog isoform 2 </t>
  </si>
  <si>
    <t xml:space="preserve">protein CCSMST1 precursor </t>
  </si>
  <si>
    <t xml:space="preserve">cDNA sequence BC005561 </t>
  </si>
  <si>
    <t>uncharacterized protein C9orf78 homolog</t>
  </si>
  <si>
    <t>uncharacterized protein C17orf62 homolog isoform 2</t>
  </si>
  <si>
    <t>uncharacterized protein C17orf62 homolog isoform 1</t>
  </si>
  <si>
    <t>uncharacterized protein C17orf62 homolog isoform 3</t>
  </si>
  <si>
    <t xml:space="preserve">glutathione S-transferase P-like </t>
  </si>
  <si>
    <t>mitogen-activated protein kinase kinase kinase MLK4</t>
  </si>
  <si>
    <t>protein FAM206A</t>
  </si>
  <si>
    <t xml:space="preserve">uncharacterized protein LOC212547 </t>
  </si>
  <si>
    <t xml:space="preserve">dynein light chain LC8-type 1-like </t>
  </si>
  <si>
    <t>testis specific basic protein isoform 1</t>
  </si>
  <si>
    <t xml:space="preserve">WD repeat-containing protein C2orf44 homolog isoform 1 </t>
  </si>
  <si>
    <t xml:space="preserve">WD repeat-containing protein C2orf44 homolog isoform 2 </t>
  </si>
  <si>
    <t>selenoprotein V</t>
  </si>
  <si>
    <t xml:space="preserve">basal cell adhesion molecule precursor </t>
  </si>
  <si>
    <t>B-cell receptor-associated protein 29</t>
  </si>
  <si>
    <t>B-cell receptor-associated protein 31</t>
  </si>
  <si>
    <t>breast cancer anti-estrogen resistance protein 1 isoform A</t>
  </si>
  <si>
    <t>breast cancer anti-estrogen resistance protein 1 isoform B</t>
  </si>
  <si>
    <t xml:space="preserve">pre-mRNA-splicing factor SPF27 </t>
  </si>
  <si>
    <t xml:space="preserve">branched-chain-amino-acid aminotransferase, cytosolic isoform 2 </t>
  </si>
  <si>
    <t xml:space="preserve">branched-chain-amino-acid aminotransferase, cytosolic isoform 1 </t>
  </si>
  <si>
    <t>branched-chain-amino-acid aminotransferase, mitochondrial isoform 1 precursor</t>
  </si>
  <si>
    <t xml:space="preserve">branched-chain-amino-acid aminotransferase, mitochondrial isoform 2 </t>
  </si>
  <si>
    <t>BRCA2 and CDKN1A-interacting protein</t>
  </si>
  <si>
    <t xml:space="preserve">2-oxoisovalerate dehydrogenase subunit alpha, mitochondrial </t>
  </si>
  <si>
    <t xml:space="preserve">2-oxoisovalerate dehydrogenase subunit beta, mitochondrial </t>
  </si>
  <si>
    <t xml:space="preserve">B-cell lymphoma/leukemia 10 </t>
  </si>
  <si>
    <t xml:space="preserve">bcl-2-like protein 1 </t>
  </si>
  <si>
    <t xml:space="preserve">bcl-2-like protein 11 isoform 1 </t>
  </si>
  <si>
    <t xml:space="preserve">bcl-2-like protein 13 </t>
  </si>
  <si>
    <t xml:space="preserve">apoptosis facilitator Bcl-2-like protein 14 </t>
  </si>
  <si>
    <t xml:space="preserve">B-cell CLL/lymphoma 7 protein family member A </t>
  </si>
  <si>
    <t>B-cell CLL/lymphoma 9-like protein</t>
  </si>
  <si>
    <t>bcl-2-associated transcription factor 1 isoform 2</t>
  </si>
  <si>
    <t>bcl-2-associated transcription factor 1 isoform 1</t>
  </si>
  <si>
    <t>bcl-2-associated transcription factor 1 isoform 3</t>
  </si>
  <si>
    <t>breakpoint cluster region protein</t>
  </si>
  <si>
    <t xml:space="preserve">mitochondrial chaperone BCS1 </t>
  </si>
  <si>
    <t>D-beta-hydroxybutyrate dehydrogenase, mitochondrial precursor</t>
  </si>
  <si>
    <t xml:space="preserve">beclin-1 </t>
  </si>
  <si>
    <t>BET1 homolog</t>
  </si>
  <si>
    <t>BET1-like protein</t>
  </si>
  <si>
    <t xml:space="preserve">protein bicaudal C homolog 1 </t>
  </si>
  <si>
    <t xml:space="preserve">protein bicaudal D homolog 1 isoform 2 </t>
  </si>
  <si>
    <t xml:space="preserve">protein bicaudal D homolog 1 isoform 1 </t>
  </si>
  <si>
    <t xml:space="preserve">protein bicaudal D homolog 2 isoform 2 </t>
  </si>
  <si>
    <t xml:space="preserve">protein bicaudal D homolog 2 isoform 1 </t>
  </si>
  <si>
    <t xml:space="preserve">protein bicaudal D homolog 2 isoform 3 </t>
  </si>
  <si>
    <t>BH3-interacting domain death agonist</t>
  </si>
  <si>
    <t>myc box-dependent-interacting protein 1 isoform 2</t>
  </si>
  <si>
    <t>myc box-dependent-interacting protein 1 isoform 1</t>
  </si>
  <si>
    <t xml:space="preserve">bridging integrator 3 </t>
  </si>
  <si>
    <t xml:space="preserve">baculoviral IAP repeat-containing protein 6 </t>
  </si>
  <si>
    <t xml:space="preserve">tyrosine-protein kinase Blk </t>
  </si>
  <si>
    <t>bleomycin hydrolase</t>
  </si>
  <si>
    <t xml:space="preserve">B-cell linker protein </t>
  </si>
  <si>
    <t>biogenesis of lysosome-related organelles complex 1 subunit 1</t>
  </si>
  <si>
    <t>protein cappuccino</t>
  </si>
  <si>
    <t>protein Muted</t>
  </si>
  <si>
    <t>biliverdin reductase A precursor</t>
  </si>
  <si>
    <t xml:space="preserve">flavin reductase (NADPH) </t>
  </si>
  <si>
    <t xml:space="preserve">bone morphogenetic protein 7 preproprotein </t>
  </si>
  <si>
    <t>vesicle transport protein SEC20</t>
  </si>
  <si>
    <t>biorientation of chromosomes in cell division protein 1</t>
  </si>
  <si>
    <t xml:space="preserve">biorientation of chromosomes in cell division 1-like </t>
  </si>
  <si>
    <t>bcl-2-related ovarian killer protein</t>
  </si>
  <si>
    <t xml:space="preserve">bolA-like protein 1 </t>
  </si>
  <si>
    <t xml:space="preserve">bolA-like protein 2 </t>
  </si>
  <si>
    <t>ribosome biogenesis protein BOP1</t>
  </si>
  <si>
    <t>bisphosphoglycerate mutase</t>
  </si>
  <si>
    <t xml:space="preserve">valacyclovir hydrolase precursor </t>
  </si>
  <si>
    <t xml:space="preserve">3'(2'),5'-bisphosphate nucleotidase 1 </t>
  </si>
  <si>
    <t xml:space="preserve">serine/threonine-protein kinase B-raf </t>
  </si>
  <si>
    <t>BRCA1-associated protein</t>
  </si>
  <si>
    <t>BRCA1-associated ATM activator 1 isoform 2</t>
  </si>
  <si>
    <t>BRCA1-associated ATM activator 1 isoform 3</t>
  </si>
  <si>
    <t xml:space="preserve">lys-63-specific deubiquitinase BRCC36 </t>
  </si>
  <si>
    <t xml:space="preserve">bromodomain-containing protein 2 </t>
  </si>
  <si>
    <t xml:space="preserve">bromodomain-containing protein 3 isoform 2 </t>
  </si>
  <si>
    <t xml:space="preserve">bromodomain-containing protein 3 isoform 1 </t>
  </si>
  <si>
    <t xml:space="preserve">bromodomain-containing protein 4 isoform 2 </t>
  </si>
  <si>
    <t xml:space="preserve">bromodomain-containing protein 4 isoform 1 </t>
  </si>
  <si>
    <t>BRCA1-A complex subunit BRE isoform V</t>
  </si>
  <si>
    <t>BRCA1-A complex subunit BRE isoform I</t>
  </si>
  <si>
    <t>BRCA1-A complex subunit BRE isoform III</t>
  </si>
  <si>
    <t>BRCA1-A complex subunit BRE isoform IV</t>
  </si>
  <si>
    <t>BRCA1-A complex subunit BRE isoform II</t>
  </si>
  <si>
    <t xml:space="preserve">brain protein I3 isoform 1 </t>
  </si>
  <si>
    <t xml:space="preserve">brain protein I3 isoform 2 </t>
  </si>
  <si>
    <t xml:space="preserve">BRI3-binding protein precursor </t>
  </si>
  <si>
    <t xml:space="preserve">ribosome biogenesis protein BRX1 homolog </t>
  </si>
  <si>
    <t>protein BRICK1</t>
  </si>
  <si>
    <t>BRO1 domain-containing protein BROX</t>
  </si>
  <si>
    <t xml:space="preserve">bombesin receptor subtype-3 </t>
  </si>
  <si>
    <t>BSD domain-containing protein 1</t>
  </si>
  <si>
    <t>basigin isoform 2 precursor</t>
  </si>
  <si>
    <t>basigin isoform 1 precursor</t>
  </si>
  <si>
    <t xml:space="preserve">barttin </t>
  </si>
  <si>
    <t>B box and SPRY domain-containing protein</t>
  </si>
  <si>
    <t>ADP-ribosyl cyclase 2 precursor</t>
  </si>
  <si>
    <t>bone marrow stromal antigen 2 precursor</t>
  </si>
  <si>
    <t>TATA-binding protein-associated factor 172</t>
  </si>
  <si>
    <t>BTB/POZ domain-containing protein 1</t>
  </si>
  <si>
    <t xml:space="preserve">BTB (POZ) domain containing 2 </t>
  </si>
  <si>
    <t>biotinidase precursor</t>
  </si>
  <si>
    <t xml:space="preserve">transcription factor BTF3 isoform 2 </t>
  </si>
  <si>
    <t xml:space="preserve">transcription factor BTF3 isoform 1 </t>
  </si>
  <si>
    <t xml:space="preserve">transcription factor BTF3 homolog 4 </t>
  </si>
  <si>
    <t>F-box/WD repeat-containing protein 1A isoform a</t>
  </si>
  <si>
    <t>F-box/WD repeat-containing protein 1A isoform b</t>
  </si>
  <si>
    <t xml:space="preserve">mitotic checkpoint serine/threonine-protein kinase BUB1 isoform 1 </t>
  </si>
  <si>
    <t xml:space="preserve">mitotic checkpoint serine/threonine-protein kinase BUB1 isoform 2 </t>
  </si>
  <si>
    <t>mitotic checkpoint serine/threonine-protein kinase BUB1 beta</t>
  </si>
  <si>
    <t>mitotic checkpoint protein BUB3</t>
  </si>
  <si>
    <t xml:space="preserve">protein BUD31 homolog </t>
  </si>
  <si>
    <t xml:space="preserve">bystin </t>
  </si>
  <si>
    <t xml:space="preserve">peripheral-type benzodiazepine receptor-associated protein 1 </t>
  </si>
  <si>
    <t>basic leucine zipper and W2 domain-containing protein 1</t>
  </si>
  <si>
    <t>basic leucine zipper and W2 domain-containing protein 2</t>
  </si>
  <si>
    <t>UPF0598 protein C8orf82 homolog isoform 2</t>
  </si>
  <si>
    <t>UPF0598 protein C8orf82 homolog isoform 1</t>
  </si>
  <si>
    <t xml:space="preserve">complement component 1 Q subcomponent-binding protein, mitochondrial </t>
  </si>
  <si>
    <t xml:space="preserve">uncharacterized protein KIAA0528 isoform 1 </t>
  </si>
  <si>
    <t xml:space="preserve">uncharacterized protein KIAA0528 isoform 2 </t>
  </si>
  <si>
    <t xml:space="preserve">uncharacterized protein KIAA0528 isoform 3 </t>
  </si>
  <si>
    <t>UPF0428 protein CXorf56 homolog</t>
  </si>
  <si>
    <t xml:space="preserve">uncharacterized protein KIAA1522 </t>
  </si>
  <si>
    <t>H-2 class I histocompatibility antigen-like precursor</t>
  </si>
  <si>
    <t xml:space="preserve">calcium-binding protein 39 </t>
  </si>
  <si>
    <t xml:space="preserve">calcium-binding protein 39-like </t>
  </si>
  <si>
    <t>calcium channel flower homolog isoform 1</t>
  </si>
  <si>
    <t xml:space="preserve">cactin </t>
  </si>
  <si>
    <t>CDK2-associated and cullin domain-containing protein 1 isoform 2</t>
  </si>
  <si>
    <t>CDK2-associated and cullin domain-containing protein 1 isoform 3</t>
  </si>
  <si>
    <t>CDK2-associated and cullin domain-containing protein 1 isoform 1</t>
  </si>
  <si>
    <t>calcyclin-binding protein</t>
  </si>
  <si>
    <t xml:space="preserve">carbamoyl-phosphate synthetase 2, aspartate transcarbamylase, and dihydroorotase </t>
  </si>
  <si>
    <t xml:space="preserve">cell adhesion molecule 1 isoform b precursor </t>
  </si>
  <si>
    <t xml:space="preserve">cell adhesion molecule 1 isoform a precursor </t>
  </si>
  <si>
    <t xml:space="preserve">cell adhesion molecule 1 isoform c precursor </t>
  </si>
  <si>
    <t xml:space="preserve">cell adhesion molecule 1 isoform d precursor </t>
  </si>
  <si>
    <t xml:space="preserve">cell adhesion molecule 4 precursor </t>
  </si>
  <si>
    <t>calcium-binding and coiled-coil domain-containing protein 1</t>
  </si>
  <si>
    <t>caldesmon 1</t>
  </si>
  <si>
    <t xml:space="preserve">calmodulin </t>
  </si>
  <si>
    <t xml:space="preserve">calmodulin-like protein 3 </t>
  </si>
  <si>
    <t>calreticulin precursor</t>
  </si>
  <si>
    <t xml:space="preserve">calumenin isoform 3 </t>
  </si>
  <si>
    <t>calumenin isoform 2 precursor</t>
  </si>
  <si>
    <t>calumenin isoform 1 precursor</t>
  </si>
  <si>
    <t xml:space="preserve">calcium/calmodulin-dependent protein kinase type 1 </t>
  </si>
  <si>
    <t xml:space="preserve">calcium/calmodulin-dependent protein kinase type II subunit alpha isoform 2 </t>
  </si>
  <si>
    <t xml:space="preserve">calcium/calmodulin-dependent protein kinase type II subunit beta isoform 2 </t>
  </si>
  <si>
    <t xml:space="preserve">calcium/calmodulin-dependent protein kinase type II subunit beta isoform 1 </t>
  </si>
  <si>
    <t xml:space="preserve">calcium/calmodulin-dependent protein kinase type II subunit beta isoform 3 </t>
  </si>
  <si>
    <t xml:space="preserve">calcium/calmodulin-dependent protein kinase type II subunit delta isoform 3 </t>
  </si>
  <si>
    <t xml:space="preserve">calcium/calmodulin-dependent protein kinase type II subunit delta isoform 2 </t>
  </si>
  <si>
    <t xml:space="preserve">calcium/calmodulin-dependent protein kinase type II subunit delta isoform 1 </t>
  </si>
  <si>
    <t xml:space="preserve">calcium/calmodulin-dependent protein kinase type II subunit gamma isoform 1 </t>
  </si>
  <si>
    <t xml:space="preserve">calcium/calmodulin-dependent protein kinase type II subunit gamma isoform 3 </t>
  </si>
  <si>
    <t xml:space="preserve">calcium/calmodulin-dependent protein kinase type II subunit gamma isoform 2 </t>
  </si>
  <si>
    <t xml:space="preserve">calcium/calmodulin-dependent protein kinase kinase 2 isoform 2 </t>
  </si>
  <si>
    <t xml:space="preserve">calcium/calmodulin-dependent protein kinase kinase 2 isoform 1 </t>
  </si>
  <si>
    <t>calmodulin-lysine N-methyltransferase</t>
  </si>
  <si>
    <t>cathelin-related antimicrobial peptide precursor</t>
  </si>
  <si>
    <t>calmodulin-regulated spectrin-associated protein 3 isoform 1</t>
  </si>
  <si>
    <t>calmodulin-regulated spectrin-associated protein 3 isoform 2</t>
  </si>
  <si>
    <t>cullin-associated NEDD8-dissociated protein 1</t>
  </si>
  <si>
    <t>cullin-associated NEDD8-dissociated protein 2</t>
  </si>
  <si>
    <t>calnexin precursor</t>
  </si>
  <si>
    <t>adenylyl cyclase-associated protein 1</t>
  </si>
  <si>
    <t>macrophage-capping protein</t>
  </si>
  <si>
    <t xml:space="preserve">calpain-1 catalytic subunit </t>
  </si>
  <si>
    <t xml:space="preserve">calpain-15 </t>
  </si>
  <si>
    <t xml:space="preserve">calpain-2 catalytic subunit </t>
  </si>
  <si>
    <t xml:space="preserve">calpain-5 </t>
  </si>
  <si>
    <t xml:space="preserve">calpain-8 isoform 1 </t>
  </si>
  <si>
    <t>calpain small subunit 1</t>
  </si>
  <si>
    <t>calpain small subunit 2</t>
  </si>
  <si>
    <t xml:space="preserve">caprin-1 isoform a </t>
  </si>
  <si>
    <t xml:space="preserve">caprin-1 isoform b </t>
  </si>
  <si>
    <t xml:space="preserve">caprin-1 isoform c </t>
  </si>
  <si>
    <t>F-actin-capping protein subunit alpha-1</t>
  </si>
  <si>
    <t>F-actin-capping protein subunit alpha-2</t>
  </si>
  <si>
    <t>F-actin-capping protein subunit alpha-3</t>
  </si>
  <si>
    <t>F-actin-capping protein subunit beta isoform d</t>
  </si>
  <si>
    <t>F-actin-capping protein subunit beta isoform c</t>
  </si>
  <si>
    <t>F-actin-capping protein subunit beta isoform b</t>
  </si>
  <si>
    <t>F-actin-capping protein subunit beta isoform a</t>
  </si>
  <si>
    <t xml:space="preserve">carbonic anhydrase 2 </t>
  </si>
  <si>
    <t xml:space="preserve">carbonic anhydrase 5B, mitochondrial precursor </t>
  </si>
  <si>
    <t xml:space="preserve">calcium-regulated heat stable protein 1 </t>
  </si>
  <si>
    <t xml:space="preserve">ATP-dependent (S)-NAD(P)H-hydrate dehydratase isoform 1 </t>
  </si>
  <si>
    <t xml:space="preserve">ATP-dependent (S)-NAD(P)H-hydrate dehydratase isoform 2 </t>
  </si>
  <si>
    <t xml:space="preserve">histone-arginine methyltransferase CARM1 isoform 2 </t>
  </si>
  <si>
    <t xml:space="preserve">histone-arginine methyltransferase CARM1 isoform 1 </t>
  </si>
  <si>
    <t xml:space="preserve">cysteine--tRNA ligase, cytoplasmic isoform 1 </t>
  </si>
  <si>
    <t xml:space="preserve">cysteine--tRNA ligase, cytoplasmic isoform 2 </t>
  </si>
  <si>
    <t xml:space="preserve">cancer susceptibility candidate protein 1 </t>
  </si>
  <si>
    <t xml:space="preserve">peripheral plasma membrane protein CASK </t>
  </si>
  <si>
    <t xml:space="preserve">caskin-2 </t>
  </si>
  <si>
    <t xml:space="preserve">caspase-14 </t>
  </si>
  <si>
    <t xml:space="preserve">caspase-2 </t>
  </si>
  <si>
    <t xml:space="preserve">caspase-3 </t>
  </si>
  <si>
    <t xml:space="preserve">caspase-6 </t>
  </si>
  <si>
    <t>caspase-7 precursor</t>
  </si>
  <si>
    <t xml:space="preserve">caspase-8 </t>
  </si>
  <si>
    <t xml:space="preserve">caspase-9 </t>
  </si>
  <si>
    <t xml:space="preserve">calpastatin </t>
  </si>
  <si>
    <t xml:space="preserve">catalase </t>
  </si>
  <si>
    <t xml:space="preserve">caveolin-1 isoform 2 </t>
  </si>
  <si>
    <t xml:space="preserve">caveolin-1 isoform 1 </t>
  </si>
  <si>
    <t xml:space="preserve">caveolin-2 </t>
  </si>
  <si>
    <t>core-binding factor subunit beta isoform 3</t>
  </si>
  <si>
    <t>core-binding factor subunit beta isoform 1</t>
  </si>
  <si>
    <t>core-binding factor subunit beta isoform 2</t>
  </si>
  <si>
    <t>core-binding factor subunit beta isoform 4</t>
  </si>
  <si>
    <t>E3 ubiquitin-protein ligase CBL</t>
  </si>
  <si>
    <t>carbonyl reductase [NADPH] 1</t>
  </si>
  <si>
    <t>carbonyl reductase [NADPH] 2</t>
  </si>
  <si>
    <t>carbonyl reductase [NADPH] 3</t>
  </si>
  <si>
    <t xml:space="preserve">carbonyl reductase family member 4 </t>
  </si>
  <si>
    <t>COBW domain-containing protein 1</t>
  </si>
  <si>
    <t>chromobox protein homolog 1</t>
  </si>
  <si>
    <t>chromobox protein homolog 3</t>
  </si>
  <si>
    <t>chromobox protein homolog 5</t>
  </si>
  <si>
    <t>chromobox protein homolog 6</t>
  </si>
  <si>
    <t>coiled-coil and C2 domain-containing protein 1A</t>
  </si>
  <si>
    <t>coiled-coil and C2 domain-containing protein 1B</t>
  </si>
  <si>
    <t xml:space="preserve">PREDICTED: coiled-coil and C2 domain-containing protein 2A </t>
  </si>
  <si>
    <t>cell division cycle and apoptosis regulator protein 1</t>
  </si>
  <si>
    <t xml:space="preserve">DBIRD complex subunit KIAA1967 homolog </t>
  </si>
  <si>
    <t xml:space="preserve">kynurenine--oxoglutarate transaminase 1 </t>
  </si>
  <si>
    <t>coiled-coil domain-containing protein 104</t>
  </si>
  <si>
    <t>coiled-coil domain-containing protein 115</t>
  </si>
  <si>
    <t>coiled-coil domain-containing protein 117</t>
  </si>
  <si>
    <t>coiled-coil domain-containing protein 12</t>
  </si>
  <si>
    <t>coiled-coil domain-containing protein 124</t>
  </si>
  <si>
    <t>coiled-coil domain-containing protein 127 isoform 1</t>
  </si>
  <si>
    <t>coiled-coil domain-containing protein 127 isoform 2</t>
  </si>
  <si>
    <t>coiled-coil domain-containing protein 132 isoform 1</t>
  </si>
  <si>
    <t>coiled-coil domain-containing protein 132 isoform 2</t>
  </si>
  <si>
    <t>coiled-coil domain-containing protein 132 isoform 3</t>
  </si>
  <si>
    <t xml:space="preserve">coiled-coil domain-containing protein 134 precursor </t>
  </si>
  <si>
    <t>coiled-coil domain-containing protein 136 isoform 2</t>
  </si>
  <si>
    <t>coiled-coil domain-containing protein 136 isoform 1</t>
  </si>
  <si>
    <t>coiled-coil domain-containing protein 137</t>
  </si>
  <si>
    <t>coiled-coil domain-containing protein 14</t>
  </si>
  <si>
    <t>coiled-coil domain containing 141</t>
  </si>
  <si>
    <t>coiled-coil domain-containing protein 167 isoform 1</t>
  </si>
  <si>
    <t>coiled-coil domain-containing protein 167 isoform 2</t>
  </si>
  <si>
    <t>coiled-coil domain-containing protein 22</t>
  </si>
  <si>
    <t>coiled-coil domain-containing protein 25</t>
  </si>
  <si>
    <t>coiled-coil domain-containing protein 43</t>
  </si>
  <si>
    <t xml:space="preserve">coiled-coil domain-containing protein 47 precursor </t>
  </si>
  <si>
    <t>coiled-coil domain-containing protein 51</t>
  </si>
  <si>
    <t>WASH complex subunit CCDC53 isoform 3</t>
  </si>
  <si>
    <t>WASH complex subunit CCDC53 isoform 2</t>
  </si>
  <si>
    <t>WASH complex subunit CCDC53 isoform 1</t>
  </si>
  <si>
    <t>coiled-coil domain-containing protein 54</t>
  </si>
  <si>
    <t>nuclear speckle splicing regulatory protein 1</t>
  </si>
  <si>
    <t>coiled-coil domain-containing protein 58 isoform 2</t>
  </si>
  <si>
    <t>coiled-coil domain-containing protein 58 isoform 3</t>
  </si>
  <si>
    <t>coiled-coil domain-containing protein 58 isoform 1</t>
  </si>
  <si>
    <t>thyroid transcription factor 1-associated protein 26</t>
  </si>
  <si>
    <t>coiled-coil domain-containing protein 6</t>
  </si>
  <si>
    <t>coiled-coil domain-containing protein 69</t>
  </si>
  <si>
    <t>protein Daple</t>
  </si>
  <si>
    <t>coiled-coil domain-containing protein 93 isoform c</t>
  </si>
  <si>
    <t>coiled-coil domain-containing protein 93 isoform a</t>
  </si>
  <si>
    <t xml:space="preserve">coiled-coil alpha-helical rod protein 1 </t>
  </si>
  <si>
    <t xml:space="preserve">cyclin-H </t>
  </si>
  <si>
    <t xml:space="preserve">cyclin-K </t>
  </si>
  <si>
    <t xml:space="preserve">cyclin-L1 </t>
  </si>
  <si>
    <t xml:space="preserve">cyclin-T1 </t>
  </si>
  <si>
    <t xml:space="preserve">cyclin-Y </t>
  </si>
  <si>
    <t xml:space="preserve">cyclin Y-like 1 </t>
  </si>
  <si>
    <t xml:space="preserve">copper chaperone for superoxide dismutase </t>
  </si>
  <si>
    <t xml:space="preserve">T-complex protein 1 subunit beta </t>
  </si>
  <si>
    <t xml:space="preserve">T-complex protein 1 subunit gamma </t>
  </si>
  <si>
    <t xml:space="preserve">T-complex protein 1 subunit delta </t>
  </si>
  <si>
    <t xml:space="preserve">T-complex protein 1 subunit epsilon </t>
  </si>
  <si>
    <t xml:space="preserve">T-complex protein 1 subunit zeta </t>
  </si>
  <si>
    <t xml:space="preserve">T-complex protein 1 subunit zeta-2 </t>
  </si>
  <si>
    <t xml:space="preserve">T-complex protein 1 subunit eta </t>
  </si>
  <si>
    <t xml:space="preserve">T-complex protein 1 subunit theta </t>
  </si>
  <si>
    <t xml:space="preserve">vacuolar fusion protein CCZ1 homolog </t>
  </si>
  <si>
    <t xml:space="preserve">monocyte differentiation antigen CD14 precursor </t>
  </si>
  <si>
    <t>CD151 antigen</t>
  </si>
  <si>
    <t>CD2-associated protein</t>
  </si>
  <si>
    <t>CD2 antigen cytoplasmic tail-binding protein 2</t>
  </si>
  <si>
    <t xml:space="preserve">CD44 antigen isoform d precursor </t>
  </si>
  <si>
    <t xml:space="preserve">CD44 antigen isoform e precursor </t>
  </si>
  <si>
    <t xml:space="preserve">CD44 antigen isoform f precursor </t>
  </si>
  <si>
    <t xml:space="preserve">CD44 antigen isoform b precursor </t>
  </si>
  <si>
    <t xml:space="preserve">CD44 antigen isoform c precursor </t>
  </si>
  <si>
    <t xml:space="preserve">CD44 antigen isoform a precursor </t>
  </si>
  <si>
    <t xml:space="preserve">leukocyte surface antigen CD47 precursor </t>
  </si>
  <si>
    <t xml:space="preserve">CD59A glycoprotein precursor </t>
  </si>
  <si>
    <t>CD63 antigen</t>
  </si>
  <si>
    <t>CD81 antigen</t>
  </si>
  <si>
    <t>CD82 antigen</t>
  </si>
  <si>
    <t>CD9 antigen</t>
  </si>
  <si>
    <t>cytidine deaminase</t>
  </si>
  <si>
    <t>cell division cycle protein 123 homolog</t>
  </si>
  <si>
    <t>cell division cycle protein 16 homolog</t>
  </si>
  <si>
    <t>cell division cycle protein 23 homolog</t>
  </si>
  <si>
    <t>M-phase inducer phosphatase 2 isoform a</t>
  </si>
  <si>
    <t>M-phase inducer phosphatase 2 isoform b</t>
  </si>
  <si>
    <t>anaphase-promoting complex subunit CDC26</t>
  </si>
  <si>
    <t>ubiquitin-conjugating enzyme E2 R1</t>
  </si>
  <si>
    <t xml:space="preserve">hsp90 co-chaperone Cdc37 </t>
  </si>
  <si>
    <t xml:space="preserve">pre-mRNA-processing factor 17 </t>
  </si>
  <si>
    <t>cell division control protein 42 homolog isoform 2</t>
  </si>
  <si>
    <t xml:space="preserve">cell division control protein 42 homolog isoform 1 precursor </t>
  </si>
  <si>
    <t>serine/threonine-protein kinase MRCK alpha</t>
  </si>
  <si>
    <t>serine/threonine-protein kinase MRCK beta</t>
  </si>
  <si>
    <t>serine/threonine-protein kinase MRCK gamma</t>
  </si>
  <si>
    <t>cdc42 effector protein 4</t>
  </si>
  <si>
    <t>cdc42 effector protein 5</t>
  </si>
  <si>
    <t xml:space="preserve">CDC42 small effector protein 1 isoform 2 </t>
  </si>
  <si>
    <t xml:space="preserve">cell division cycle 5-like protein </t>
  </si>
  <si>
    <t xml:space="preserve">parafibromin </t>
  </si>
  <si>
    <t xml:space="preserve">CUB domain-containing protein 1 precursor </t>
  </si>
  <si>
    <t>cadherin-1 precursor</t>
  </si>
  <si>
    <t>cadherin-16 isoform 2 precursor</t>
  </si>
  <si>
    <t>cadherin-16 isoform 3 precursor</t>
  </si>
  <si>
    <t>cadherin-16 isoform 1 precursor</t>
  </si>
  <si>
    <t>cadherin-23 isoform 1 precursor</t>
  </si>
  <si>
    <t>cadherin-23 isoform 2 precursor</t>
  </si>
  <si>
    <t>cadherin-3 isoform b precursor</t>
  </si>
  <si>
    <t>cadherin-3 isoform a precursor</t>
  </si>
  <si>
    <t>CDP-diacylglycerol--inositol 3-phosphatidyltransferase</t>
  </si>
  <si>
    <t xml:space="preserve">cyclin-dependent kinase 1 </t>
  </si>
  <si>
    <t xml:space="preserve">cyclin-dependent kinase 11B </t>
  </si>
  <si>
    <t xml:space="preserve">cyclin-dependent kinase 12 isoform 1 </t>
  </si>
  <si>
    <t xml:space="preserve">cyclin-dependent kinase 12 isoform 2 </t>
  </si>
  <si>
    <t xml:space="preserve">cyclin-dependent kinase 12 isoform 3 </t>
  </si>
  <si>
    <t xml:space="preserve">cyclin-dependent kinase 13 isoform 1 </t>
  </si>
  <si>
    <t xml:space="preserve">cyclin-dependent kinase 13 isoform 2 </t>
  </si>
  <si>
    <t xml:space="preserve">cyclin-dependent kinase 14 </t>
  </si>
  <si>
    <t xml:space="preserve">cyclin-dependent kinase 15 </t>
  </si>
  <si>
    <t xml:space="preserve">cyclin-dependent kinase 16 </t>
  </si>
  <si>
    <t xml:space="preserve">cyclin-dependent kinase 17 </t>
  </si>
  <si>
    <t xml:space="preserve">cyclin-dependent kinase 18 </t>
  </si>
  <si>
    <t xml:space="preserve">cyclin-dependent kinase 2 isoform 1 </t>
  </si>
  <si>
    <t xml:space="preserve">cyclin-dependent kinase 2 isoform 2 </t>
  </si>
  <si>
    <t xml:space="preserve">cyclin-dependent kinase 20 </t>
  </si>
  <si>
    <t xml:space="preserve">cyclin-dependent kinase 4 </t>
  </si>
  <si>
    <t xml:space="preserve">cyclin-dependent kinase 5 </t>
  </si>
  <si>
    <t xml:space="preserve">CDK5 regulatory subunit-associated protein 2 </t>
  </si>
  <si>
    <t xml:space="preserve">CDK5 regulatory subunit-associated protein 3 </t>
  </si>
  <si>
    <t xml:space="preserve">cyclin-dependent kinase 6 </t>
  </si>
  <si>
    <t xml:space="preserve">cyclin-dependent kinase 7 </t>
  </si>
  <si>
    <t xml:space="preserve">cyclin-dependent kinase 9 </t>
  </si>
  <si>
    <t xml:space="preserve">threonylcarbamoyladenosine tRNA methylthiotransferase </t>
  </si>
  <si>
    <t xml:space="preserve">cyclin-dependent kinase-like 1 </t>
  </si>
  <si>
    <t>cyclin-dependent kinase inhibitor 1B</t>
  </si>
  <si>
    <t>cyclin-dependent kinase inhibitor 2A, isoform 3 isoform 1</t>
  </si>
  <si>
    <t>CDKN2A-interacting protein</t>
  </si>
  <si>
    <t xml:space="preserve">CDKN2AIP N-terminal-like protein </t>
  </si>
  <si>
    <t xml:space="preserve">cyclin-dependent kinase 4 inhibitor B </t>
  </si>
  <si>
    <t xml:space="preserve">cyclin-dependent kinase 4 inhibitor C </t>
  </si>
  <si>
    <t>cysteine dioxygenase type 1</t>
  </si>
  <si>
    <t>cysteine-rich DPF motif domain-containing protein 1</t>
  </si>
  <si>
    <t xml:space="preserve">phosphatidate cytidylyltransferase 2 </t>
  </si>
  <si>
    <t>DNA replication factor Cdt1</t>
  </si>
  <si>
    <t>protein CDV3 isoform c</t>
  </si>
  <si>
    <t>protein CDV3 isoform d</t>
  </si>
  <si>
    <t>protein CDV3 isoform a</t>
  </si>
  <si>
    <t>protein CDV3 isoform b</t>
  </si>
  <si>
    <t xml:space="preserve">cat eye syndrome critical region protein 5 homolog precursor </t>
  </si>
  <si>
    <t xml:space="preserve">CUGBP Elav-like family member 1 isoform 2 </t>
  </si>
  <si>
    <t xml:space="preserve">CUGBP Elav-like family member 1 isoform 1 </t>
  </si>
  <si>
    <t xml:space="preserve">CUGBP Elav-like family member 2 isoform 6 </t>
  </si>
  <si>
    <t xml:space="preserve">CUGBP Elav-like family member 2 isoform 2 </t>
  </si>
  <si>
    <t xml:space="preserve">CUGBP Elav-like family member 2 isoform 3 </t>
  </si>
  <si>
    <t xml:space="preserve">CUGBP Elav-like family member 2 isoform 4 </t>
  </si>
  <si>
    <t xml:space="preserve">CUGBP Elav-like family member 2 isoform 5 </t>
  </si>
  <si>
    <t xml:space="preserve">CUGBP Elav-like family member 2 isoform 7 </t>
  </si>
  <si>
    <t xml:space="preserve">CUGBP Elav-like family member 2 isoform 1 </t>
  </si>
  <si>
    <t>cadherin EGF LAG seven-pass G-type receptor 2 isoform 1 precursor</t>
  </si>
  <si>
    <t>cadherin EGF LAG seven-pass G-type receptor 2 isoform 2 precursor</t>
  </si>
  <si>
    <t xml:space="preserve">centromere-associated protein E </t>
  </si>
  <si>
    <t xml:space="preserve">centromere protein H </t>
  </si>
  <si>
    <t xml:space="preserve">centromere protein M isoform 3 </t>
  </si>
  <si>
    <t xml:space="preserve">centromere protein M isoform 1 </t>
  </si>
  <si>
    <t xml:space="preserve">centrosome-associated protein CEP250 isoform 1 </t>
  </si>
  <si>
    <t xml:space="preserve">centrosome-associated protein CEP250 isoform 3 </t>
  </si>
  <si>
    <t xml:space="preserve">centrosome-associated protein CEP250 isoform 2 </t>
  </si>
  <si>
    <t xml:space="preserve">centrosomal protein of 290 kDa </t>
  </si>
  <si>
    <t xml:space="preserve">centrosome-associated protein 350 </t>
  </si>
  <si>
    <t xml:space="preserve">centrosomal protein of 41 kDa </t>
  </si>
  <si>
    <t xml:space="preserve">centrosomal protein of 55 kDa isoform 2 </t>
  </si>
  <si>
    <t xml:space="preserve">centrosomal protein of 55 kDa isoform 1 </t>
  </si>
  <si>
    <t xml:space="preserve">centrosomal protein of 95 kDa isoform 1 </t>
  </si>
  <si>
    <t xml:space="preserve">centrosomal protein of 95 kDa isoform 2 </t>
  </si>
  <si>
    <t xml:space="preserve">centrosomal protein of 97 kDa isoform 1 </t>
  </si>
  <si>
    <t>choline/ethanolaminephosphotransferase 1</t>
  </si>
  <si>
    <t xml:space="preserve">ceramide synthase 2 </t>
  </si>
  <si>
    <t xml:space="preserve">carboxylesterase 1D precursor </t>
  </si>
  <si>
    <t xml:space="preserve">centrin-1 </t>
  </si>
  <si>
    <t xml:space="preserve">centrin-2 </t>
  </si>
  <si>
    <t xml:space="preserve">centrin-3 </t>
  </si>
  <si>
    <t>craniofacial development protein 1</t>
  </si>
  <si>
    <t xml:space="preserve">cofilin-1 </t>
  </si>
  <si>
    <t xml:space="preserve">cofilin-2 </t>
  </si>
  <si>
    <t xml:space="preserve">CASP8 and FADD-like apoptosis regulator isoform 1 </t>
  </si>
  <si>
    <t xml:space="preserve">CASP8 and FADD-like apoptosis regulator isoform 2 </t>
  </si>
  <si>
    <t xml:space="preserve">cystic fibrosis transmembrane conductance regulator </t>
  </si>
  <si>
    <t xml:space="preserve">CGG triplet repeat-binding protein 1 </t>
  </si>
  <si>
    <t xml:space="preserve">cingulin </t>
  </si>
  <si>
    <t xml:space="preserve">cation transport regulator-like protein 2 </t>
  </si>
  <si>
    <t>chromatin assembly factor 1 subunit A</t>
  </si>
  <si>
    <t>chromatin assembly factor 1 subunit B</t>
  </si>
  <si>
    <t>chromosome alignment-maintaining phosphoprotein 1</t>
  </si>
  <si>
    <t>coiled-coil-helix-coiled-coil-helix domain-containing protein 1</t>
  </si>
  <si>
    <t>coiled-coil-helix-coiled-coil-helix domain-containing protein 2, mitochondrial precursor</t>
  </si>
  <si>
    <t>coiled-coil-helix-coiled-coil-helix domain-containing protein 3, mitochondrial precursor</t>
  </si>
  <si>
    <t>mitochondrial intermembrane space import and assembly protein 40</t>
  </si>
  <si>
    <t>coiled-coil-helix-coiled-coil-helix domain-containing protein 5</t>
  </si>
  <si>
    <t xml:space="preserve">coiled-coil-helix-coiled-coil-helix domain-containing protein 6, mitochondrial isoform 1 </t>
  </si>
  <si>
    <t xml:space="preserve">coiled-coil-helix-coiled-coil-helix domain-containing protein 6, mitochondrial isoform 2 </t>
  </si>
  <si>
    <t>coiled-coil-helix-coiled-coil-helix domain-containing protein 7</t>
  </si>
  <si>
    <t>chromodomain helicase DNA binding protein 3</t>
  </si>
  <si>
    <t xml:space="preserve">chromodomain-helicase-DNA-binding protein 4 </t>
  </si>
  <si>
    <t>chromodomain helicase DNA binding protein 5 isoform 1</t>
  </si>
  <si>
    <t>chromodomain helicase DNA binding protein 5 isoform 2</t>
  </si>
  <si>
    <t xml:space="preserve">choline dehydrogenase, mitochondrial </t>
  </si>
  <si>
    <t xml:space="preserve">serine/threonine-protein kinase Chk1 </t>
  </si>
  <si>
    <t xml:space="preserve">calcium homeostasis endoplasmic reticulum protein </t>
  </si>
  <si>
    <t xml:space="preserve">chitinase domain-containing protein 1 isoform 1 precursor </t>
  </si>
  <si>
    <t xml:space="preserve">chitinase domain-containing protein 1 isoform 2 precursor </t>
  </si>
  <si>
    <t xml:space="preserve">choline kinase alpha isoform 3 </t>
  </si>
  <si>
    <t xml:space="preserve">choline kinase alpha isoform 1 </t>
  </si>
  <si>
    <t>choline/ethanolamine kinase</t>
  </si>
  <si>
    <t>rab proteins geranylgeranyltransferase component A 1</t>
  </si>
  <si>
    <t xml:space="preserve">PREDICTED: rab proteins geranylgeranyltransferase component A 1 </t>
  </si>
  <si>
    <t xml:space="preserve">charged multivesicular body protein 1a </t>
  </si>
  <si>
    <t xml:space="preserve">charged multivesicular body protein 2a </t>
  </si>
  <si>
    <t xml:space="preserve">charged multivesicular body protein 2b </t>
  </si>
  <si>
    <t xml:space="preserve">charged multivesicular body protein 3 </t>
  </si>
  <si>
    <t xml:space="preserve">charged multivesicular body protein 4b </t>
  </si>
  <si>
    <t xml:space="preserve">charged multivesicular body protein 5 </t>
  </si>
  <si>
    <t xml:space="preserve">charged multivesicular body protein 6 </t>
  </si>
  <si>
    <t>cysteine and histidine-rich domain-containing protein 1</t>
  </si>
  <si>
    <t xml:space="preserve">calcineurin B homologous protein 1 </t>
  </si>
  <si>
    <t>cholinephosphotransferase 1 isoform 2</t>
  </si>
  <si>
    <t>cholinephosphotransferase 1 isoform 1</t>
  </si>
  <si>
    <t xml:space="preserve">acetylcholine receptor subunit epsilon precursor </t>
  </si>
  <si>
    <t>chromosome transmission fidelity protein 18 homolog</t>
  </si>
  <si>
    <t>chromosome transmission fidelity protein 8 homolog</t>
  </si>
  <si>
    <t xml:space="preserve">chromatin target of PRMT1 protein </t>
  </si>
  <si>
    <t>protein Churchill</t>
  </si>
  <si>
    <t xml:space="preserve">probable cytosolic iron-sulfur protein assembly protein CIAO1 </t>
  </si>
  <si>
    <t xml:space="preserve">anamorsin </t>
  </si>
  <si>
    <t xml:space="preserve">cold-inducible RNA-binding protein </t>
  </si>
  <si>
    <t xml:space="preserve">CDGSH iron-sulfur domain-containing protein 1 </t>
  </si>
  <si>
    <t xml:space="preserve">CDGSH iron-sulfur domain-containing protein 2 </t>
  </si>
  <si>
    <t xml:space="preserve">CDGSH iron-sulfur domain-containing protein 3, mitochondrial precursor </t>
  </si>
  <si>
    <t xml:space="preserve">cytoskeleton-associated protein 4 </t>
  </si>
  <si>
    <t xml:space="preserve">cytoskeleton-associated protein 5 isoform 2 </t>
  </si>
  <si>
    <t xml:space="preserve">cytoskeleton-associated protein 5 isoform 1 </t>
  </si>
  <si>
    <t xml:space="preserve">creatine kinase U-type, mitochondrial precursor </t>
  </si>
  <si>
    <t xml:space="preserve">creatine kinase S-type, mitochondrial precursor </t>
  </si>
  <si>
    <t xml:space="preserve">cyclin-dependent kinases regulatory subunit 1 </t>
  </si>
  <si>
    <t xml:space="preserve">cyclin-dependent kinases regulatory subunit 2 </t>
  </si>
  <si>
    <t xml:space="preserve">CLIP-associating protein 1 isoform 1 </t>
  </si>
  <si>
    <t xml:space="preserve">CLIP-associating protein 1 isoform 3 </t>
  </si>
  <si>
    <t xml:space="preserve">CLIP-associating protein 1 isoform 2 </t>
  </si>
  <si>
    <t>chloride channel CLIC-like protein 1 isoform 1 precursor</t>
  </si>
  <si>
    <t>chloride channel CLIC-like protein 1 isoform 2 precursor</t>
  </si>
  <si>
    <t>H(+)/Cl(-) exchange transporter 3 isoform e</t>
  </si>
  <si>
    <t>H(+)/Cl(-) exchange transporter 3 isoform b</t>
  </si>
  <si>
    <t>H(+)/Cl(-) exchange transporter 3 isoform c</t>
  </si>
  <si>
    <t>H(+)/Cl(-) exchange transporter 3 isoform a</t>
  </si>
  <si>
    <t>H(+)/Cl(-) exchange transporter 4</t>
  </si>
  <si>
    <t>H(+)/Cl(-) exchange transporter 5 isoform 1</t>
  </si>
  <si>
    <t>H(+)/Cl(-) exchange transporter 5 isoform 2</t>
  </si>
  <si>
    <t>H(+)/Cl(-) exchange transporter 7</t>
  </si>
  <si>
    <t xml:space="preserve">claudin-1 </t>
  </si>
  <si>
    <t>claudin domain-containing protein 1 isoform 1</t>
  </si>
  <si>
    <t>claudin domain-containing protein 1 isoform 3</t>
  </si>
  <si>
    <t>claudin domain-containing protein 1 isoform 2</t>
  </si>
  <si>
    <t xml:space="preserve">claudin-3 </t>
  </si>
  <si>
    <t xml:space="preserve">claudin-4 </t>
  </si>
  <si>
    <t>claudin-6 precursor</t>
  </si>
  <si>
    <t xml:space="preserve">claudin-7 </t>
  </si>
  <si>
    <t>claudin-7 precursor</t>
  </si>
  <si>
    <t xml:space="preserve">claudin-8 </t>
  </si>
  <si>
    <t xml:space="preserve">claudin-9 </t>
  </si>
  <si>
    <t>protein CLEC16A isoform 2</t>
  </si>
  <si>
    <t>protein CLEC16A isoform 1</t>
  </si>
  <si>
    <t xml:space="preserve">chloride intracellular channel protein 1 </t>
  </si>
  <si>
    <t xml:space="preserve">chloride intracellular channel protein 3 </t>
  </si>
  <si>
    <t xml:space="preserve">chloride intracellular channel protein 4 </t>
  </si>
  <si>
    <t xml:space="preserve">chloride intracellular channel protein 5 </t>
  </si>
  <si>
    <t xml:space="preserve">clathrin interactor 1 </t>
  </si>
  <si>
    <t xml:space="preserve">CAP-Gly domain-containing linker protein 1 </t>
  </si>
  <si>
    <t xml:space="preserve">CAP-Gly domain-containing linker protein 2 isoform b </t>
  </si>
  <si>
    <t xml:space="preserve">CAP-Gly domain-containing linker protein 2 isoform a </t>
  </si>
  <si>
    <t xml:space="preserve">calmin isoform a </t>
  </si>
  <si>
    <t xml:space="preserve">calmin isoform b </t>
  </si>
  <si>
    <t xml:space="preserve">battenin </t>
  </si>
  <si>
    <t>ceroid-lipofuscinosis neuronal protein 5 homolog precursor</t>
  </si>
  <si>
    <t xml:space="preserve">ceroid-lipofuscinosis, neuronal 6 </t>
  </si>
  <si>
    <t xml:space="preserve">methylosome subunit pICln </t>
  </si>
  <si>
    <t xml:space="preserve">polyribonucleotide 5'-hydroxyl-kinase Clp1 </t>
  </si>
  <si>
    <t xml:space="preserve">caseinolytic peptidase B protein homolog </t>
  </si>
  <si>
    <t>putative ATP-dependent Clp protease proteolytic subunit, mitochondrial precursor</t>
  </si>
  <si>
    <t>cleft lip and palate transmembrane protein 1 homolog</t>
  </si>
  <si>
    <t>cleft lip and palate transmembrane protein 1-like protein</t>
  </si>
  <si>
    <t xml:space="preserve">ATP-dependent Clp protease ATP-binding subunit clpX-like, mitochondrial isoform 2 </t>
  </si>
  <si>
    <t xml:space="preserve">ATP-dependent Clp protease ATP-binding subunit clpX-like, mitochondrial isoform 1 </t>
  </si>
  <si>
    <t>clathrin light chain A isoform a</t>
  </si>
  <si>
    <t>clathrin light chain A isoform b</t>
  </si>
  <si>
    <t>clathrin light chain A isoform d</t>
  </si>
  <si>
    <t>clathrin light chain A isoform c</t>
  </si>
  <si>
    <t>clathrin light chain B</t>
  </si>
  <si>
    <t>clathrin heavy chain 1</t>
  </si>
  <si>
    <t>clusterin precursor</t>
  </si>
  <si>
    <t xml:space="preserve">clusterin-associated protein 1 </t>
  </si>
  <si>
    <t>clustered mitochondria protein homolog</t>
  </si>
  <si>
    <t xml:space="preserve">citrate lyase subunit beta-like protein, mitochondrial precursor </t>
  </si>
  <si>
    <t>N-acylneuraminate cytidylyltransferase</t>
  </si>
  <si>
    <t xml:space="preserve">COX assembly mitochondrial protein homolog </t>
  </si>
  <si>
    <t>COX assembly mitochondrial protein 2 homolog</t>
  </si>
  <si>
    <t>UMP-CMP kinase</t>
  </si>
  <si>
    <t>protein CMSS1</t>
  </si>
  <si>
    <t>CKLF-like MARVEL transmembrane domain-containing protein 4</t>
  </si>
  <si>
    <t>CKLF-like MARVEL transmembrane domain-containing protein 7 isoform 1</t>
  </si>
  <si>
    <t>CKLF-like MARVEL transmembrane domain-containing protein 7 isoform 2</t>
  </si>
  <si>
    <t>cap-specific mRNA (nucleoside-2'-O-)-methyltransferase 1</t>
  </si>
  <si>
    <t>cellular nucleic acid-binding protein isoform 2</t>
  </si>
  <si>
    <t>cellular nucleic acid-binding protein isoform 3</t>
  </si>
  <si>
    <t>cellular nucleic acid-binding protein isoform 1</t>
  </si>
  <si>
    <t xml:space="preserve">cytosolic non-specific dipeptidase </t>
  </si>
  <si>
    <t>protein cornichon homolog 4</t>
  </si>
  <si>
    <t>connector enhancer of kinase suppressor of ras 3</t>
  </si>
  <si>
    <t xml:space="preserve">calponin-2 </t>
  </si>
  <si>
    <t xml:space="preserve">calponin-3 </t>
  </si>
  <si>
    <t xml:space="preserve">metal transporter CNNM2 isoform a </t>
  </si>
  <si>
    <t xml:space="preserve">metal transporter CNNM2 isoform b </t>
  </si>
  <si>
    <t>metal transporter CNNM3 isoform 1 precursor</t>
  </si>
  <si>
    <t>metal transporter CNNM3 isoform 2 precursor</t>
  </si>
  <si>
    <t xml:space="preserve">CCR4-NOT transcription complex subunit 1 isoform 2 </t>
  </si>
  <si>
    <t xml:space="preserve">CCR4-NOT transcription complex subunit 1 isoform 1 </t>
  </si>
  <si>
    <t xml:space="preserve">CCR4-NOT transcription complex subunit 1 isoform 3 </t>
  </si>
  <si>
    <t xml:space="preserve">CCR4-NOT transcription complex subunit 10 </t>
  </si>
  <si>
    <t xml:space="preserve">CCR4-NOT transcription complex subunit 11 </t>
  </si>
  <si>
    <t xml:space="preserve">CCR4-NOT transcription complex subunit 2 isoform d </t>
  </si>
  <si>
    <t xml:space="preserve">CCR4-NOT transcription complex subunit 2 isoform b </t>
  </si>
  <si>
    <t xml:space="preserve">CCR4-NOT transcription complex subunit 2 isoform a </t>
  </si>
  <si>
    <t xml:space="preserve">CCR4-NOT transcription complex subunit 3 </t>
  </si>
  <si>
    <t xml:space="preserve">CCR4-NOT transcription complex subunit 6 </t>
  </si>
  <si>
    <t xml:space="preserve">CCR4-NOT transcription complex subunit 6-like isoform 2 </t>
  </si>
  <si>
    <t xml:space="preserve">CCR4-NOT transcription complex subunit 6-like isoform 1 </t>
  </si>
  <si>
    <t xml:space="preserve">CCR4-NOT transcription complex subunit 7 isoform 2 </t>
  </si>
  <si>
    <t xml:space="preserve">CCR4-NOT transcription complex subunit 7 isoform 1 </t>
  </si>
  <si>
    <t xml:space="preserve">CCR4-NOT transcription complex subunit 8 </t>
  </si>
  <si>
    <t>2',3'-cyclic-nucleotide 3'-phosphodiesterase isoform 2</t>
  </si>
  <si>
    <t>2',3'-cyclic-nucleotide 3'-phosphodiesterase isoform 1</t>
  </si>
  <si>
    <t xml:space="preserve">protein canopy homolog 2 precursor </t>
  </si>
  <si>
    <t xml:space="preserve">protein canopy homolog 3 precursor </t>
  </si>
  <si>
    <t xml:space="preserve">protein canopy homolog 4 precursor </t>
  </si>
  <si>
    <t>cytochrome C oxidase assembly factor 3 homolog, mitochondrial</t>
  </si>
  <si>
    <t xml:space="preserve">cytochrome c oxidase assembly factor 6 homolog </t>
  </si>
  <si>
    <t xml:space="preserve">bifunctional coenzyme A synthase precursor </t>
  </si>
  <si>
    <t>protein cordon-bleu</t>
  </si>
  <si>
    <t xml:space="preserve">cordon-bleu protein-like 1 isoform 2 </t>
  </si>
  <si>
    <t xml:space="preserve">cordon-bleu protein-like 1 isoform 1 </t>
  </si>
  <si>
    <t>conserved oligomeric Golgi complex subunit 1</t>
  </si>
  <si>
    <t>conserved oligomeric Golgi complex subunit 2</t>
  </si>
  <si>
    <t>conserved oligomeric Golgi complex subunit 3</t>
  </si>
  <si>
    <t>conserved oligomeric Golgi complex subunit 4</t>
  </si>
  <si>
    <t>conserved oligomeric Golgi complex subunit 5</t>
  </si>
  <si>
    <t>conserved oligomeric Golgi complex subunit 6</t>
  </si>
  <si>
    <t>conserved oligomeric Golgi complex subunit 7</t>
  </si>
  <si>
    <t>conserved oligomeric Golgi complex subunit 8</t>
  </si>
  <si>
    <t xml:space="preserve">coilin </t>
  </si>
  <si>
    <t>collagen alpha-1(XVIII) chain isoform 1 precursor</t>
  </si>
  <si>
    <t>collagen alpha-1(XVIII) chain isoform 2 precursor</t>
  </si>
  <si>
    <t xml:space="preserve">collagen type IV alpha-3-binding protein isoform 1 </t>
  </si>
  <si>
    <t xml:space="preserve">collagen type IV alpha-3-binding protein isoform 2 </t>
  </si>
  <si>
    <t>COMM domain-containing protein 1</t>
  </si>
  <si>
    <t>COMM domain-containing protein 10</t>
  </si>
  <si>
    <t>COMM domain-containing protein 2</t>
  </si>
  <si>
    <t>COMM domain-containing protein 3</t>
  </si>
  <si>
    <t>COMM domain-containing protein 4</t>
  </si>
  <si>
    <t>COMM domain-containing protein 5</t>
  </si>
  <si>
    <t>COMM domain-containing protein 6 isoform 2</t>
  </si>
  <si>
    <t>COMM domain-containing protein 6 isoform 1</t>
  </si>
  <si>
    <t>COMM domain-containing protein 7 isoform 1</t>
  </si>
  <si>
    <t>COMM domain-containing protein 7 isoform 2</t>
  </si>
  <si>
    <t>COMM domain-containing protein 9</t>
  </si>
  <si>
    <t>catechol O-methyltransferase</t>
  </si>
  <si>
    <t xml:space="preserve">catechol O-methyltransferase domain-containing protein 1 </t>
  </si>
  <si>
    <t xml:space="preserve">coatomer subunit alpha </t>
  </si>
  <si>
    <t xml:space="preserve">coatomer subunit beta </t>
  </si>
  <si>
    <t xml:space="preserve">coatomer subunit beta' </t>
  </si>
  <si>
    <t xml:space="preserve">coatomer subunit epsilon </t>
  </si>
  <si>
    <t xml:space="preserve">coatomer subunit gamma-1 isoform 2 </t>
  </si>
  <si>
    <t xml:space="preserve">coatomer subunit gamma-1 isoform 1 </t>
  </si>
  <si>
    <t xml:space="preserve">coatomer subunit gamma-2 </t>
  </si>
  <si>
    <t xml:space="preserve">COP9 signalosome complex subunit 2 </t>
  </si>
  <si>
    <t xml:space="preserve">COP9 signalosome complex subunit 3 </t>
  </si>
  <si>
    <t xml:space="preserve">COP9 signalosome complex subunit 4 </t>
  </si>
  <si>
    <t xml:space="preserve">COP9 signalosome complex subunit 5 isoform 2 </t>
  </si>
  <si>
    <t xml:space="preserve">COP9 signalosome complex subunit 5 isoform 1 </t>
  </si>
  <si>
    <t xml:space="preserve">COP9 signalosome complex subunit 6 </t>
  </si>
  <si>
    <t xml:space="preserve">COP9 signalosome complex subunit 7a isoform 2 </t>
  </si>
  <si>
    <t xml:space="preserve">COP9 signalosome complex subunit 7a isoform 1 </t>
  </si>
  <si>
    <t xml:space="preserve">COP9 signalosome complex subunit 7b </t>
  </si>
  <si>
    <t xml:space="preserve">COP9 signalosome complex subunit 8 </t>
  </si>
  <si>
    <t xml:space="preserve">coatomer subunit zeta-1 </t>
  </si>
  <si>
    <t xml:space="preserve">coatomer subunit zeta-2 </t>
  </si>
  <si>
    <t xml:space="preserve">hexaprenyldihydroxybenzoate methyltransferase, mitochondrial </t>
  </si>
  <si>
    <t xml:space="preserve">ubiquinone biosynthesis protein COQ4 homolog, mitochondrial precursor </t>
  </si>
  <si>
    <t>2-methoxy-6-polyprenyl-1,4-benzoquinol methylase, mitochondrial precursor</t>
  </si>
  <si>
    <t xml:space="preserve">ubiquinone biosynthesis monooxygenase COQ6 precursor </t>
  </si>
  <si>
    <t xml:space="preserve">ubiquinone biosynthesis protein COQ7 homolog </t>
  </si>
  <si>
    <t>ubiquinone biosynthesis protein COQ9, mitochondrial precursor</t>
  </si>
  <si>
    <t xml:space="preserve">coronin-1B </t>
  </si>
  <si>
    <t xml:space="preserve">coronin-1C </t>
  </si>
  <si>
    <t xml:space="preserve">coronin-2A isoform 2 </t>
  </si>
  <si>
    <t xml:space="preserve">coronin-2A isoform 1 </t>
  </si>
  <si>
    <t xml:space="preserve">coronin-7 </t>
  </si>
  <si>
    <t>coactosin-like protein</t>
  </si>
  <si>
    <t xml:space="preserve">cytochrome c oxidase subunit Imusculus </t>
  </si>
  <si>
    <t xml:space="preserve">cytochrome c oxidase subunit I </t>
  </si>
  <si>
    <t xml:space="preserve">cytochrome c oxidase assembly protein COX11, mitochondrial </t>
  </si>
  <si>
    <t xml:space="preserve">cytochrome c oxidase assembly protein COX15 homolog </t>
  </si>
  <si>
    <t>cytochrome c oxidase assembly protein COX16 homolog, mitochondrial</t>
  </si>
  <si>
    <t xml:space="preserve">cytochrome c oxidase copper chaperone </t>
  </si>
  <si>
    <t xml:space="preserve">cytochrome c oxidase subunit IImusculus </t>
  </si>
  <si>
    <t xml:space="preserve">cytochrome c oxidase subunit II </t>
  </si>
  <si>
    <t>cytochrome c oxidase protein 20 homolog</t>
  </si>
  <si>
    <t>cytochrome c oxidase subunit IIImusculus castaneus]</t>
  </si>
  <si>
    <t xml:space="preserve">cytochrome c oxidase subunit III </t>
  </si>
  <si>
    <t xml:space="preserve">cytochrome c oxidase subunit 4 isoform 1, mitochondrial precursor </t>
  </si>
  <si>
    <t xml:space="preserve">cytochrome c oxidase subunit 5A, mitochondrial precursor </t>
  </si>
  <si>
    <t xml:space="preserve">cytochrome c oxidase subunit 6B1 </t>
  </si>
  <si>
    <t xml:space="preserve">cytochrome c oxidase subunit 6C </t>
  </si>
  <si>
    <t xml:space="preserve">cytochrome c oxidase subunit 7A2, mitochondrial precursor </t>
  </si>
  <si>
    <t xml:space="preserve">cytochrome c oxidase subunit 7A-related protein, mitochondrial isoform 1 </t>
  </si>
  <si>
    <t xml:space="preserve">cytochrome c oxidase subunit 7A-related protein, mitochondrial isoform 2 </t>
  </si>
  <si>
    <t xml:space="preserve">cytochrome c oxidase subunit 7B, mitochondrial precursor </t>
  </si>
  <si>
    <t xml:space="preserve">carboxypeptidase D precursor </t>
  </si>
  <si>
    <t xml:space="preserve">carboxypeptidase E precursor </t>
  </si>
  <si>
    <t xml:space="preserve">cytoplasmic polyadenylation element-binding protein 2 isoform 1 </t>
  </si>
  <si>
    <t xml:space="preserve">cytoplasmic polyadenylation element-binding protein 2 isoform 2 </t>
  </si>
  <si>
    <t xml:space="preserve">cytoplasmic polyadenylation element-binding protein 3 </t>
  </si>
  <si>
    <t xml:space="preserve">cytoplasmic polyadenylation element-binding protein 4 </t>
  </si>
  <si>
    <t xml:space="preserve">carboxypeptidase M precursor </t>
  </si>
  <si>
    <t xml:space="preserve">copine-1 </t>
  </si>
  <si>
    <t xml:space="preserve">copine-2 </t>
  </si>
  <si>
    <t xml:space="preserve">copine-3 </t>
  </si>
  <si>
    <t xml:space="preserve">copine-4 </t>
  </si>
  <si>
    <t xml:space="preserve">copine-5 </t>
  </si>
  <si>
    <t xml:space="preserve">copine-6 isoform b </t>
  </si>
  <si>
    <t xml:space="preserve">copine-6 isoform a </t>
  </si>
  <si>
    <t xml:space="preserve">copine-7 </t>
  </si>
  <si>
    <t xml:space="preserve">copine-8 isoform 2 </t>
  </si>
  <si>
    <t xml:space="preserve">copine-8 isoform 1 </t>
  </si>
  <si>
    <t xml:space="preserve">copine-9 </t>
  </si>
  <si>
    <t>coproporphyrinogen-III oxidase, mitochondrial precursor</t>
  </si>
  <si>
    <t xml:space="preserve">calcineurin-like phosphoesterase domain-containing protein 1 </t>
  </si>
  <si>
    <t xml:space="preserve">carbamoyl-phosphate synthase [ammonia], mitochondrial precursor </t>
  </si>
  <si>
    <t xml:space="preserve">cleavage and polyadenylation specificity factor subunit 1 isoform 2 </t>
  </si>
  <si>
    <t xml:space="preserve">cleavage and polyadenylation specificity factor subunit 1 isoform 1 </t>
  </si>
  <si>
    <t xml:space="preserve">cleavage and polyadenylation specificity factor subunit 2 </t>
  </si>
  <si>
    <t xml:space="preserve">cleavage and polyadenylation specificity factor subunit 3 </t>
  </si>
  <si>
    <t>integrator complex subunit 11</t>
  </si>
  <si>
    <t xml:space="preserve">cleavage and polyadenylation specificity factor subunit 6 </t>
  </si>
  <si>
    <t xml:space="preserve">cleavage and polyadenylation specificity factor subunit 7 isoform 1 </t>
  </si>
  <si>
    <t xml:space="preserve">cleavage and polyadenylation specificity factor subunit 7 isoform 2 </t>
  </si>
  <si>
    <t xml:space="preserve">carnitine O-palmitoyltransferase 1, liver isoform </t>
  </si>
  <si>
    <t xml:space="preserve">carnitine O-palmitoyltransferase 1, muscle isoform </t>
  </si>
  <si>
    <t xml:space="preserve">carnitine O-palmitoyltransferase 2, mitochondrial precursor </t>
  </si>
  <si>
    <t xml:space="preserve">complement component receptor 1-like protein </t>
  </si>
  <si>
    <t xml:space="preserve">cellular retinoic acid-binding protein 1 </t>
  </si>
  <si>
    <t xml:space="preserve">cellular retinoic acid-binding protein 2 </t>
  </si>
  <si>
    <t>carnitine O-acetyltransferase</t>
  </si>
  <si>
    <t xml:space="preserve">crumbs protein homolog 3 precursor </t>
  </si>
  <si>
    <t>protein cereblon isoform 2</t>
  </si>
  <si>
    <t>protein cereblon isoform 1</t>
  </si>
  <si>
    <t>CREB-binding protein</t>
  </si>
  <si>
    <t xml:space="preserve">cysteine-rich with EGF-like domain protein 1 precursor </t>
  </si>
  <si>
    <t xml:space="preserve">cysteine-rich with EGF-like domain protein 2 precursor </t>
  </si>
  <si>
    <t xml:space="preserve">cysteine-rich protein 1 </t>
  </si>
  <si>
    <t xml:space="preserve">cysteine-rich protein 2 </t>
  </si>
  <si>
    <t xml:space="preserve">adapter molecule crk </t>
  </si>
  <si>
    <t>crk-like protein isoform 1</t>
  </si>
  <si>
    <t>cytokine receptor-like factor 3</t>
  </si>
  <si>
    <t>cardiolipin synthase isoform 1</t>
  </si>
  <si>
    <t xml:space="preserve">dihydropyrimidinase-related protein 1 isoform 1 </t>
  </si>
  <si>
    <t xml:space="preserve">dihydropyrimidinase-related protein 1 isoform 2 </t>
  </si>
  <si>
    <t>crooked neck-like protein 1</t>
  </si>
  <si>
    <t xml:space="preserve">rootletin isoform 1 </t>
  </si>
  <si>
    <t xml:space="preserve">rootletin isoform 2 </t>
  </si>
  <si>
    <t xml:space="preserve">peroxisomal carnitine O-octanoyltransferase </t>
  </si>
  <si>
    <t xml:space="preserve">cartilage-associated protein precursor </t>
  </si>
  <si>
    <t xml:space="preserve">cryptochrome-1 </t>
  </si>
  <si>
    <t xml:space="preserve">cryptochrome-2 </t>
  </si>
  <si>
    <t xml:space="preserve">alpha-crystallin B chain </t>
  </si>
  <si>
    <t>lambda-crystallin homolog</t>
  </si>
  <si>
    <t>quinone oxidoreductase</t>
  </si>
  <si>
    <t>quinone oxidoreductase-like protein 1 isoform 1</t>
  </si>
  <si>
    <t>quinone oxidoreductase-like protein 1 isoform 2</t>
  </si>
  <si>
    <t>citrate synthase, mitochondrial precursor</t>
  </si>
  <si>
    <t>cysteine sulfinic acid decarboxylase</t>
  </si>
  <si>
    <t xml:space="preserve">cold shock domain-containing protein E1 isoform 1 </t>
  </si>
  <si>
    <t xml:space="preserve">cold shock domain-containing protein E1 isoform 2 </t>
  </si>
  <si>
    <t xml:space="preserve">exportin-2 </t>
  </si>
  <si>
    <t>granulocyte colony-stimulating factor precursor</t>
  </si>
  <si>
    <t xml:space="preserve">tyrosine-protein kinase CSK </t>
  </si>
  <si>
    <t xml:space="preserve">citrate synthase-like protein </t>
  </si>
  <si>
    <t>kappa-casein precursor</t>
  </si>
  <si>
    <t xml:space="preserve">casein kinase I isoform alpha </t>
  </si>
  <si>
    <t xml:space="preserve">casein kinase I isoform delta isoform 2 </t>
  </si>
  <si>
    <t xml:space="preserve">casein kinase I isoform delta isoform 1 </t>
  </si>
  <si>
    <t xml:space="preserve">casein kinase I isoform epsilon </t>
  </si>
  <si>
    <t xml:space="preserve">casein kinase II subunit alpha </t>
  </si>
  <si>
    <t xml:space="preserve">casein kinase II subunit alpha' </t>
  </si>
  <si>
    <t xml:space="preserve">casein kinase II subunit beta </t>
  </si>
  <si>
    <t xml:space="preserve">cysteine and glycine-rich protein 1 </t>
  </si>
  <si>
    <t xml:space="preserve">cysteine and glycine-rich protein 2 </t>
  </si>
  <si>
    <t>cystatin-C precursor</t>
  </si>
  <si>
    <t xml:space="preserve">CSA-conditional, T cell activation-dependent protein </t>
  </si>
  <si>
    <t xml:space="preserve">cystatin-B </t>
  </si>
  <si>
    <t xml:space="preserve">cleavage stimulation factor subunit 1 </t>
  </si>
  <si>
    <t xml:space="preserve">cleavage stimulation factor subunit 2 </t>
  </si>
  <si>
    <t xml:space="preserve">cleavage stimulation factor subunit 3 isoform 1 </t>
  </si>
  <si>
    <t>cutaneous T-cell lymphoma-associated antigen 5 homolog isoform 1</t>
  </si>
  <si>
    <t>cutaneous T-cell lymphoma-associated antigen 5 homolog isoform 2</t>
  </si>
  <si>
    <t>cutaneous T-cell lymphoma-associated antigen 5 homolog isoform 3</t>
  </si>
  <si>
    <t xml:space="preserve">C-terminal-binding protein 1 isoform 1 </t>
  </si>
  <si>
    <t xml:space="preserve">C-terminal-binding protein 1 isoform 2 </t>
  </si>
  <si>
    <t xml:space="preserve">C-terminal-binding protein 1 isoform 4 </t>
  </si>
  <si>
    <t xml:space="preserve">C-terminal-binding protein 1 isoform 3 </t>
  </si>
  <si>
    <t xml:space="preserve">C-terminal-binding protein 2 isoform 1 </t>
  </si>
  <si>
    <t xml:space="preserve">C-terminal-binding protein 2 isoform 2 </t>
  </si>
  <si>
    <t>di-N-acetylchitobiase precursor</t>
  </si>
  <si>
    <t>CST complex subunit CTC1 isoform a</t>
  </si>
  <si>
    <t>CST complex subunit CTC1 isoform c</t>
  </si>
  <si>
    <t xml:space="preserve">transcriptional repressor CTCF </t>
  </si>
  <si>
    <t>RNA polymerase II subunit A C-terminal domain phosphatase</t>
  </si>
  <si>
    <t>carboxy-terminal domain RNA polymerase II polypeptide A small phosphatase 1</t>
  </si>
  <si>
    <t>carboxy-terminal domain RNA polymerase II polypeptide A small phosphatase 2 isoform a</t>
  </si>
  <si>
    <t>carboxy-terminal domain RNA polymerase II polypeptide A small phosphatase 2 isoform b</t>
  </si>
  <si>
    <t>CTD small phosphatase-like protein</t>
  </si>
  <si>
    <t xml:space="preserve">cardiotrophin-1 </t>
  </si>
  <si>
    <t>cardiotrophin-2 precursor</t>
  </si>
  <si>
    <t>cystathionine gamma-lyase</t>
  </si>
  <si>
    <t>catenin alpha-1</t>
  </si>
  <si>
    <t>catenin alpha-2 isoform 2</t>
  </si>
  <si>
    <t>catenin alpha-2 isoform 1</t>
  </si>
  <si>
    <t>catenin alpha-3 isoform 1</t>
  </si>
  <si>
    <t>catenin alpha-3 isoform 2</t>
  </si>
  <si>
    <t xml:space="preserve">alpha-catulin </t>
  </si>
  <si>
    <t>catenin beta-1</t>
  </si>
  <si>
    <t xml:space="preserve">beta-catenin-like protein 1 </t>
  </si>
  <si>
    <t>catenin delta-1 isoform 2</t>
  </si>
  <si>
    <t>catenin delta-1 isoform 3</t>
  </si>
  <si>
    <t>catenin delta-1 isoform 4</t>
  </si>
  <si>
    <t>catenin delta-1 isoform 1</t>
  </si>
  <si>
    <t xml:space="preserve">CTP synthase 1 </t>
  </si>
  <si>
    <t xml:space="preserve">CTP synthase 2 isoform a </t>
  </si>
  <si>
    <t xml:space="preserve">CTP synthase 2 isoform b </t>
  </si>
  <si>
    <t>lysosomal protective protein isoform b preproprotein</t>
  </si>
  <si>
    <t>lysosomal protective protein isoform a preproprotein</t>
  </si>
  <si>
    <t xml:space="preserve">cathepsin B preproprotein </t>
  </si>
  <si>
    <t>dipeptidyl peptidase 1 preproprotein</t>
  </si>
  <si>
    <t xml:space="preserve">cathepsin D precursor </t>
  </si>
  <si>
    <t xml:space="preserve">pro-cathepsin H preproprotein </t>
  </si>
  <si>
    <t xml:space="preserve">cathepsin L1 preproprotein </t>
  </si>
  <si>
    <t xml:space="preserve">cathepsin Z preproprotein </t>
  </si>
  <si>
    <t xml:space="preserve">src substrate cortactin isoform 2 </t>
  </si>
  <si>
    <t xml:space="preserve">src substrate cortactin isoform 1 </t>
  </si>
  <si>
    <t xml:space="preserve">CTTNBP2 N-terminal-like protein </t>
  </si>
  <si>
    <t xml:space="preserve">cytoplasmic tRNA 2-thiolation protein 1 </t>
  </si>
  <si>
    <t xml:space="preserve">cytoplasmic tRNA 2-thiolation protein 2 </t>
  </si>
  <si>
    <t>cubilin precursor</t>
  </si>
  <si>
    <t>CUE domain-containing protein 2 isoform a</t>
  </si>
  <si>
    <t>CUE domain-containing protein 2 isoform b</t>
  </si>
  <si>
    <t>CUE domain-containing protein 2 isoform c</t>
  </si>
  <si>
    <t xml:space="preserve">cullin-1 </t>
  </si>
  <si>
    <t xml:space="preserve">cullin-2 </t>
  </si>
  <si>
    <t xml:space="preserve">cullin-3 </t>
  </si>
  <si>
    <t xml:space="preserve">cullin-4A </t>
  </si>
  <si>
    <t xml:space="preserve">cullin-4B </t>
  </si>
  <si>
    <t xml:space="preserve">cullin-5 isoform 1 </t>
  </si>
  <si>
    <t xml:space="preserve">cullin-5 isoform 2 </t>
  </si>
  <si>
    <t xml:space="preserve">cullin-7 </t>
  </si>
  <si>
    <t xml:space="preserve">protein CutA isoform 1 precursor </t>
  </si>
  <si>
    <t>protein CutA isoform 2</t>
  </si>
  <si>
    <t xml:space="preserve">copper homeostasis protein cutC homolog isoform 2 </t>
  </si>
  <si>
    <t xml:space="preserve">copper homeostasis protein cutC homolog isoform 1 </t>
  </si>
  <si>
    <t>protein CASP isoform a</t>
  </si>
  <si>
    <t>protein CASP isoform b</t>
  </si>
  <si>
    <t>spliceosome-associated protein CWC15 homolog</t>
  </si>
  <si>
    <t>pre-mRNA-splicing factor CWC22 homolog isoform 1</t>
  </si>
  <si>
    <t>pre-mRNA-splicing factor CWC22 homolog isoform 2</t>
  </si>
  <si>
    <t>pre-mRNA-splicing factor CWC25 homolog</t>
  </si>
  <si>
    <t xml:space="preserve">peptidyl-prolyl cis-trans isomerase CWC27 homolog </t>
  </si>
  <si>
    <t xml:space="preserve">CWF19-like protein 1 </t>
  </si>
  <si>
    <t xml:space="preserve">CWF19-like protein 2 </t>
  </si>
  <si>
    <t>coxsackievirus and adenovirus receptor homolog isoform c precursor</t>
  </si>
  <si>
    <t>coxsackievirus and adenovirus receptor homolog isoform a precursor</t>
  </si>
  <si>
    <t>coxsackievirus and adenovirus receptor homolog isoform b precursor</t>
  </si>
  <si>
    <t>cpG-binding protein</t>
  </si>
  <si>
    <t>cytochrome b5</t>
  </si>
  <si>
    <t>cytochrome b561</t>
  </si>
  <si>
    <t xml:space="preserve">cytochrome b561 domain-containing protein 2 </t>
  </si>
  <si>
    <t xml:space="preserve">cytochrome b5 type B precursor </t>
  </si>
  <si>
    <t>NADH-cytochrome b5 reductase 1</t>
  </si>
  <si>
    <t>NADH-cytochrome b5 reductase 3</t>
  </si>
  <si>
    <t xml:space="preserve">cytochrome c1, heme protein, mitochondrial </t>
  </si>
  <si>
    <t xml:space="preserve">cytochrome c, somatic </t>
  </si>
  <si>
    <t>cytoplasmic FMR1-interacting protein 1 isoform a</t>
  </si>
  <si>
    <t>cytoplasmic FMR1-interacting protein 1 isoform b</t>
  </si>
  <si>
    <t>cytoplasmic FMR1-interacting protein 2</t>
  </si>
  <si>
    <t xml:space="preserve">cysteine and histidine-rich protein 1 isoform 2 </t>
  </si>
  <si>
    <t xml:space="preserve">cysteine and histidine-rich protein 1 isoform 3 </t>
  </si>
  <si>
    <t>cysteine and histidine-rich protein 1 isoform 1 precursor</t>
  </si>
  <si>
    <t xml:space="preserve">cytochrome P450 20A1 </t>
  </si>
  <si>
    <t>cytochrome P450 2S1 precursor</t>
  </si>
  <si>
    <t>24-hydroxycholesterol 7-alpha-hydroxylase</t>
  </si>
  <si>
    <t>cytochrome P450, family 4, subfamily f, polypeptide 16</t>
  </si>
  <si>
    <t xml:space="preserve">lanosterol 14-alpha demethylase </t>
  </si>
  <si>
    <t xml:space="preserve">cystin-1 </t>
  </si>
  <si>
    <t>cytochrome bmusculus</t>
  </si>
  <si>
    <t xml:space="preserve">cytochrome bmusculus castaneus] </t>
  </si>
  <si>
    <t>cytochrome b</t>
  </si>
  <si>
    <t xml:space="preserve">cytohesin-1 isoform 2 </t>
  </si>
  <si>
    <t xml:space="preserve">cytohesin-1 isoform 3 </t>
  </si>
  <si>
    <t xml:space="preserve">cytohesin-1 isoform 1 </t>
  </si>
  <si>
    <t xml:space="preserve">cytohesin-2 isoform 2 </t>
  </si>
  <si>
    <t xml:space="preserve">cytohesin-2 isoform 1 </t>
  </si>
  <si>
    <t>uncharacterized protein C9orf40 homolog</t>
  </si>
  <si>
    <t>brefeldin A-inhibited guanine nucleotide-exchange protein 3</t>
  </si>
  <si>
    <t>protein FAM208A isoform 2</t>
  </si>
  <si>
    <t>protein FAM208A isoform 1</t>
  </si>
  <si>
    <t>protein FAM91A1</t>
  </si>
  <si>
    <t>uncharacterized protein C6orf47 homolog</t>
  </si>
  <si>
    <t xml:space="preserve">UPF0556 protein C19orf10 homolog precursor </t>
  </si>
  <si>
    <t>UNC119-binding protein C5orf30 homolog</t>
  </si>
  <si>
    <t xml:space="preserve">putative ATP-dependent RNA helicase Pl10 </t>
  </si>
  <si>
    <t>D-2-hydroxyglutarate dehydrogenase, mitochondrial precursor</t>
  </si>
  <si>
    <t>uncharacterized protein C9orf114 homolog</t>
  </si>
  <si>
    <t>uncharacterized protein CXorf57 homolog</t>
  </si>
  <si>
    <t>UPF0462 protein C4orf33 homolog isoform a</t>
  </si>
  <si>
    <t>UPF0462 protein C4orf33 homolog isoform b</t>
  </si>
  <si>
    <t>uncharacterized protein C12orf4 homolog</t>
  </si>
  <si>
    <t xml:space="preserve">leydig cell tumor 10 kDa protein homolog </t>
  </si>
  <si>
    <t xml:space="preserve">tyrosine-protein kinase SgK223 </t>
  </si>
  <si>
    <t xml:space="preserve">disheveled-associated activator of morphogenesis 1 </t>
  </si>
  <si>
    <t>dolichyl-diphosphooligosaccharide--protein glycosyltransferase subunit DAD1</t>
  </si>
  <si>
    <t>dystroglycan precursor</t>
  </si>
  <si>
    <t>bifunctional ATP-dependent dihydroxyacetone kinase/FAD-AMP lyase (cyclizing)</t>
  </si>
  <si>
    <t>D-amino-acid oxidase</t>
  </si>
  <si>
    <t xml:space="preserve">28S ribosomal protein S29, mitochondrial isoform 2 </t>
  </si>
  <si>
    <t xml:space="preserve">28S ribosomal protein S29, mitochondrial isoform 1 </t>
  </si>
  <si>
    <t>death-associated protein kinase 3 isoform a</t>
  </si>
  <si>
    <t>death-associated protein kinase 3 isoform b</t>
  </si>
  <si>
    <t xml:space="preserve">aspartate--tRNA ligase, cytoplasmic isoform 2 </t>
  </si>
  <si>
    <t xml:space="preserve">aspartate--tRNA ligase, cytoplasmic isoform 1 </t>
  </si>
  <si>
    <t>aspartate--tRNA ligase, mitochondrial precursor</t>
  </si>
  <si>
    <t xml:space="preserve">DAZ-associated protein 1 isoform a </t>
  </si>
  <si>
    <t xml:space="preserve">DAZ-associated protein 1 isoform b </t>
  </si>
  <si>
    <t xml:space="preserve">DAZ-associated protein 1 isoform c </t>
  </si>
  <si>
    <t>dopamine beta-hydroxylase</t>
  </si>
  <si>
    <t>acyl-CoA-binding protein isoform 2</t>
  </si>
  <si>
    <t>acyl-CoA-binding protein isoform 1</t>
  </si>
  <si>
    <t>dysbindin domain-containing protein 2</t>
  </si>
  <si>
    <t>drebrin-like protein isoform 1</t>
  </si>
  <si>
    <t>drebrin-like protein isoform 3</t>
  </si>
  <si>
    <t>drebrin-like protein isoform 2</t>
  </si>
  <si>
    <t xml:space="preserve">lariat debranching enzyme </t>
  </si>
  <si>
    <t>lipoamide acyltransferase component of branched-chain alpha-keto acid dehydrogenase complex, mitochondrial</t>
  </si>
  <si>
    <t xml:space="preserve">DDB1- and CUL4-associated factor 11 </t>
  </si>
  <si>
    <t>DDB1 and CUL4 associated factor 4 isoform 2</t>
  </si>
  <si>
    <t>DDB1 and CUL4 associated factor 4 isoform 1</t>
  </si>
  <si>
    <t xml:space="preserve">DDB1- and CUL4-associated factor 5 </t>
  </si>
  <si>
    <t xml:space="preserve">DDB1- and CUL4-associated factor 7 </t>
  </si>
  <si>
    <t xml:space="preserve">DDB1- and CUL4-associated factor 8 </t>
  </si>
  <si>
    <t>dephospho-CoA kinase domain-containing protein</t>
  </si>
  <si>
    <t xml:space="preserve">PREDICTED: similar to cadherin protein </t>
  </si>
  <si>
    <t>deoxycytidine kinase</t>
  </si>
  <si>
    <t xml:space="preserve">mRNA-decapping enzyme 1A </t>
  </si>
  <si>
    <t>m7GpppX diphosphatase</t>
  </si>
  <si>
    <t>deoxycytidylate deaminase</t>
  </si>
  <si>
    <t xml:space="preserve">dynactin subunit 1 isoform 1 </t>
  </si>
  <si>
    <t xml:space="preserve">dynactin subunit 1 isoform 2 </t>
  </si>
  <si>
    <t xml:space="preserve">dynactin subunit 1 isoform 3 </t>
  </si>
  <si>
    <t xml:space="preserve">dynactin subunit 2 isoform 3 </t>
  </si>
  <si>
    <t xml:space="preserve">dynactin subunit 2 isoform 2 </t>
  </si>
  <si>
    <t xml:space="preserve">dynactin subunit 2 isoform 1 </t>
  </si>
  <si>
    <t xml:space="preserve">dynactin subunit 3 isoform A </t>
  </si>
  <si>
    <t xml:space="preserve">dynactin subunit 3 isoform B </t>
  </si>
  <si>
    <t xml:space="preserve">dynactin subunit 4 </t>
  </si>
  <si>
    <t xml:space="preserve">dynactin subunit 5 </t>
  </si>
  <si>
    <t xml:space="preserve">dynactin subunit 6 </t>
  </si>
  <si>
    <t xml:space="preserve">dCTP pyrophosphatase 1 </t>
  </si>
  <si>
    <t xml:space="preserve">DCN1-like protein 1 isoform 1 </t>
  </si>
  <si>
    <t xml:space="preserve">DCN1-like protein 1 isoform 2 </t>
  </si>
  <si>
    <t xml:space="preserve">DCN1-like protein 2 isoform c </t>
  </si>
  <si>
    <t xml:space="preserve">DCN1-like protein 2 isoform d </t>
  </si>
  <si>
    <t xml:space="preserve">DCN1-like protein 2 isoform a </t>
  </si>
  <si>
    <t xml:space="preserve">DCN1-like protein 2 isoform b </t>
  </si>
  <si>
    <t xml:space="preserve">DCN1-like protein 5 </t>
  </si>
  <si>
    <t>L-xylulose reductase</t>
  </si>
  <si>
    <t xml:space="preserve">DET1- and DDB1-associated protein 1 </t>
  </si>
  <si>
    <t xml:space="preserve">N(G),N(G)-dimethylarginine dimethylaminohydrolase 1 </t>
  </si>
  <si>
    <t xml:space="preserve">N(G),N(G)-dimethylarginine dimethylaminohydrolase 2 isoform 1 </t>
  </si>
  <si>
    <t xml:space="preserve">N(G),N(G)-dimethylarginine dimethylaminohydrolase 2 isoform 2 </t>
  </si>
  <si>
    <t>DNA damage-binding protein 1</t>
  </si>
  <si>
    <t>protein DDI1 homolog 2</t>
  </si>
  <si>
    <t>dolichyl-diphosphooligosaccharide--protein glycosyltransferase 48 kDa subunit precursor</t>
  </si>
  <si>
    <t xml:space="preserve">DDRGK domain-containing protein 1 precursor </t>
  </si>
  <si>
    <t>D-dopachrome decarboxylase</t>
  </si>
  <si>
    <t>ATP-dependent RNA helicase DDX1</t>
  </si>
  <si>
    <t xml:space="preserve">probable ATP-dependent RNA helicase DDX17 isoform 3 </t>
  </si>
  <si>
    <t xml:space="preserve">probable ATP-dependent RNA helicase DDX17 isoform 2 </t>
  </si>
  <si>
    <t xml:space="preserve">probable ATP-dependent RNA helicase DDX17 isoform 1 </t>
  </si>
  <si>
    <t xml:space="preserve">probable ATP-dependent RNA helicase DDX17 isoform 4 </t>
  </si>
  <si>
    <t>ATP-dependent RNA helicase DDX18</t>
  </si>
  <si>
    <t>ATP-dependent RNA helicase DDX19A</t>
  </si>
  <si>
    <t>ATP-dependent RNA helicase DDX19B isoform 2</t>
  </si>
  <si>
    <t>ATP-dependent RNA helicase DDX19B isoform 3</t>
  </si>
  <si>
    <t>ATP-dependent RNA helicase DDX19B isoform 1</t>
  </si>
  <si>
    <t>nucleolar RNA helicase 2</t>
  </si>
  <si>
    <t xml:space="preserve">probable ATP-dependent RNA helicase DDX23 </t>
  </si>
  <si>
    <t>ATP-dependent RNA helicase DDX24 isoform 1</t>
  </si>
  <si>
    <t>ATP-dependent RNA helicase DDX24 isoform 2</t>
  </si>
  <si>
    <t>ATP-dependent RNA helicase DDX25</t>
  </si>
  <si>
    <t xml:space="preserve">probable ATP-dependent RNA helicase DDX27 </t>
  </si>
  <si>
    <t xml:space="preserve">probable ATP-dependent RNA helicase DDX28 </t>
  </si>
  <si>
    <t xml:space="preserve">DEAD/H (Asp-Glu-Ala-Asp/His) box polypeptide 31 </t>
  </si>
  <si>
    <t>ATP-dependent RNA helicase DDX39A</t>
  </si>
  <si>
    <t>spliceosome RNA helicase Ddx39b</t>
  </si>
  <si>
    <t>ATP-dependent RNA helicase DDX3X</t>
  </si>
  <si>
    <t>ATP-dependent RNA helicase DDX3Y</t>
  </si>
  <si>
    <t xml:space="preserve">probable ATP-dependent RNA helicase DDX4 isoform 1 </t>
  </si>
  <si>
    <t xml:space="preserve">probable ATP-dependent RNA helicase DDX4 isoform 2 </t>
  </si>
  <si>
    <t xml:space="preserve">probable ATP-dependent RNA helicase DDX41 </t>
  </si>
  <si>
    <t>ATP-dependent RNA helicase DDX42</t>
  </si>
  <si>
    <t xml:space="preserve">probable ATP-dependent RNA helicase DDX46 </t>
  </si>
  <si>
    <t xml:space="preserve">probable ATP-dependent RNA helicase DDX47 </t>
  </si>
  <si>
    <t xml:space="preserve">probable ATP-dependent RNA helicase DDX49 </t>
  </si>
  <si>
    <t xml:space="preserve">probable ATP-dependent RNA helicase DDX5 </t>
  </si>
  <si>
    <t>ATP-dependent RNA helicase DDX50</t>
  </si>
  <si>
    <t>ATP-dependent RNA helicase DDX51</t>
  </si>
  <si>
    <t>ATP-dependent RNA helicase DDX55 isoform 1</t>
  </si>
  <si>
    <t>ATP-dependent RNA helicase DDX55 isoform 2</t>
  </si>
  <si>
    <t xml:space="preserve">probable ATP-dependent RNA helicase DDX56 </t>
  </si>
  <si>
    <t xml:space="preserve">probable ATP-dependent RNA helicase DDX58 </t>
  </si>
  <si>
    <t xml:space="preserve">probable ATP-dependent RNA helicase DDX6 </t>
  </si>
  <si>
    <t xml:space="preserve">probable ATP-dependent RNA helicase DDX60 </t>
  </si>
  <si>
    <t xml:space="preserve">SS18-like protein 2 </t>
  </si>
  <si>
    <t xml:space="preserve">peroxisomal 2,4-dienoyl-CoA reductase </t>
  </si>
  <si>
    <t xml:space="preserve">sphingolipid delta(4)-desaturase DES1 </t>
  </si>
  <si>
    <t>protein DEK</t>
  </si>
  <si>
    <t>DENN domain-containing protein 1C</t>
  </si>
  <si>
    <t>DENN domain-containing protein 2A</t>
  </si>
  <si>
    <t>DENN domain-containing protein 2C</t>
  </si>
  <si>
    <t>DENN domain-containing protein 2D isoform 1</t>
  </si>
  <si>
    <t>DENN domain-containing protein 2D isoform 2</t>
  </si>
  <si>
    <t xml:space="preserve">DENN domain-containing protein 3 precursor </t>
  </si>
  <si>
    <t>DENN domain-containing protein 4C isoform 2</t>
  </si>
  <si>
    <t>DENN domain-containing protein 4C isoform 1</t>
  </si>
  <si>
    <t>DENN domain-containing protein 5A</t>
  </si>
  <si>
    <t>protein FAM116A isoform a</t>
  </si>
  <si>
    <t>protein FAM116A isoform b</t>
  </si>
  <si>
    <t>density-regulated protein</t>
  </si>
  <si>
    <t>DEP domain-containing protein 7</t>
  </si>
  <si>
    <t xml:space="preserve">putative deoxyribose-phosphate aldolase </t>
  </si>
  <si>
    <t xml:space="preserve">derlin-1 </t>
  </si>
  <si>
    <t xml:space="preserve">derlin-2 </t>
  </si>
  <si>
    <t xml:space="preserve">desmin </t>
  </si>
  <si>
    <t xml:space="preserve">DNA fragmentation factor subunit alpha isoform a </t>
  </si>
  <si>
    <t xml:space="preserve">DNA fragmentation factor subunit alpha isoform b </t>
  </si>
  <si>
    <t>non-syndromic hearing impairment protein 5 homolog</t>
  </si>
  <si>
    <t>microprocessor complex subunit DGCR8</t>
  </si>
  <si>
    <t xml:space="preserve">diacylglycerol kinase alpha </t>
  </si>
  <si>
    <t xml:space="preserve">diacylglycerol kinase epsilon </t>
  </si>
  <si>
    <t xml:space="preserve">diacylglycerol kinase eta </t>
  </si>
  <si>
    <t xml:space="preserve">deoxyguanosine kinase, mitochondrial isoform 1 </t>
  </si>
  <si>
    <t xml:space="preserve">deoxyguanosine kinase, mitochondrial isoform 2 </t>
  </si>
  <si>
    <t xml:space="preserve">delta(24)-sterol reductase precursor </t>
  </si>
  <si>
    <t>7-dehydrocholesterol reductase</t>
  </si>
  <si>
    <t>dihydrofolate reductase</t>
  </si>
  <si>
    <t xml:space="preserve">dihydroorotate dehydrogenase (quinone), mitochondrial precursor </t>
  </si>
  <si>
    <t>deoxyhypusine synthase</t>
  </si>
  <si>
    <t xml:space="preserve">dehydrogenase/reductase SDR family member 1 </t>
  </si>
  <si>
    <t>dehydrogenase/reductase SDR family member 11 precursor</t>
  </si>
  <si>
    <t>dehydrogenase/reductase SDR family member 13 precursor</t>
  </si>
  <si>
    <t xml:space="preserve">short-chain dehydrogenase/reductase 3 isoform 2 </t>
  </si>
  <si>
    <t xml:space="preserve">short-chain dehydrogenase/reductase 3 isoform 1 </t>
  </si>
  <si>
    <t xml:space="preserve">dehydrogenase/reductase SDR family member 4 isoform 2 </t>
  </si>
  <si>
    <t xml:space="preserve">dehydrogenase/reductase SDR family member 4 isoform 1 </t>
  </si>
  <si>
    <t>dehydrogenase/reductase SDR family member 7 precursor</t>
  </si>
  <si>
    <t xml:space="preserve">dehydrogenase/reductase SDR family member 7B isoform 2 </t>
  </si>
  <si>
    <t xml:space="preserve">dehydrogenase/reductase SDR family member 7B isoform 1 </t>
  </si>
  <si>
    <t xml:space="preserve">putative pre-mRNA-splicing factor ATP-dependent RNA helicase DHX15 isoform 2 </t>
  </si>
  <si>
    <t xml:space="preserve">putative pre-mRNA-splicing factor ATP-dependent RNA helicase DHX15 isoform 1 </t>
  </si>
  <si>
    <t xml:space="preserve">DEAH (Asp-Glu-Ala-His) box polypeptide 16 </t>
  </si>
  <si>
    <t>ATP-dependent RNA helicase Dhx29</t>
  </si>
  <si>
    <t xml:space="preserve">putative ATP-dependent RNA helicase DHX30 isoform 2 </t>
  </si>
  <si>
    <t xml:space="preserve">putative ATP-dependent RNA helicase DHX30 isoform 1 </t>
  </si>
  <si>
    <t xml:space="preserve">putative ATP-dependent RNA helicase DHX30 isoform 3 </t>
  </si>
  <si>
    <t xml:space="preserve">probable ATP-dependent RNA helicase DHX35 </t>
  </si>
  <si>
    <t xml:space="preserve">probable ATP-dependent RNA helicase DHX36 </t>
  </si>
  <si>
    <t xml:space="preserve">probable ATP-dependent RNA helicase DHX37 </t>
  </si>
  <si>
    <t>pre-mRNA-splicing factor ATP-dependent RNA helicase PRP16</t>
  </si>
  <si>
    <t xml:space="preserve">probable ATP-dependent RNA helicase DHX40 </t>
  </si>
  <si>
    <t xml:space="preserve">putative ATP-dependent RNA helicase DHX57 isoform 2 </t>
  </si>
  <si>
    <t xml:space="preserve">putative ATP-dependent RNA helicase DHX57 isoform 1 </t>
  </si>
  <si>
    <t>ATP-dependent RNA helicase DHX8</t>
  </si>
  <si>
    <t>ATP-dependent RNA helicase A</t>
  </si>
  <si>
    <t>diablo homolog, mitochondrial precursor</t>
  </si>
  <si>
    <t>protein diaphanous homolog 1</t>
  </si>
  <si>
    <t>protein diaphanous homolog 2</t>
  </si>
  <si>
    <t>protein diaphanous homolog 3</t>
  </si>
  <si>
    <t>endoribonuclease Dicer</t>
  </si>
  <si>
    <t xml:space="preserve">death-inducer obliterator 1 isoform 2 </t>
  </si>
  <si>
    <t xml:space="preserve">death-inducer obliterator 1 isoform 3 </t>
  </si>
  <si>
    <t xml:space="preserve">probable dimethyladenosine transferase </t>
  </si>
  <si>
    <t xml:space="preserve">disco-interacting protein 2 homolog A </t>
  </si>
  <si>
    <t xml:space="preserve">disco-interacting protein 2 homolog B isoform 1 </t>
  </si>
  <si>
    <t xml:space="preserve">disco-interacting protein 2 homolog B isoform 2 </t>
  </si>
  <si>
    <t xml:space="preserve">GTP-binding protein Di-Ras1 </t>
  </si>
  <si>
    <t xml:space="preserve">GTP-binding protein Di-Ras2 </t>
  </si>
  <si>
    <t>exosome complex exonuclease RRP44</t>
  </si>
  <si>
    <t xml:space="preserve">DIS3-like exonuclease 1 isoform 2 </t>
  </si>
  <si>
    <t xml:space="preserve">DIS3-like exonuclease 1 isoform 1 </t>
  </si>
  <si>
    <t xml:space="preserve">DIS3-like exonuclease 2 isoform 2 </t>
  </si>
  <si>
    <t xml:space="preserve">DIS3-like exonuclease 2 isoform 1 </t>
  </si>
  <si>
    <t xml:space="preserve">H/ACA ribonucleoprotein complex subunit 4 </t>
  </si>
  <si>
    <t>dihydrolipoyllysine-residue acetyltransferase component of pyruvate dehydrogenase complex, mitochondrial</t>
  </si>
  <si>
    <t>rho GTPase-activating protein 7 isoform 2</t>
  </si>
  <si>
    <t>rho GTPase-activating protein 7 isoform 1</t>
  </si>
  <si>
    <t>rho GTPase-activating protein 7 isoform 3</t>
  </si>
  <si>
    <t>dihydrolipoyl dehydrogenase, mitochondrial precursor</t>
  </si>
  <si>
    <t>disks large homolog 1 isoform 3</t>
  </si>
  <si>
    <t>disks large homolog 1 isoform 4</t>
  </si>
  <si>
    <t>disks large homolog 1 isoform 5</t>
  </si>
  <si>
    <t>disks large homolog 1 isoform 2</t>
  </si>
  <si>
    <t>disks large homolog 1 isoform 1</t>
  </si>
  <si>
    <t>disks large homolog 2 isoform 1</t>
  </si>
  <si>
    <t>disks large homolog 2 isoform 2</t>
  </si>
  <si>
    <t>disks large homolog 2 isoform 3</t>
  </si>
  <si>
    <t>disks large homolog 3 isoform 4</t>
  </si>
  <si>
    <t>disks large homolog 3 isoform 2</t>
  </si>
  <si>
    <t>disks large homolog 3 isoform 3</t>
  </si>
  <si>
    <t>disks large homolog 3 isoform 1</t>
  </si>
  <si>
    <t>discs large homolog 5 isoform 1</t>
  </si>
  <si>
    <t>discs large homolog 5 isoform 2</t>
  </si>
  <si>
    <t>disks large-associated protein 4 isoform d</t>
  </si>
  <si>
    <t>disks large-associated protein 4 isoform e</t>
  </si>
  <si>
    <t>disks large-associated protein 4 isoform b</t>
  </si>
  <si>
    <t>disks large-associated protein 4 isoform c</t>
  </si>
  <si>
    <t>disks large-associated protein 4 isoform a</t>
  </si>
  <si>
    <t>disks large-associated protein 5</t>
  </si>
  <si>
    <t>dihydrolipoyllysine-residue succinyltransferase component of 2-oxoglutarate dehydrogenase complex, mitochondrial</t>
  </si>
  <si>
    <t xml:space="preserve">dystrophin </t>
  </si>
  <si>
    <t xml:space="preserve">DNA replication ATP-dependent helicase/nuclease DNA2 </t>
  </si>
  <si>
    <t xml:space="preserve">dynein assembly factor 1, axonemal </t>
  </si>
  <si>
    <t>protein kintoun</t>
  </si>
  <si>
    <t xml:space="preserve">dynein, axonemal, heavy chain 1 </t>
  </si>
  <si>
    <t xml:space="preserve">dynein heavy chain 10, axonemal </t>
  </si>
  <si>
    <t xml:space="preserve">dynein, axonemal, heavy chain 11 </t>
  </si>
  <si>
    <t xml:space="preserve">dynein heavy chain 17, axonemal </t>
  </si>
  <si>
    <t xml:space="preserve">dynein heavy chain 5, axonemal </t>
  </si>
  <si>
    <t xml:space="preserve">dynein heavy chain 8, axonemal </t>
  </si>
  <si>
    <t xml:space="preserve">dynein heavy chain 9, axonemal </t>
  </si>
  <si>
    <t>PREDICTED: dynein heavy chain 12, axonemal</t>
  </si>
  <si>
    <t>PREDICTED: dynein heavy chain 14, axonemal</t>
  </si>
  <si>
    <t>dnaJ homolog subfamily A member 1</t>
  </si>
  <si>
    <t>dnaJ homolog subfamily A member 2</t>
  </si>
  <si>
    <t xml:space="preserve">dnaJ homolog subfamily A member 3, mitochondrial isoform 1 </t>
  </si>
  <si>
    <t xml:space="preserve">dnaJ homolog subfamily A member 3, mitochondrial isoform 2 </t>
  </si>
  <si>
    <t>dnaJ homolog subfamily B member 1</t>
  </si>
  <si>
    <t xml:space="preserve">dnaJ homolog subfamily B member 11 precursor </t>
  </si>
  <si>
    <t>dnaJ homolog subfamily B member 12</t>
  </si>
  <si>
    <t>dnaJ homolog subfamily B member 2 isoform 2</t>
  </si>
  <si>
    <t>dnaJ homolog subfamily B member 2 isoform 1</t>
  </si>
  <si>
    <t>dnaJ homolog subfamily B member 2 isoform 3</t>
  </si>
  <si>
    <t>dnaJ homolog subfamily B member 4</t>
  </si>
  <si>
    <t>dnaJ homolog subfamily B member 6 isoform b</t>
  </si>
  <si>
    <t>dnaJ homolog subfamily B member 6 isoform d</t>
  </si>
  <si>
    <t>dnaJ homolog subfamily B member 6 isoform c</t>
  </si>
  <si>
    <t>dnaJ homolog subfamily B member 6 isoform a</t>
  </si>
  <si>
    <t>dnaJ homolog subfamily B member 7</t>
  </si>
  <si>
    <t xml:space="preserve">dnaJ homolog subfamily C member 1 precursor </t>
  </si>
  <si>
    <t xml:space="preserve">dnaJ homolog subfamily C member 10 precursor </t>
  </si>
  <si>
    <t>dnaJ homolog subfamily C member 11</t>
  </si>
  <si>
    <t xml:space="preserve">DnaJ (Hsp40) homolog, subfamily C, member 13 </t>
  </si>
  <si>
    <t xml:space="preserve">mitochondrial import inner membrane translocase subunit TIM14 isoform 2 </t>
  </si>
  <si>
    <t>PREDICTED: mitochondrial import inner membrane translocase subunit TIM14-like</t>
  </si>
  <si>
    <t>dnaJ homolog subfamily C member 2</t>
  </si>
  <si>
    <t xml:space="preserve">DnaJ (Hsp40) homolog, subfamily C, member 21 </t>
  </si>
  <si>
    <t>dnaJ homolog subfamily C member 24</t>
  </si>
  <si>
    <t xml:space="preserve">dnaJ homolog subfamily C member 25 precursor </t>
  </si>
  <si>
    <t xml:space="preserve">dnaJ homolog subfamily C member 3 precursor </t>
  </si>
  <si>
    <t>dnaJ homolog subfamily C member 4</t>
  </si>
  <si>
    <t>dnaJ homolog subfamily C member 5</t>
  </si>
  <si>
    <t>dnaJ homolog subfamily C member 7</t>
  </si>
  <si>
    <t>dnaJ homolog subfamily C member 8</t>
  </si>
  <si>
    <t>dnaJ homolog subfamily C member 9</t>
  </si>
  <si>
    <t xml:space="preserve">dynein light chain 1, axonemal </t>
  </si>
  <si>
    <t xml:space="preserve">deoxyribonuclease-1-like 2 precursor </t>
  </si>
  <si>
    <t>deoxyribonuclease-2-alpha precursor</t>
  </si>
  <si>
    <t>DNL-type zinc finger protein isoform 1</t>
  </si>
  <si>
    <t>DNL-type zinc finger protein isoform 2</t>
  </si>
  <si>
    <t>DNL-type zinc finger protein isoform 3</t>
  </si>
  <si>
    <t xml:space="preserve">dynamin-1 </t>
  </si>
  <si>
    <t>dynamin-1-like protein isoform c</t>
  </si>
  <si>
    <t>dynamin-1-like protein isoform d</t>
  </si>
  <si>
    <t>dynamin-1-like protein isoform b</t>
  </si>
  <si>
    <t>dynamin-1-like protein isoform a</t>
  </si>
  <si>
    <t xml:space="preserve">dynamin-2 isoform 1 </t>
  </si>
  <si>
    <t xml:space="preserve">dynamin-2 isoform 3 </t>
  </si>
  <si>
    <t xml:space="preserve">dynamin-2 isoform 4 </t>
  </si>
  <si>
    <t xml:space="preserve">dynamin-2 isoform 2 </t>
  </si>
  <si>
    <t xml:space="preserve">dynamin-3 isoform 2 </t>
  </si>
  <si>
    <t xml:space="preserve">dynamin-3 isoform 1 </t>
  </si>
  <si>
    <t xml:space="preserve">DNA (cytosine-5)-methyltransferase 1 isoform 3 </t>
  </si>
  <si>
    <t xml:space="preserve">DNA (cytosine-5)-methyltransferase 1 isoform 4 </t>
  </si>
  <si>
    <t xml:space="preserve">DNA (cytosine-5)-methyltransferase 1 isoform 1 </t>
  </si>
  <si>
    <t xml:space="preserve">DNA (cytosine-5)-methyltransferase 1 isoform 2 </t>
  </si>
  <si>
    <t>aspartyl aminopeptidase isoform b</t>
  </si>
  <si>
    <t>aspartyl aminopeptidase isoform a</t>
  </si>
  <si>
    <t>2'-deoxynucleoside 5'-phosphate N-hydrolase 1</t>
  </si>
  <si>
    <t>deoxynucleotidyltransferase terminal-interacting protein 2</t>
  </si>
  <si>
    <t xml:space="preserve">dedicator of cytokinesis protein 1 </t>
  </si>
  <si>
    <t xml:space="preserve">dedicator of cytokinesis protein 3 </t>
  </si>
  <si>
    <t xml:space="preserve">dedicator of cytokinesis protein 5 </t>
  </si>
  <si>
    <t xml:space="preserve">dedicator of cytokinesis protein 7 </t>
  </si>
  <si>
    <t xml:space="preserve">dedicator of cytokinesis protein 8 </t>
  </si>
  <si>
    <t xml:space="preserve">dedicator of cytokinesis protein 9 isoform 1 </t>
  </si>
  <si>
    <t xml:space="preserve">dedicator of cytokinesis protein 9 isoform 2 </t>
  </si>
  <si>
    <t xml:space="preserve">dedicator of cytokinesis protein 9 isoform 3 </t>
  </si>
  <si>
    <t xml:space="preserve">dedicator of cytokinesis protein 9 isoform 4 </t>
  </si>
  <si>
    <t>deoxyhypusine hydroxylase</t>
  </si>
  <si>
    <t>protein dopey-1</t>
  </si>
  <si>
    <t>protein dopey-2 isoform 1</t>
  </si>
  <si>
    <t>protein DPCD</t>
  </si>
  <si>
    <t xml:space="preserve">dipeptidase 3 precursor </t>
  </si>
  <si>
    <t>zinc finger protein ubi-d4</t>
  </si>
  <si>
    <t>diphthamide biosynthesis protein 1</t>
  </si>
  <si>
    <t>diphthamide biosynthesis protein 2</t>
  </si>
  <si>
    <t>diphthine synthase</t>
  </si>
  <si>
    <t>ATP-binding domain-containing protein 4</t>
  </si>
  <si>
    <t>WD repeat-containing protein 85</t>
  </si>
  <si>
    <t>dolichol-phosphate mannosyltransferase</t>
  </si>
  <si>
    <t xml:space="preserve">dolichol-phosphate mannosyltransferase subunit 3 precursor </t>
  </si>
  <si>
    <t xml:space="preserve">dipeptidyl peptidase 3 </t>
  </si>
  <si>
    <t xml:space="preserve">dipeptidyl peptidase 4 isoform 2 </t>
  </si>
  <si>
    <t xml:space="preserve">dipeptidyl peptidase 4 isoform 1 </t>
  </si>
  <si>
    <t>dipeptidyl peptidase 2 precursor</t>
  </si>
  <si>
    <t xml:space="preserve">dipeptidyl peptidase 9 </t>
  </si>
  <si>
    <t xml:space="preserve">protein dpy-30 homolog </t>
  </si>
  <si>
    <t xml:space="preserve">dihydropyrimidinase-related protein 2 </t>
  </si>
  <si>
    <t xml:space="preserve">dihydropyrimidinase-related protein 3 isoform 1 </t>
  </si>
  <si>
    <t xml:space="preserve">dihydropyrimidinase-related protein 3 isoform 2 </t>
  </si>
  <si>
    <t xml:space="preserve">dihydropyrimidinase-related protein 5 </t>
  </si>
  <si>
    <t>protein Dr1</t>
  </si>
  <si>
    <t>DNA damage-regulated autophagy modulator protein 2 isoform 2</t>
  </si>
  <si>
    <t>DNA damage-regulated autophagy modulator protein 2 isoform 1</t>
  </si>
  <si>
    <t>dr1-associated corepressor</t>
  </si>
  <si>
    <t>developmentally-regulated GTP-binding protein 1</t>
  </si>
  <si>
    <t>developmentally-regulated GTP-binding protein 2</t>
  </si>
  <si>
    <t>ribonuclease 3</t>
  </si>
  <si>
    <t xml:space="preserve">sister chromatid cohesion protein DCC1 </t>
  </si>
  <si>
    <t xml:space="preserve">Down syndrome critical region protein 3 homolog </t>
  </si>
  <si>
    <t>desmoglein-1-alpha precursor</t>
  </si>
  <si>
    <t>desmoglein-1-beta precursor</t>
  </si>
  <si>
    <t>desmoglein-2 precursor</t>
  </si>
  <si>
    <t>kinetochore-associated protein DSN1 homolog</t>
  </si>
  <si>
    <t xml:space="preserve">desmoplakin </t>
  </si>
  <si>
    <t xml:space="preserve">dystonin isoform 1 </t>
  </si>
  <si>
    <t xml:space="preserve">dystonin isoform 2 </t>
  </si>
  <si>
    <t xml:space="preserve">dystonin isoform 3 </t>
  </si>
  <si>
    <t xml:space="preserve">destrin </t>
  </si>
  <si>
    <t xml:space="preserve">D-tyrosyl-tRNA(Tyr) deacylase 1 </t>
  </si>
  <si>
    <t>probable D-tyrosyl-tRNA(Tyr) deacylase 2</t>
  </si>
  <si>
    <t>dystrobrevin alpha isoform 1</t>
  </si>
  <si>
    <t>dystrobrevin beta isoform b</t>
  </si>
  <si>
    <t>dystrobrevin beta isoform a</t>
  </si>
  <si>
    <t>E3 ubiquitin-protein ligase DTX3L</t>
  </si>
  <si>
    <t>thymidylate kinase isoform 2</t>
  </si>
  <si>
    <t>thymidylate kinase isoform 1</t>
  </si>
  <si>
    <t xml:space="preserve">tRNA-dihydrouridine(16/17) synthase [NAD(P)(+)]-like </t>
  </si>
  <si>
    <t xml:space="preserve">tRNA-dihydrouridine(47) synthase [NAD(P)(+)]-like </t>
  </si>
  <si>
    <t xml:space="preserve">dual specificity protein phosphatase 22 isoform b </t>
  </si>
  <si>
    <t xml:space="preserve">dual specificity protein phosphatase 22 isoform a </t>
  </si>
  <si>
    <t>dual specificity phosphatase 28</t>
  </si>
  <si>
    <t xml:space="preserve">dual specificity protein phosphatase 3 </t>
  </si>
  <si>
    <t>deoxyuridine triphosphatase isoform 2</t>
  </si>
  <si>
    <t>deoxyuridine triphosphatase isoform 1</t>
  </si>
  <si>
    <t>segment polarity protein dishevelled homolog DVL-2</t>
  </si>
  <si>
    <t>segment polarity protein dishevelled homolog DVL-3</t>
  </si>
  <si>
    <t>protein Dom3Z</t>
  </si>
  <si>
    <t xml:space="preserve">dymeclin </t>
  </si>
  <si>
    <t>cytoplasmic dynein 1 heavy chain 1</t>
  </si>
  <si>
    <t>cytoplasmic dynein 1 intermediate chain 2 isoform 1</t>
  </si>
  <si>
    <t>cytoplasmic dynein 1 intermediate chain 2 isoform 2</t>
  </si>
  <si>
    <t>cytoplasmic dynein 1 intermediate chain 2 isoform 3</t>
  </si>
  <si>
    <t>cytoplasmic dynein 1 intermediate chain 2 isoform 4</t>
  </si>
  <si>
    <t>cytoplasmic dynein 1 intermediate chain 2 isoform 5</t>
  </si>
  <si>
    <t xml:space="preserve">cytoplasmic dynein 1 light intermediate chain 1 </t>
  </si>
  <si>
    <t xml:space="preserve">cytoplasmic dynein 1 light intermediate chain 2 </t>
  </si>
  <si>
    <t>cytoplasmic dynein 2 heavy chain 1</t>
  </si>
  <si>
    <t xml:space="preserve">cytoplasmic dynein 2 light intermediate chain 1 </t>
  </si>
  <si>
    <t xml:space="preserve">dynein light chain 1, cytoplasmic </t>
  </si>
  <si>
    <t xml:space="preserve">dynein light chain 2, cytoplasmic </t>
  </si>
  <si>
    <t xml:space="preserve">dynein light chain roadblock-type 1 </t>
  </si>
  <si>
    <t xml:space="preserve">dynein light chain Tctex-type 1A </t>
  </si>
  <si>
    <t xml:space="preserve">dynein light chain Tctex-type 1 </t>
  </si>
  <si>
    <t xml:space="preserve">dynein light chain Tctex-type 1F isoform 2 </t>
  </si>
  <si>
    <t xml:space="preserve">dynein light chain Tctex-type 3 </t>
  </si>
  <si>
    <t xml:space="preserve">dual specificity tyrosine-phosphorylation-regulated kinase 1A </t>
  </si>
  <si>
    <t xml:space="preserve">dual specificity tyrosine-phosphorylation-regulated kinase 1B isoform c </t>
  </si>
  <si>
    <t xml:space="preserve">dual specificity tyrosine-phosphorylation-regulated kinase 1B isoform a </t>
  </si>
  <si>
    <t xml:space="preserve">dual specificity tyrosine-phosphorylation-regulated kinase 1B isoform b </t>
  </si>
  <si>
    <t xml:space="preserve">dysferlin isoform 1 </t>
  </si>
  <si>
    <t xml:space="preserve">dysferlin isoform 2 </t>
  </si>
  <si>
    <t>E3 ubiquitin-protein ligase DZIP3 isoform 2</t>
  </si>
  <si>
    <t>E3 ubiquitin-protein ligase DZIP3 isoform 1</t>
  </si>
  <si>
    <t>PREDICTED: rootletin</t>
  </si>
  <si>
    <t>uncharacterized protein C7orf26 homolog</t>
  </si>
  <si>
    <t>uncharacterized protein C3orf33 homolog</t>
  </si>
  <si>
    <t>ubiquitin-conjugating enzyme E2 Q2-like</t>
  </si>
  <si>
    <t>WASH complex subunit strumpellin</t>
  </si>
  <si>
    <t xml:space="preserve">probable glutamate--tRNA ligase, mitochondrial precursor </t>
  </si>
  <si>
    <t xml:space="preserve">receptor-binding cancer antigen expressed on SiSo cells </t>
  </si>
  <si>
    <t xml:space="preserve">3-beta-hydroxysteroid-Delta(8),Delta(7)-isomerase </t>
  </si>
  <si>
    <t>delta(3,5)-Delta(2,4)-dienoyl-CoA isomerase, mitochondrial precursor</t>
  </si>
  <si>
    <t>ethylmalonyl-CoA decarboxylase isoform a</t>
  </si>
  <si>
    <t>ethylmalonyl-CoA decarboxylase isoform b</t>
  </si>
  <si>
    <t xml:space="preserve">enoyl-CoA hydratase domain-containing protein 2, mitochondrial isoform 1 precursor </t>
  </si>
  <si>
    <t>enoyl-CoA hydratase domain-containing protein 2, mitochondrial isoform 2</t>
  </si>
  <si>
    <t xml:space="preserve">enoyl-CoA hydratase domain-containing protein 3, mitochondrial precursor </t>
  </si>
  <si>
    <t>enoyl-CoA hydratase, mitochondrial precursor</t>
  </si>
  <si>
    <t>enoyl-CoA delta isomerase 1, mitochondrial precursor</t>
  </si>
  <si>
    <t xml:space="preserve">enoyl-CoA delta isomerase 2, mitochondrial isoform a </t>
  </si>
  <si>
    <t xml:space="preserve">enoyl-CoA delta isomerase 2, mitochondrial isoform b </t>
  </si>
  <si>
    <t xml:space="preserve">enoyl-Coenzyme A delta isomerase 3 </t>
  </si>
  <si>
    <t xml:space="preserve">evolutionarily conserved signaling intermediate in Toll pathway, mitochondrial precursor </t>
  </si>
  <si>
    <t xml:space="preserve">enhancer of mRNA-decapping protein 3 </t>
  </si>
  <si>
    <t xml:space="preserve">enhancer of mRNA-decapping protein 4 </t>
  </si>
  <si>
    <t>endothelial differentiation-related factor 1</t>
  </si>
  <si>
    <t>early endosome antigen 1</t>
  </si>
  <si>
    <t>elongation factor 1-alpha 2</t>
  </si>
  <si>
    <t xml:space="preserve">elongation factor 1-beta </t>
  </si>
  <si>
    <t xml:space="preserve">elongation factor 1-delta isoform d </t>
  </si>
  <si>
    <t xml:space="preserve">elongation factor 1-delta isoform c </t>
  </si>
  <si>
    <t xml:space="preserve">elongation factor 1-delta isoform b </t>
  </si>
  <si>
    <t xml:space="preserve">elongation factor 1-delta isoform a </t>
  </si>
  <si>
    <t>eukaryotic translation elongation factor 1 epsilon-1</t>
  </si>
  <si>
    <t xml:space="preserve">elongation factor 1-gamma </t>
  </si>
  <si>
    <t xml:space="preserve">elongation factor 2 </t>
  </si>
  <si>
    <t xml:space="preserve">eukaryotic elongation factor 2 kinase </t>
  </si>
  <si>
    <t xml:space="preserve">selenocysteine-specific elongation factor </t>
  </si>
  <si>
    <t>EF-hand domain-containing protein D1</t>
  </si>
  <si>
    <t>EF-hand domain-containing protein D2</t>
  </si>
  <si>
    <t>ephrin-B2 precursor</t>
  </si>
  <si>
    <t>protein EFR3 homolog A</t>
  </si>
  <si>
    <t xml:space="preserve">elongation factor Tu GTP-binding domain-containing protein 1 </t>
  </si>
  <si>
    <t xml:space="preserve">116 kDa U5 small nuclear ribonucleoprotein component isoform b </t>
  </si>
  <si>
    <t xml:space="preserve">116 kDa U5 small nuclear ribonucleoprotein component isoform a </t>
  </si>
  <si>
    <t xml:space="preserve">epidermal growth factor receptor isoform 1 precursor </t>
  </si>
  <si>
    <t xml:space="preserve">epidermal growth factor receptor isoform 2 precursor </t>
  </si>
  <si>
    <t>egl nine homolog 1</t>
  </si>
  <si>
    <t>EH domain-binding protein 1-like protein 1 isoform a</t>
  </si>
  <si>
    <t>EH domain-containing protein 1</t>
  </si>
  <si>
    <t>EH domain-containing protein 2</t>
  </si>
  <si>
    <t>EH domain-containing protein 3</t>
  </si>
  <si>
    <t>EH domain-containing protein 4</t>
  </si>
  <si>
    <t xml:space="preserve">peroxisomal bifunctional enzyme </t>
  </si>
  <si>
    <t xml:space="preserve">etoposide-induced protein 2.4 </t>
  </si>
  <si>
    <t xml:space="preserve">eukaryotic translation initiation factor 1 </t>
  </si>
  <si>
    <t xml:space="preserve">eukaryotic translation initiation factor 1A </t>
  </si>
  <si>
    <t>probable RNA-binding protein EIF1AD</t>
  </si>
  <si>
    <t>eukaryotic translation initiation factor 1A, X-chromosomal</t>
  </si>
  <si>
    <t xml:space="preserve">eukaryotic translation initiation factor 1b </t>
  </si>
  <si>
    <t xml:space="preserve">eukaryotic translation initiation factor 2A </t>
  </si>
  <si>
    <t xml:space="preserve">interferon-induced, double-stranded RNA-activated protein kinase </t>
  </si>
  <si>
    <t xml:space="preserve">eukaryotic translation initiation factor 2-alpha kinase 4 isoform 1 </t>
  </si>
  <si>
    <t xml:space="preserve">eukaryotic translation initiation factor 2-alpha kinase 4 isoform 2 </t>
  </si>
  <si>
    <t>translation initiation factor eIF-2B subunit alpha</t>
  </si>
  <si>
    <t>translation initiation factor eIF-2B subunit beta</t>
  </si>
  <si>
    <t>eukaryotic translation initiation factor 2B, subunit 3 gamma isoform 2</t>
  </si>
  <si>
    <t>eukaryotic translation initiation factor 2B, subunit 3 gamma isoform 1</t>
  </si>
  <si>
    <t>translation initiation factor eIF-2B subunit delta isoform 2</t>
  </si>
  <si>
    <t>translation initiation factor eIF-2B subunit delta isoform 1</t>
  </si>
  <si>
    <t>translation initiation factor eIF-2B subunit epsilon</t>
  </si>
  <si>
    <t xml:space="preserve">eukaryotic translation initiation factor 2D isoform 1 </t>
  </si>
  <si>
    <t xml:space="preserve">eukaryotic translation initiation factor 2D isoform 2 </t>
  </si>
  <si>
    <t xml:space="preserve">eukaryotic translation initiation factor 2 subunit 1 </t>
  </si>
  <si>
    <t xml:space="preserve">eukaryotic translation initiation factor 2 subunit 2 </t>
  </si>
  <si>
    <t>eukaryotic translation initiation factor 2 subunit 3, X-linked</t>
  </si>
  <si>
    <t>eukaryotic translation initiation factor 2 subunit 3, Y-linked</t>
  </si>
  <si>
    <t xml:space="preserve">eukaryotic translation initiation factor 3 subunit A </t>
  </si>
  <si>
    <t xml:space="preserve">eukaryotic translation initiation factor 3 subunit B </t>
  </si>
  <si>
    <t xml:space="preserve">eukaryotic translation initiation factor 3 subunit C </t>
  </si>
  <si>
    <t xml:space="preserve">eukaryotic translation initiation factor 3 subunit D </t>
  </si>
  <si>
    <t xml:space="preserve">eukaryotic translation initiation factor 3 subunit E </t>
  </si>
  <si>
    <t xml:space="preserve">eukaryotic translation initiation factor 3 subunit F </t>
  </si>
  <si>
    <t xml:space="preserve">eukaryotic translation initiation factor 3 subunit G </t>
  </si>
  <si>
    <t xml:space="preserve">eukaryotic translation initiation factor 3 subunit H </t>
  </si>
  <si>
    <t xml:space="preserve">eukaryotic translation initiation factor 3 subunit I </t>
  </si>
  <si>
    <t xml:space="preserve">eukaryotic translation initiation factor 3 subunit J </t>
  </si>
  <si>
    <t xml:space="preserve">eukaryotic translation initiation factor 3 subunit J-B </t>
  </si>
  <si>
    <t xml:space="preserve">eukaryotic translation initiation factor 3 subunit K isoform 3 </t>
  </si>
  <si>
    <t xml:space="preserve">eukaryotic translation initiation factor 3 subunit K isoform 2 </t>
  </si>
  <si>
    <t xml:space="preserve">eukaryotic translation initiation factor 3 subunit K </t>
  </si>
  <si>
    <t xml:space="preserve">eukaryotic translation initiation factor 3 subunit L </t>
  </si>
  <si>
    <t xml:space="preserve">eukaryotic translation initiation factor 3 subunit M </t>
  </si>
  <si>
    <t>eukaryotic initiation factor 4A-I isoform 1</t>
  </si>
  <si>
    <t>eukaryotic initiation factor 4A-I isoform 2</t>
  </si>
  <si>
    <t>eukaryotic initiation factor 4A-II isoform a</t>
  </si>
  <si>
    <t>eukaryotic initiation factor 4A-II isoform b</t>
  </si>
  <si>
    <t>eukaryotic initiation factor 4A-II isoform c</t>
  </si>
  <si>
    <t>eukaryotic initiation factor 4A-III</t>
  </si>
  <si>
    <t xml:space="preserve">eukaryotic translation initiation factor 4B </t>
  </si>
  <si>
    <t xml:space="preserve">eukaryotic translation initiation factor 4E </t>
  </si>
  <si>
    <t xml:space="preserve">eukaryotic translation initiation factor 4E type 2 isoform 3 </t>
  </si>
  <si>
    <t xml:space="preserve">eukaryotic translation initiation factor 4E type 2 isoform 2 </t>
  </si>
  <si>
    <t xml:space="preserve">eukaryotic translation initiation factor 4E type 2 isoform 1 </t>
  </si>
  <si>
    <t xml:space="preserve">eukaryotic translation initiation factor 4E-binding protein 2 </t>
  </si>
  <si>
    <t xml:space="preserve">eukaryotic translation initiation factor 4 gamma 1 isoform a </t>
  </si>
  <si>
    <t xml:space="preserve">eukaryotic translation initiation factor 4 gamma 1 isoform b </t>
  </si>
  <si>
    <t xml:space="preserve">eukaryotic translation initiation factor 4 gamma 2 isoform 2 </t>
  </si>
  <si>
    <t xml:space="preserve">eukaryotic translation initiation factor 4 gamma 2 isoform 1 </t>
  </si>
  <si>
    <t xml:space="preserve">eukaryotic translation initiation factor 4 gamma 3 isoform 2 </t>
  </si>
  <si>
    <t xml:space="preserve">eukaryotic translation initiation factor 4 gamma 3 isoform 3 </t>
  </si>
  <si>
    <t xml:space="preserve">eukaryotic translation initiation factor 4 gamma 3 isoform 1 </t>
  </si>
  <si>
    <t xml:space="preserve">eukaryotic translation initiation factor 4H </t>
  </si>
  <si>
    <t xml:space="preserve">eukaryotic translation initiation factor 5A-1 </t>
  </si>
  <si>
    <t xml:space="preserve">eukaryotic translation initiation factor 5A-2 </t>
  </si>
  <si>
    <t xml:space="preserve">eukaryotic translation initiation factor 5B </t>
  </si>
  <si>
    <t xml:space="preserve">eukaryotic translation initiation factor 6 </t>
  </si>
  <si>
    <t xml:space="preserve">zinc phosphodiesterase ELAC protein 2 </t>
  </si>
  <si>
    <t xml:space="preserve">ELAV-like protein 1 </t>
  </si>
  <si>
    <t>RNA polymerase II elongation factor ELL</t>
  </si>
  <si>
    <t>engulfment and cell motility protein 2 isoform 3</t>
  </si>
  <si>
    <t>engulfment and cell motility protein 2 isoform 1</t>
  </si>
  <si>
    <t>engulfment and cell motility protein 2 isoform 2</t>
  </si>
  <si>
    <t>engulfment and cell motility protein 3</t>
  </si>
  <si>
    <t>ELMO domain-containing protein 2</t>
  </si>
  <si>
    <t xml:space="preserve">transcription elongation factor 1 homolog </t>
  </si>
  <si>
    <t xml:space="preserve">elongation of very long chain fatty acids protein 1 isoform 2 </t>
  </si>
  <si>
    <t xml:space="preserve">elongation of very long chain fatty acids protein 1 isoform 1 </t>
  </si>
  <si>
    <t xml:space="preserve">elongation of very long chain fatty acids protein 7 </t>
  </si>
  <si>
    <t>elongator complex protein 2</t>
  </si>
  <si>
    <t>elongator complex protein 3 isoform 2</t>
  </si>
  <si>
    <t>elongator complex protein 3 isoform 1</t>
  </si>
  <si>
    <t>elongator complex protein 4</t>
  </si>
  <si>
    <t>elongator complex protein 5 isoform 1</t>
  </si>
  <si>
    <t>elongator complex protein 5 isoform 2</t>
  </si>
  <si>
    <t>elongator complex protein 6</t>
  </si>
  <si>
    <t xml:space="preserve">ER membrane protein complex subunit 1 isoform 1 precursor </t>
  </si>
  <si>
    <t xml:space="preserve">ER membrane protein complex subunit 1 isoform 2 precursor </t>
  </si>
  <si>
    <t>ER membrane protein complex subunit 2</t>
  </si>
  <si>
    <t>ER membrane protein complex subunit 3</t>
  </si>
  <si>
    <t>ER membrane protein complex subunit 4</t>
  </si>
  <si>
    <t>ER membrane protein complex subunit 6</t>
  </si>
  <si>
    <t xml:space="preserve">ER membrane protein complex subunit 7 precursor </t>
  </si>
  <si>
    <t>ER membrane protein complex subunit 8</t>
  </si>
  <si>
    <t xml:space="preserve">emerin </t>
  </si>
  <si>
    <t>ribosomal RNA small subunit methyltransferase NEP1</t>
  </si>
  <si>
    <t>echinoderm microtubule-associated protein-like 2 isoform 1</t>
  </si>
  <si>
    <t>echinoderm microtubule-associated protein-like 2 isoform 2</t>
  </si>
  <si>
    <t>echinoderm microtubule-associated protein-like 3</t>
  </si>
  <si>
    <t>echinoderm microtubule-associated protein-like 4 isoform 3</t>
  </si>
  <si>
    <t>echinoderm microtubule-associated protein-like 4 isoform 1</t>
  </si>
  <si>
    <t>echinoderm microtubule-associated protein-like 4 isoform 2</t>
  </si>
  <si>
    <t xml:space="preserve">protein enabled homolog isoform 1 </t>
  </si>
  <si>
    <t xml:space="preserve">protein enabled homolog isoform 2 </t>
  </si>
  <si>
    <t xml:space="preserve">protein enabled homolog isoform 4 </t>
  </si>
  <si>
    <t xml:space="preserve">protein enabled homolog isoform 3 </t>
  </si>
  <si>
    <t xml:space="preserve">endonuclease domain-containing 1 protein precursor </t>
  </si>
  <si>
    <t>cytosolic endo-beta-N-acetylglucosaminidase</t>
  </si>
  <si>
    <t xml:space="preserve">alpha-enolase </t>
  </si>
  <si>
    <t xml:space="preserve">gamma-enolase </t>
  </si>
  <si>
    <t xml:space="preserve">beta-enolase </t>
  </si>
  <si>
    <t xml:space="preserve">beta-enolase isoform 2 </t>
  </si>
  <si>
    <t>enolase-phosphatase E1</t>
  </si>
  <si>
    <t>ectonucleotide pyrophosphatase/phosphodiesterase family member 4 precursor</t>
  </si>
  <si>
    <t>ectonucleotide pyrophosphatase/phosphodiesterase family member 5 precursor</t>
  </si>
  <si>
    <t>ectonucleotide pyrophosphatase/phosphodiesterase family member 7 precursor</t>
  </si>
  <si>
    <t xml:space="preserve">alpha-endosulfine isoform b </t>
  </si>
  <si>
    <t xml:space="preserve">alpha-endosulfine isoform a </t>
  </si>
  <si>
    <t xml:space="preserve">ectonucleoside triphosphate diphosphohydrolase 2 precursor </t>
  </si>
  <si>
    <t>ectonucleoside triphosphate diphosphohydrolase 5 isoform a</t>
  </si>
  <si>
    <t xml:space="preserve">ectonucleoside triphosphate diphosphohydrolase 5 isoform b precursor </t>
  </si>
  <si>
    <t xml:space="preserve">enhancer of yellow 2 transcription factor homolog </t>
  </si>
  <si>
    <t xml:space="preserve">histone acetyltransferase p300 </t>
  </si>
  <si>
    <t>protein 4.1 isoform 1</t>
  </si>
  <si>
    <t>protein 4.1 isoform 3</t>
  </si>
  <si>
    <t>protein 4.1 isoform 2</t>
  </si>
  <si>
    <t>band 4.1-like protein 1 isoform b</t>
  </si>
  <si>
    <t>band 4.1-like protein 1 isoform a</t>
  </si>
  <si>
    <t>band 4.1-like protein 2</t>
  </si>
  <si>
    <t>band 4.1-like protein 3</t>
  </si>
  <si>
    <t>band 4.1-like protein 4A</t>
  </si>
  <si>
    <t>band 4.1-like protein 4B</t>
  </si>
  <si>
    <t>band 4.1-like protein 5 isoform 2</t>
  </si>
  <si>
    <t>band 4.1-like protein 5 isoform 1</t>
  </si>
  <si>
    <t xml:space="preserve">epithelial cell adhesion molecule precursor </t>
  </si>
  <si>
    <t xml:space="preserve">mammalian ependymin-related protein 1 precursor </t>
  </si>
  <si>
    <t xml:space="preserve">ephrin type-A receptor 2 precursor </t>
  </si>
  <si>
    <t xml:space="preserve">ephrin type-A receptor 4 precursor </t>
  </si>
  <si>
    <t>ephrin type-A receptor 6</t>
  </si>
  <si>
    <t xml:space="preserve">ephrin type-A receptor 7 isoform 1 precursor </t>
  </si>
  <si>
    <t xml:space="preserve">ephrin type-B receptor 1 isoform 1 precursor </t>
  </si>
  <si>
    <t xml:space="preserve">ephrin type-B receptor 1 isoform 2 precursor </t>
  </si>
  <si>
    <t xml:space="preserve">ephrin type-B receptor 2 precursor </t>
  </si>
  <si>
    <t xml:space="preserve">ephrin type-B receptor 3 precursor </t>
  </si>
  <si>
    <t xml:space="preserve">ephrin type-B receptor 4 isoform b precursor </t>
  </si>
  <si>
    <t xml:space="preserve">ephrin type-B receptor 4 isoform a precursor </t>
  </si>
  <si>
    <t xml:space="preserve">ephrin type-B receptor 6 precursor </t>
  </si>
  <si>
    <t>epoxide hydrolase 1 precursor</t>
  </si>
  <si>
    <t xml:space="preserve">EPM2A-interacting protein 1 </t>
  </si>
  <si>
    <t xml:space="preserve">epsin-1 </t>
  </si>
  <si>
    <t xml:space="preserve">epsin-2 isoform 2 </t>
  </si>
  <si>
    <t xml:space="preserve">epsin-2 isoform 1 </t>
  </si>
  <si>
    <t xml:space="preserve">epsin-2 isoform 3 </t>
  </si>
  <si>
    <t xml:space="preserve">epsin-3 </t>
  </si>
  <si>
    <t xml:space="preserve">epiplakin </t>
  </si>
  <si>
    <t xml:space="preserve">bifunctional glutamate/proline--tRNA ligase </t>
  </si>
  <si>
    <t>epidermal growth factor receptor substrate 15 isoform B</t>
  </si>
  <si>
    <t>epidermal growth factor receptor substrate 15 isoform A</t>
  </si>
  <si>
    <t xml:space="preserve">epidermal growth factor receptor substrate 15-like 1 isoform a </t>
  </si>
  <si>
    <t xml:space="preserve">epidermal growth factor receptor substrate 15-like 1 isoform b </t>
  </si>
  <si>
    <t xml:space="preserve">epidermal growth factor receptor kinase substrate 8-like protein 1 </t>
  </si>
  <si>
    <t xml:space="preserve">epidermal growth factor receptor kinase substrate 8-like protein 2 </t>
  </si>
  <si>
    <t xml:space="preserve">epidermal growth factor receptor kinase substrate 8-like protein 3 </t>
  </si>
  <si>
    <t xml:space="preserve">GTPase Era, mitochondrial </t>
  </si>
  <si>
    <t>endoplasmic reticulum aminopeptidase 1</t>
  </si>
  <si>
    <t xml:space="preserve">receptor tyrosine-protein kinase erbB-2 precursor </t>
  </si>
  <si>
    <t>protein LAP2 isoform 2</t>
  </si>
  <si>
    <t>protein LAP2 isoform 1</t>
  </si>
  <si>
    <t xml:space="preserve">receptor tyrosine-protein kinase erbB-4 precursor </t>
  </si>
  <si>
    <t>ELKS/Rab6-interacting/CAST family member 1 isoform 1</t>
  </si>
  <si>
    <t>ELKS/Rab6-interacting/CAST family member 1 isoform 2</t>
  </si>
  <si>
    <t xml:space="preserve">ERC protein 2 </t>
  </si>
  <si>
    <t>TFIIH basal transcription factor complex helicase XPD subunit</t>
  </si>
  <si>
    <t>DNA repair endonuclease XPF</t>
  </si>
  <si>
    <t xml:space="preserve">DNA excision repair protein ERCC-6-like </t>
  </si>
  <si>
    <t>endoplasmic reticulum-Golgi intermediate compartment protein 1</t>
  </si>
  <si>
    <t>endoplasmic reticulum-Golgi intermediate compartment protein 2 isoform 1</t>
  </si>
  <si>
    <t>endoplasmic reticulum-Golgi intermediate compartment protein 2 isoform 2</t>
  </si>
  <si>
    <t>endoplasmic reticulum-Golgi intermediate compartment protein 3</t>
  </si>
  <si>
    <t>enhancer of rudimentary homolog</t>
  </si>
  <si>
    <t xml:space="preserve">3'-5' exoribonuclease 1 </t>
  </si>
  <si>
    <t xml:space="preserve">endoplasmic reticulum lectin 1 precursor </t>
  </si>
  <si>
    <t xml:space="preserve">erlin-1 </t>
  </si>
  <si>
    <t xml:space="preserve">erlin-2 </t>
  </si>
  <si>
    <t>endoplasmic reticulum metallopeptidase 1</t>
  </si>
  <si>
    <t>ERO1-like protein alpha precursor</t>
  </si>
  <si>
    <t>ERO1-like protein beta precursor</t>
  </si>
  <si>
    <t>endoplasmic reticulum resident protein 29 precursor</t>
  </si>
  <si>
    <t>endoplasmic reticulum resident protein 44 precursor</t>
  </si>
  <si>
    <t>S-formylglutathione hydrolase isoform 1</t>
  </si>
  <si>
    <t>S-formylglutathione hydrolase</t>
  </si>
  <si>
    <t xml:space="preserve">epithelial splicing regulatory protein 1 </t>
  </si>
  <si>
    <t xml:space="preserve">epithelial splicing regulatory protein 2 </t>
  </si>
  <si>
    <t>steroid hormone receptor ERR1</t>
  </si>
  <si>
    <t>steroid hormone receptor ERR2 isoform 1</t>
  </si>
  <si>
    <t>steroid hormone receptor ERR2 isoform 2</t>
  </si>
  <si>
    <t xml:space="preserve">estrogen-related receptor gamma isoform 2 </t>
  </si>
  <si>
    <t>estrogen-related receptor gamma isoform1</t>
  </si>
  <si>
    <t>extended synaptotagmin-1</t>
  </si>
  <si>
    <t>extended synaptotagmin-2</t>
  </si>
  <si>
    <t xml:space="preserve">eukaryotic peptide chain release factor subunit 1 </t>
  </si>
  <si>
    <t>electron transfer flavoprotein subunit alpha, mitochondrial</t>
  </si>
  <si>
    <t xml:space="preserve">electron transfer flavoprotein subunit beta </t>
  </si>
  <si>
    <t>electron transfer flavoprotein-ubiquinone oxidoreductase, mitochondrial precursor</t>
  </si>
  <si>
    <t xml:space="preserve">persulfide dioxygenase ETHE1, mitochondrial precursor </t>
  </si>
  <si>
    <t xml:space="preserve">ethanolamine kinase 1 </t>
  </si>
  <si>
    <t xml:space="preserve">transcription factor ETV6 </t>
  </si>
  <si>
    <t>ena/VASP-like protein isoform 1</t>
  </si>
  <si>
    <t>ena/VASP-like protein isoform 2</t>
  </si>
  <si>
    <t>ena/VASP-like protein isoform 3</t>
  </si>
  <si>
    <t>ena/VASP-like protein isoform 4</t>
  </si>
  <si>
    <t xml:space="preserve">envoplakin </t>
  </si>
  <si>
    <t xml:space="preserve">RNA-binding protein EWS isoform 1 </t>
  </si>
  <si>
    <t xml:space="preserve">RNA-binding protein EWS isoform 3 </t>
  </si>
  <si>
    <t xml:space="preserve">RNA-binding protein EWS </t>
  </si>
  <si>
    <t xml:space="preserve">exonuclease 3'-5' domain-containing protein 2 </t>
  </si>
  <si>
    <t>exocyst complex component 1</t>
  </si>
  <si>
    <t>exocyst complex component 2</t>
  </si>
  <si>
    <t>exocyst complex component 3</t>
  </si>
  <si>
    <t>PREDICTED: exocyst complex component 3-like 2</t>
  </si>
  <si>
    <t>exocyst complex component 4</t>
  </si>
  <si>
    <t>exocyst complex component 5</t>
  </si>
  <si>
    <t>exocyst complex component 6</t>
  </si>
  <si>
    <t>exocyst complex component 6B</t>
  </si>
  <si>
    <t>exocyst complex component 7 isoform 1</t>
  </si>
  <si>
    <t>exocyst complex component 7 isoform 2</t>
  </si>
  <si>
    <t>exocyst complex component 8</t>
  </si>
  <si>
    <t>nuclease EXOG, mitochondrial isoform 2 precursor</t>
  </si>
  <si>
    <t>nuclease EXOG, mitochondrial isoform 1 precursor</t>
  </si>
  <si>
    <t>exosome complex component CSL4 isoform 1</t>
  </si>
  <si>
    <t>exosome complex component CSL4 isoform 2</t>
  </si>
  <si>
    <t xml:space="preserve">exosome component 10 </t>
  </si>
  <si>
    <t>exosome complex component RRP4</t>
  </si>
  <si>
    <t>exosome complex component RRP40</t>
  </si>
  <si>
    <t>exosome complex component RRP41</t>
  </si>
  <si>
    <t>exosome complex component RRP46</t>
  </si>
  <si>
    <t>exosome complex component MTR3</t>
  </si>
  <si>
    <t>exosome complex exonuclease RRP42</t>
  </si>
  <si>
    <t>exosome complex component RRP43 isoform 1</t>
  </si>
  <si>
    <t>exosome complex component RRP43 isoform 2</t>
  </si>
  <si>
    <t>exosome complex component RRP45</t>
  </si>
  <si>
    <t>exostosin-like 2 isoform a</t>
  </si>
  <si>
    <t xml:space="preserve">exostosin-like 2 isoform b precursor </t>
  </si>
  <si>
    <t>eyes absent homolog 3 isoform 2</t>
  </si>
  <si>
    <t>eyes absent homolog 3 isoform 1</t>
  </si>
  <si>
    <t>eyes absent homolog 3 isoform 3</t>
  </si>
  <si>
    <t xml:space="preserve">ezrin </t>
  </si>
  <si>
    <t xml:space="preserve">junctional adhesion molecule A precursor </t>
  </si>
  <si>
    <t>prothrombin precursor</t>
  </si>
  <si>
    <t xml:space="preserve">tissue factor precursor </t>
  </si>
  <si>
    <t xml:space="preserve">factor VIII intron 22 protein </t>
  </si>
  <si>
    <t>fatty-acid amide hydrolase 1</t>
  </si>
  <si>
    <t>fatty acid desaturase 1</t>
  </si>
  <si>
    <t>fatty acid desaturase 2</t>
  </si>
  <si>
    <t xml:space="preserve">FAS-associated factor 1 </t>
  </si>
  <si>
    <t xml:space="preserve">FAS-associated factor 2 </t>
  </si>
  <si>
    <t xml:space="preserve">fumarylacetoacetase </t>
  </si>
  <si>
    <t xml:space="preserve">acylpyruvase FAHD1, mitochondrial </t>
  </si>
  <si>
    <t xml:space="preserve">fumarylacetoacetate hydrolase domain-containing protein 2A </t>
  </si>
  <si>
    <t>fas apoptotic inhibitory molecule 1 Faim-S</t>
  </si>
  <si>
    <t>fas apoptotic inhibitory molecule 1 Faim-L</t>
  </si>
  <si>
    <t>protein FAM102B</t>
  </si>
  <si>
    <t xml:space="preserve">uncharacterized protein LOC28081 </t>
  </si>
  <si>
    <t>protein FAM107B</t>
  </si>
  <si>
    <t>protein Noxp20</t>
  </si>
  <si>
    <t>protein FAM114A2 isoform 2</t>
  </si>
  <si>
    <t>protein FAM114A2 isoform 1</t>
  </si>
  <si>
    <t>protein FAM118A isoform a</t>
  </si>
  <si>
    <t>protein FAM118B isoform 2</t>
  </si>
  <si>
    <t>protein FAM118B isoform 1</t>
  </si>
  <si>
    <t>constitutive coactivator of PPAR-gamma-like protein 1</t>
  </si>
  <si>
    <t>constitutive coactivator of PPAR-gamma-like protein 2</t>
  </si>
  <si>
    <t xml:space="preserve">hyccin </t>
  </si>
  <si>
    <t>protein Niban</t>
  </si>
  <si>
    <t xml:space="preserve">niban-like protein 1 </t>
  </si>
  <si>
    <t>protein FAM133B</t>
  </si>
  <si>
    <t>protein FAM134C isoform 2</t>
  </si>
  <si>
    <t>protein FAM134C isoform 1</t>
  </si>
  <si>
    <t>protein FAM136A</t>
  </si>
  <si>
    <t>protein FAM160A1</t>
  </si>
  <si>
    <t>protein FAM160B1</t>
  </si>
  <si>
    <t>protein FAM160B2</t>
  </si>
  <si>
    <t>protein FAM162A</t>
  </si>
  <si>
    <t>protein FAM173A</t>
  </si>
  <si>
    <t>protein FAM173B</t>
  </si>
  <si>
    <t>BRISC complex subunit Abro1</t>
  </si>
  <si>
    <t>protein FAM177A1</t>
  </si>
  <si>
    <t>protein FAM179B</t>
  </si>
  <si>
    <t>protein FAM188A</t>
  </si>
  <si>
    <t>protein FAM192A</t>
  </si>
  <si>
    <t>protein FAM195B</t>
  </si>
  <si>
    <t>protein FAM203A</t>
  </si>
  <si>
    <t>protein FAM207A</t>
  </si>
  <si>
    <t>glycosaminoglycan xylosylkinase</t>
  </si>
  <si>
    <t>extracellular serine/threonine protein kinase FAM20C precursor</t>
  </si>
  <si>
    <t>WASH complex subunit FAM21</t>
  </si>
  <si>
    <t>protein FAM210A</t>
  </si>
  <si>
    <t>protein FAM210B</t>
  </si>
  <si>
    <t xml:space="preserve">redox-regulatory protein FAM213A </t>
  </si>
  <si>
    <t>protein FAM32A</t>
  </si>
  <si>
    <t xml:space="preserve">protein FAM3A precursor </t>
  </si>
  <si>
    <t xml:space="preserve">protein FAM3C precursor </t>
  </si>
  <si>
    <t>protein FAM45A isoform 1</t>
  </si>
  <si>
    <t>protein FAM45A isoform 2</t>
  </si>
  <si>
    <t>protein FAM49A</t>
  </si>
  <si>
    <t>protein FAM49B</t>
  </si>
  <si>
    <t>protein FAM50A</t>
  </si>
  <si>
    <t>protein FAM50B</t>
  </si>
  <si>
    <t>protein FAM63A isoform 1</t>
  </si>
  <si>
    <t>protein FAM63A isoform 2</t>
  </si>
  <si>
    <t>protein FAM63B</t>
  </si>
  <si>
    <t>protein FAM65A</t>
  </si>
  <si>
    <t>protein FAM76B</t>
  </si>
  <si>
    <t>protein FAM83H</t>
  </si>
  <si>
    <t xml:space="preserve">uncharacterized protein LOC399603 </t>
  </si>
  <si>
    <t>protein FAM86A</t>
  </si>
  <si>
    <t xml:space="preserve">MIP18 family protein FAM96A precursor </t>
  </si>
  <si>
    <t>mitotic spindle-associated MMXD complex subunit MIP18</t>
  </si>
  <si>
    <t>protein FAM98A</t>
  </si>
  <si>
    <t>protein FAM98B</t>
  </si>
  <si>
    <t xml:space="preserve">uncharacterized protein LOC73833 </t>
  </si>
  <si>
    <t xml:space="preserve">fanconi-associated nuclease 1 </t>
  </si>
  <si>
    <t>Fanconi anemia group I protein homolog</t>
  </si>
  <si>
    <t>fatty acyl-CoA reductase 1</t>
  </si>
  <si>
    <t xml:space="preserve">FERMRhoGEF (Arhgef) and pleckstrin domain protein 1 </t>
  </si>
  <si>
    <t xml:space="preserve">FERM, RhoGEF and pleckstrin domain-containing protein 2 </t>
  </si>
  <si>
    <t>phenylalanine--tRNA ligase alpha subunit</t>
  </si>
  <si>
    <t>phenylalanine--tRNA ligase beta subunit</t>
  </si>
  <si>
    <t xml:space="preserve">fatty acid synthase </t>
  </si>
  <si>
    <t xml:space="preserve">FAST kinase domain-containing protein 2 </t>
  </si>
  <si>
    <t>FAT tumor suppressor homolog 1 precursor</t>
  </si>
  <si>
    <t xml:space="preserve">40S ribosomal protein S30 precursor </t>
  </si>
  <si>
    <t xml:space="preserve">fas-binding factor 1 </t>
  </si>
  <si>
    <t>filamin-binding LIM protein 1</t>
  </si>
  <si>
    <t xml:space="preserve">rRNA/tRNA 2'-O-methyltransferase fibrillarin-like protein 1 </t>
  </si>
  <si>
    <t xml:space="preserve">fructose-1,6-bisphosphatase isozyme 2 </t>
  </si>
  <si>
    <t>fibrosin-like 1 isoform 2</t>
  </si>
  <si>
    <t>fibrosin-like 1 isoform 1</t>
  </si>
  <si>
    <t xml:space="preserve">F-box/LRR-repeat protein 15 </t>
  </si>
  <si>
    <t>F-box and leucine-rich repeat protein 18</t>
  </si>
  <si>
    <t xml:space="preserve">F-box/LRR-repeat protein 20 </t>
  </si>
  <si>
    <t xml:space="preserve">F-box/LRR-repeat protein 8 </t>
  </si>
  <si>
    <t>F-box only protein 2</t>
  </si>
  <si>
    <t>F-box only protein 21</t>
  </si>
  <si>
    <t>F-box only protein 22</t>
  </si>
  <si>
    <t>F-box only protein 28</t>
  </si>
  <si>
    <t>F-box only protein 3 isoform 2</t>
  </si>
  <si>
    <t>F-box only protein 3 isoform 1</t>
  </si>
  <si>
    <t>F-box only protein 32</t>
  </si>
  <si>
    <t>F-box only protein 4</t>
  </si>
  <si>
    <t>F-box only protein 41</t>
  </si>
  <si>
    <t>F-box/SPRY domain-containing protein 1</t>
  </si>
  <si>
    <t>F-box only protein 6</t>
  </si>
  <si>
    <t>F-box/WD repeat-containing protein 11 isoform a</t>
  </si>
  <si>
    <t>F-box/WD repeat-containing protein 11 isoform b</t>
  </si>
  <si>
    <t>F-box/WD repeat-containing protein 11 isoform c</t>
  </si>
  <si>
    <t>F-box/WD repeat-containing protein 11 isoform d</t>
  </si>
  <si>
    <t>F-box and WD-40 domain protein 13</t>
  </si>
  <si>
    <t>F-box and WD-40 domain protein 14</t>
  </si>
  <si>
    <t>F-box and WD-40 domain protein 22</t>
  </si>
  <si>
    <t>F-box and WD-40 domain protein 28 isoform 1</t>
  </si>
  <si>
    <t>F-box and WD-40 domain protein 28 isoform 2</t>
  </si>
  <si>
    <t>F-box/WD repeat-containing protein 4</t>
  </si>
  <si>
    <t>F-box/WD repeat-containing protein 8</t>
  </si>
  <si>
    <t>low affinity immunoglobulin epsilon Fc receptor isoform C</t>
  </si>
  <si>
    <t>low affinity immunoglobulin epsilon Fc receptor isoform A</t>
  </si>
  <si>
    <t>low affinity immunoglobulin epsilon Fc receptor isoform E</t>
  </si>
  <si>
    <t>low affinity immunoglobulin epsilon Fc receptor isoform F</t>
  </si>
  <si>
    <t>low affinity immunoglobulin epsilon Fc receptor isoform G</t>
  </si>
  <si>
    <t>low affinity immunoglobulin epsilon Fc receptor isoform B</t>
  </si>
  <si>
    <t>rRNA-processing protein FCF1 homolog</t>
  </si>
  <si>
    <t xml:space="preserve">Fc fragment of IgG binding protein precursor </t>
  </si>
  <si>
    <t xml:space="preserve">FCH domain only protein 2 </t>
  </si>
  <si>
    <t>squalene synthase</t>
  </si>
  <si>
    <t xml:space="preserve">farnesyl pyrophosphate synthase isoform 2 </t>
  </si>
  <si>
    <t>farnesyl pyrophosphate synthase isoform 1 precursor</t>
  </si>
  <si>
    <t xml:space="preserve">adrenodoxin, mitochondrial precursor </t>
  </si>
  <si>
    <t>adrenodoxin-like protein, mitochondrial precursor</t>
  </si>
  <si>
    <t>NADPH:adrenodoxin oxidoreductase, mitochondrial precursor</t>
  </si>
  <si>
    <t>ferrochelatase, mitochondrial</t>
  </si>
  <si>
    <t>protein fem-1 homolog B</t>
  </si>
  <si>
    <t>protein fem-1 homolog C</t>
  </si>
  <si>
    <t xml:space="preserve">flap endonuclease 1 </t>
  </si>
  <si>
    <t>fermitin family homolog 1</t>
  </si>
  <si>
    <t>fermitin family homolog 2</t>
  </si>
  <si>
    <t xml:space="preserve">fasciculation and elongation protein zeta-2 </t>
  </si>
  <si>
    <t xml:space="preserve">FYVE, RhoGEF and PH domain-containing protein 1 </t>
  </si>
  <si>
    <t xml:space="preserve">FYVE, RhoGEF and PH domain-containing protein 3 </t>
  </si>
  <si>
    <t xml:space="preserve">FYVE, RhoGEF and PH domain-containing protein 4 isoform beta </t>
  </si>
  <si>
    <t xml:space="preserve">FYVE, RhoGEF and PH domain-containing protein 4 isoform gamma </t>
  </si>
  <si>
    <t xml:space="preserve">FYVE, RhoGEF and PH domain-containing protein 4 isoform alpha </t>
  </si>
  <si>
    <t xml:space="preserve">fibroblast growth factor 1 precursor </t>
  </si>
  <si>
    <t xml:space="preserve">fibroblast growth factor receptor 1 isoform 3 </t>
  </si>
  <si>
    <t>fibroblast growth factor receptor 1 isoform 1 precursor</t>
  </si>
  <si>
    <t>fibroblast growth factor receptor 1 isoform 2 precursor</t>
  </si>
  <si>
    <t xml:space="preserve">fibroblast growth factor receptor 2 isoform IIIc </t>
  </si>
  <si>
    <t xml:space="preserve">fibroblast growth factor receptor 2 isoform IIIb </t>
  </si>
  <si>
    <t>fibroblast growth factor receptor 3 isoform 2 precursor</t>
  </si>
  <si>
    <t>fibroblast growth factor receptor 3 isoform 3 precursor</t>
  </si>
  <si>
    <t>fibroblast growth factor receptor 3 isoform 4 precursor</t>
  </si>
  <si>
    <t>fibroblast growth factor receptor 3 isoform 1 precursor</t>
  </si>
  <si>
    <t>fibroblast growth factor receptor 4 precursor</t>
  </si>
  <si>
    <t xml:space="preserve">tyrosine-protein kinase Fgr </t>
  </si>
  <si>
    <t>fumarate hydratase, mitochondrial precursor</t>
  </si>
  <si>
    <t>forkhead-associated domain-containing protein 1</t>
  </si>
  <si>
    <t>four and a half LIM domains protein 1 isoform 3</t>
  </si>
  <si>
    <t>four and a half LIM domains protein 1 isoform 2</t>
  </si>
  <si>
    <t>four and a half LIM domains protein 1 isoform 1</t>
  </si>
  <si>
    <t>four and a half LIM domains protein 2</t>
  </si>
  <si>
    <t>four and a half LIM domains protein 3</t>
  </si>
  <si>
    <t>FH1/FH2 domain-containing protein 1</t>
  </si>
  <si>
    <t>FH1/FH2 domain-containing protein 3</t>
  </si>
  <si>
    <t>polyphosphoinositide phosphatase</t>
  </si>
  <si>
    <t xml:space="preserve">fidgetin-like protein 1 </t>
  </si>
  <si>
    <t>pre-mRNA 3'-end-processing factor FIP1 isoform 1</t>
  </si>
  <si>
    <t>pre-mRNA 3'-end-processing factor FIP1 isoform 3</t>
  </si>
  <si>
    <t>pre-mRNA 3'-end-processing factor FIP1 isoform 2</t>
  </si>
  <si>
    <t>mitochondrial fission 1 protein isoform 1</t>
  </si>
  <si>
    <t>mitochondrial fission 1 protein isoform 2</t>
  </si>
  <si>
    <t xml:space="preserve">fat storage-inducing transmembrane protein 2 </t>
  </si>
  <si>
    <t xml:space="preserve">flt3-interacting zinc finger protein 1 </t>
  </si>
  <si>
    <t xml:space="preserve">FK506-binding protein 15 </t>
  </si>
  <si>
    <t>peptidyl-prolyl cis-trans isomerase FKBP1A</t>
  </si>
  <si>
    <t>peptidyl-prolyl cis-trans isomerase FKBP1B</t>
  </si>
  <si>
    <t xml:space="preserve">peptidyl-prolyl cis-trans isomerase FKBP2 precursor </t>
  </si>
  <si>
    <t>peptidyl-prolyl cis-trans isomerase FKBP3</t>
  </si>
  <si>
    <t>peptidyl-prolyl cis-trans isomerase FKBP4</t>
  </si>
  <si>
    <t>peptidyl-prolyl cis-trans isomerase FKBP5</t>
  </si>
  <si>
    <t>peptidyl-prolyl cis-trans isomerase FKBP8 isoform b</t>
  </si>
  <si>
    <t>peptidyl-prolyl cis-trans isomerase FKBP8 isoform a</t>
  </si>
  <si>
    <t xml:space="preserve">peptidyl-prolyl cis-trans isomerase FKBP9 precursor </t>
  </si>
  <si>
    <t>FAD synthase</t>
  </si>
  <si>
    <t xml:space="preserve">folliculin </t>
  </si>
  <si>
    <t xml:space="preserve">filaggrin-2 </t>
  </si>
  <si>
    <t xml:space="preserve">protein flightless-1 homolog </t>
  </si>
  <si>
    <t xml:space="preserve">filamin-A </t>
  </si>
  <si>
    <t xml:space="preserve">filamin-B </t>
  </si>
  <si>
    <t xml:space="preserve">filamin-C </t>
  </si>
  <si>
    <t xml:space="preserve">flotillin-1 </t>
  </si>
  <si>
    <t xml:space="preserve">flotillin-2 isoform 2 </t>
  </si>
  <si>
    <t xml:space="preserve">flotillin-2 isoform 1 </t>
  </si>
  <si>
    <t xml:space="preserve">vascular endothelial growth factor receptor 1 precursor </t>
  </si>
  <si>
    <t>receptor-type tyrosine-protein kinase FLT3</t>
  </si>
  <si>
    <t xml:space="preserve">vascular endothelial growth factor receptor 3 precursor </t>
  </si>
  <si>
    <t>FLYWCH family member 2</t>
  </si>
  <si>
    <t xml:space="preserve">formin-1 isoform 1 </t>
  </si>
  <si>
    <t xml:space="preserve">formin-1 isoform 2 </t>
  </si>
  <si>
    <t xml:space="preserve">formin-like protein 1 isoform 2 </t>
  </si>
  <si>
    <t xml:space="preserve">formin-like protein 1 isoform 1 </t>
  </si>
  <si>
    <t xml:space="preserve">formin-like protein 2 </t>
  </si>
  <si>
    <t xml:space="preserve">formin-like protein 3 </t>
  </si>
  <si>
    <t>dimethylaniline monooxygenase [N-oxide-forming] 2</t>
  </si>
  <si>
    <t xml:space="preserve">fragile X mental retardation protein 1 homolog </t>
  </si>
  <si>
    <t>fibronectin isoform b precursor</t>
  </si>
  <si>
    <t>fibronectin isoform c precursor</t>
  </si>
  <si>
    <t>fibronectin isoform d precursor</t>
  </si>
  <si>
    <t>fibronectin isoform e precursor</t>
  </si>
  <si>
    <t>fibronectin isoform f precursor</t>
  </si>
  <si>
    <t>fibronectin isoform g precursor</t>
  </si>
  <si>
    <t>fibronectin precursor</t>
  </si>
  <si>
    <t xml:space="preserve">fructosamine-3-kinase isoform a </t>
  </si>
  <si>
    <t xml:space="preserve">fructosamine-3-kinase isoform b </t>
  </si>
  <si>
    <t xml:space="preserve">ketosamine-3-kinase </t>
  </si>
  <si>
    <t xml:space="preserve">formin-binding protein 1 isoform c </t>
  </si>
  <si>
    <t xml:space="preserve">formin-binding protein 1 isoform d </t>
  </si>
  <si>
    <t xml:space="preserve">formin-binding protein 1 isoform e </t>
  </si>
  <si>
    <t xml:space="preserve">formin-binding protein 1 isoform a </t>
  </si>
  <si>
    <t xml:space="preserve">formin-binding protein 1-like isoform 2 </t>
  </si>
  <si>
    <t xml:space="preserve">formin-binding protein 1-like isoform 1 </t>
  </si>
  <si>
    <t xml:space="preserve">formin-binding protein 4 </t>
  </si>
  <si>
    <t>fibronectin type III domain-containing protein 3B</t>
  </si>
  <si>
    <t xml:space="preserve">protein farnesyltransferase/geranylgeranyltransferase type-1 subunit alpha </t>
  </si>
  <si>
    <t>protein farnesyltransferase subunit beta</t>
  </si>
  <si>
    <t xml:space="preserve">focadhesin </t>
  </si>
  <si>
    <t>lisH domain-containing protein FOPNL</t>
  </si>
  <si>
    <t>forkhead box protein E1</t>
  </si>
  <si>
    <t>folylpolyglutamate synthase, mitochondrial precursor</t>
  </si>
  <si>
    <t xml:space="preserve">extracellular matrix protein FRAS1 precursor </t>
  </si>
  <si>
    <t>FRAS1-related extracellular matrix protein 2 precursor</t>
  </si>
  <si>
    <t>protein FRG1</t>
  </si>
  <si>
    <t xml:space="preserve">tyrosine-protein kinase FRK </t>
  </si>
  <si>
    <t>FERM domain-containing protein 8</t>
  </si>
  <si>
    <t>FERM and PDZ domain-containing protein 1</t>
  </si>
  <si>
    <t>FERM and PDZ domain-containing protein 4</t>
  </si>
  <si>
    <t>ferric-chelate reductase 1 precursor</t>
  </si>
  <si>
    <t>fibroblast growth factor receptor substrate 2</t>
  </si>
  <si>
    <t xml:space="preserve">protein furry homolog-like </t>
  </si>
  <si>
    <t xml:space="preserve">PREDICTED: fibrous sheath-interacting protein 2 </t>
  </si>
  <si>
    <t>follistatin-related protein 1 precursor</t>
  </si>
  <si>
    <t xml:space="preserve">formimidoyltransferase-cyclodeaminase </t>
  </si>
  <si>
    <t xml:space="preserve">ferritin heavy chain </t>
  </si>
  <si>
    <t xml:space="preserve">alpha-ketoglutarate-dependent dioxygenase FTO </t>
  </si>
  <si>
    <t>Ftsj homolog</t>
  </si>
  <si>
    <t xml:space="preserve">far upstream element-binding protein 1 </t>
  </si>
  <si>
    <t xml:space="preserve">far upstream element (FUSE) binding protein 3 </t>
  </si>
  <si>
    <t xml:space="preserve">tissue alpha-L-fucosidase precursor </t>
  </si>
  <si>
    <t xml:space="preserve">plasma alpha-L-fucosidase precursor </t>
  </si>
  <si>
    <t>L-fucose kinase</t>
  </si>
  <si>
    <t>FUN14 domain-containing protein 2</t>
  </si>
  <si>
    <t>fucose mutarotase</t>
  </si>
  <si>
    <t xml:space="preserve">RNA-binding protein FUS </t>
  </si>
  <si>
    <t xml:space="preserve">alpha-(1,6)-fucosyltransferase isoform 1 </t>
  </si>
  <si>
    <t xml:space="preserve">frataxin, mitochondrial precursor </t>
  </si>
  <si>
    <t xml:space="preserve">fragile X mental retardation syndrome-related protein 1 isoform 3 </t>
  </si>
  <si>
    <t xml:space="preserve">fragile X mental retardation syndrome-related protein 1 isoform 1 </t>
  </si>
  <si>
    <t xml:space="preserve">fragile X mental retardation syndrome-related protein 1 isoform 2 </t>
  </si>
  <si>
    <t xml:space="preserve">fragile X mental retardation syndrome-related protein 2 </t>
  </si>
  <si>
    <t>sodium/potassium-transporting ATPase subunit gamma isoform a</t>
  </si>
  <si>
    <t>sodium/potassium-transporting ATPase subunit gamma isoform b</t>
  </si>
  <si>
    <t xml:space="preserve">FXYD domain-containing ion transport regulator 4 precursor </t>
  </si>
  <si>
    <t>FYVE and coiled-coil domain-containing protein 1</t>
  </si>
  <si>
    <t xml:space="preserve">tyrosine-protein kinase Fyn isoform b </t>
  </si>
  <si>
    <t xml:space="preserve">tyrosine-protein kinase Fyn isoform a </t>
  </si>
  <si>
    <t>UAP56-interacting factor isoform 2</t>
  </si>
  <si>
    <t>UAP56-interacting factor isoform 1</t>
  </si>
  <si>
    <t xml:space="preserve">ras GTPase-activating protein-binding protein 1 </t>
  </si>
  <si>
    <t xml:space="preserve">ras GTPase-activating protein-binding protein 2 isoform b </t>
  </si>
  <si>
    <t xml:space="preserve">ras GTPase-activating protein-binding protein 2 isoform a </t>
  </si>
  <si>
    <t xml:space="preserve">glucose-6-phosphate 1-dehydrogenase 2 </t>
  </si>
  <si>
    <t xml:space="preserve">glucose-6-phosphate 1-dehydrogenase X </t>
  </si>
  <si>
    <t xml:space="preserve">lysosomal alpha-glucosidase precursor </t>
  </si>
  <si>
    <t xml:space="preserve">GRB2-associated-binding protein 1 </t>
  </si>
  <si>
    <t>gamma-aminobutyric acid receptor-associated protein</t>
  </si>
  <si>
    <t xml:space="preserve">gamma-aminobutyric acid receptor-associated protein-like 1 </t>
  </si>
  <si>
    <t xml:space="preserve">gamma-aminobutyric acid receptor-associated protein-like 2 </t>
  </si>
  <si>
    <t>GA-binding protein alpha chain</t>
  </si>
  <si>
    <t>GA-binding protein subunit beta-1 isoform d</t>
  </si>
  <si>
    <t>GA-binding protein subunit beta-1 isoform a</t>
  </si>
  <si>
    <t>growth arrest and DNA damage-inducible protein GADD45 beta</t>
  </si>
  <si>
    <t>growth arrest and DNA damage-inducible proteins-interacting protein 1</t>
  </si>
  <si>
    <t>cyclin-G-associated kinase</t>
  </si>
  <si>
    <t>galactocerebrosidase precursor</t>
  </si>
  <si>
    <t>UDP-glucose 4-epimerase</t>
  </si>
  <si>
    <t xml:space="preserve">galactokinase </t>
  </si>
  <si>
    <t>N-acetylgalactosamine kinase</t>
  </si>
  <si>
    <t>aldose 1-epimerase</t>
  </si>
  <si>
    <t>N-acetylgalactosamine-6-sulfatase isoform 2 precursor</t>
  </si>
  <si>
    <t>N-acetylgalactosamine-6-sulfatase isoform 1 precursor</t>
  </si>
  <si>
    <t xml:space="preserve">polypeptide N-acetylgalactosaminyltransferase 1 </t>
  </si>
  <si>
    <t xml:space="preserve">polypeptide N-acetylgalactosaminyltransferase 13 </t>
  </si>
  <si>
    <t>polypeptide N-acetylgalactosaminyltransferase 2 precursor</t>
  </si>
  <si>
    <t xml:space="preserve">polypeptide N-acetylgalactosaminyltransferase 3 </t>
  </si>
  <si>
    <t xml:space="preserve">polypeptide N-acetylgalactosaminyltransferase 4 </t>
  </si>
  <si>
    <t>N-acetylgalactosaminyltransferase 7 isoform 1</t>
  </si>
  <si>
    <t>N-acetylgalactosaminyltransferase 7 isoform 2</t>
  </si>
  <si>
    <t>guanidinoacetate N-methyltransferase</t>
  </si>
  <si>
    <t xml:space="preserve">neutral alpha-glucosidase AB </t>
  </si>
  <si>
    <t xml:space="preserve">glyceraldehyde-3-phosphate dehydrogenase, testis-specific </t>
  </si>
  <si>
    <t xml:space="preserve">GTPase-activating protein and VPS9 domain-containing protein 1 </t>
  </si>
  <si>
    <t xml:space="preserve">H/ACA ribonucleoprotein complex subunit 1 </t>
  </si>
  <si>
    <t>glycine--tRNA ligase</t>
  </si>
  <si>
    <t xml:space="preserve">trifunctional purine biosynthetic protein adenosine-3 </t>
  </si>
  <si>
    <t>growth arrest-specific protein 2</t>
  </si>
  <si>
    <t xml:space="preserve">GAS2-like protein 3 </t>
  </si>
  <si>
    <t xml:space="preserve">transcriptional repressor p66-beta </t>
  </si>
  <si>
    <t>glucosylceramidase isoform 2 precursor</t>
  </si>
  <si>
    <t>glucosylceramidase isoform 1 precursor</t>
  </si>
  <si>
    <t>protein NipSnap homolog 2</t>
  </si>
  <si>
    <t>1,4-alpha-glucan-branching enzyme</t>
  </si>
  <si>
    <t>Golgi-specific brefeldin A-resistance guanine nucleotide exchange factor 1</t>
  </si>
  <si>
    <t xml:space="preserve">guanylate-binding protein 10 </t>
  </si>
  <si>
    <t>guanylate binding protein 11</t>
  </si>
  <si>
    <t xml:space="preserve">guanylate-binding protein 4 </t>
  </si>
  <si>
    <t xml:space="preserve">macrophage activation 2 isoform 2 </t>
  </si>
  <si>
    <t xml:space="preserve">macrophage activation 2 isoform 1 </t>
  </si>
  <si>
    <t>guanylate binding protein 6</t>
  </si>
  <si>
    <t>guanylate binding protein 7</t>
  </si>
  <si>
    <t>guanylate binding protein 8</t>
  </si>
  <si>
    <t>guanylate binding protein family, member 9</t>
  </si>
  <si>
    <t xml:space="preserve">grancalcin </t>
  </si>
  <si>
    <t xml:space="preserve">2-amino-3-ketobutyrate coenzyme A ligase, mitochondrial isoform a </t>
  </si>
  <si>
    <t xml:space="preserve">2-amino-3-ketobutyrate coenzyme A ligase, mitochondrial isoform b </t>
  </si>
  <si>
    <t>GRIP and coiled-coil domain-containing protein 1</t>
  </si>
  <si>
    <t>GRIP and coiled-coil domain-containing protein 2</t>
  </si>
  <si>
    <t xml:space="preserve">glutaryl-CoA dehydrogenase, mitochondrial </t>
  </si>
  <si>
    <t>glutamate--cysteine ligase catalytic subunit</t>
  </si>
  <si>
    <t>glutamate--cysteine ligase regulatory subunit</t>
  </si>
  <si>
    <t>GCN1 general control of amino-acid synthesis 1-like 1</t>
  </si>
  <si>
    <t>beta-1,3-galactosyl-O-glycosyl-glycoprotein beta-1,6-N-acetylglucosaminyltransferase</t>
  </si>
  <si>
    <t xml:space="preserve">glycine cleavage system H protein, mitochondrial precursor </t>
  </si>
  <si>
    <t>ganglioside-induced differentiation-associated protein 2</t>
  </si>
  <si>
    <t xml:space="preserve">glycerophosphodiester phosphodiesterase 1 </t>
  </si>
  <si>
    <t>growth/differentiation factor 3 precursor</t>
  </si>
  <si>
    <t xml:space="preserve">rab GDP dissociation inhibitor alpha </t>
  </si>
  <si>
    <t xml:space="preserve">rab GDP dissociation inhibitor beta </t>
  </si>
  <si>
    <t xml:space="preserve">glycerophosphodiester phosphodiesterase domain-containing protein 1 </t>
  </si>
  <si>
    <t xml:space="preserve">glycerophosphodiester phosphodiesterase domain-containing protein 3 </t>
  </si>
  <si>
    <t xml:space="preserve">gem-associated protein 2 </t>
  </si>
  <si>
    <t>gemin 4</t>
  </si>
  <si>
    <t xml:space="preserve">gem-associated protein 5 isoform 2 </t>
  </si>
  <si>
    <t xml:space="preserve">gem-associated protein 5 isoform 1 </t>
  </si>
  <si>
    <t xml:space="preserve">gem-associated protein 5 isoform 3 </t>
  </si>
  <si>
    <t xml:space="preserve">gem-associated protein 5 isoform 4 </t>
  </si>
  <si>
    <t xml:space="preserve">gem-associated protein 6 </t>
  </si>
  <si>
    <t xml:space="preserve">gem-associated protein 7 </t>
  </si>
  <si>
    <t xml:space="preserve">Golgi to ER traffic protein 4 homolog isoform 2 </t>
  </si>
  <si>
    <t xml:space="preserve">Golgi to ER traffic protein 4 homolog isoform 1 </t>
  </si>
  <si>
    <t>glial fibrillary acidic protein isoform 1</t>
  </si>
  <si>
    <t>glial fibrillary acidic protein isoform 2</t>
  </si>
  <si>
    <t>FAD-linked sulfhydryl oxidase ALR</t>
  </si>
  <si>
    <t>elongation factor G, mitochondrial</t>
  </si>
  <si>
    <t>ribosome-releasing factor 2, mitochondrial isoform 1</t>
  </si>
  <si>
    <t>ribosome-releasing factor 2, mitochondrial isoform 2</t>
  </si>
  <si>
    <t>ribosome-releasing factor 2, mitochondrial isoform 3</t>
  </si>
  <si>
    <t>ribosome-releasing factor 2, mitochondrial isoform 4</t>
  </si>
  <si>
    <t>glucose-fructose oxidoreductase domain-containing protein 2 precursor</t>
  </si>
  <si>
    <t>glutamine--fructose-6-phosphate aminotransferase [isomerizing] 1</t>
  </si>
  <si>
    <t>glucosamine--fructose-6-phosphate aminotransferase [isomerizing] 2</t>
  </si>
  <si>
    <t>ADP-ribosylation factor-binding protein GGA1</t>
  </si>
  <si>
    <t xml:space="preserve">gamma-glutamylaminecyclotransferase </t>
  </si>
  <si>
    <t xml:space="preserve">gamma-glutamylcyclotransferase </t>
  </si>
  <si>
    <t xml:space="preserve">vitamin K-dependent gamma-carboxylase </t>
  </si>
  <si>
    <t xml:space="preserve">geranylgeranyl pyrophosphate synthase </t>
  </si>
  <si>
    <t xml:space="preserve">gamma-glutamyltranspeptidase 1 precursor </t>
  </si>
  <si>
    <t>somatotropin precursor</t>
  </si>
  <si>
    <t>growth hormone-inducible transmembrane protein</t>
  </si>
  <si>
    <t xml:space="preserve">glucose-induced degradation protein 4 homolog </t>
  </si>
  <si>
    <t xml:space="preserve">glucose-induced degradation protein 8 homolog </t>
  </si>
  <si>
    <t>PERQ amino acid-rich with GYF domain-containing protein 2 isoform a</t>
  </si>
  <si>
    <t>PERQ amino acid-rich with GYF domain-containing protein 2 isoform b</t>
  </si>
  <si>
    <t>DNA replication complex GINS protein PSF1 isoform 1</t>
  </si>
  <si>
    <t>DNA replication complex GINS protein PSF1 isoform 2</t>
  </si>
  <si>
    <t>DNA replication complex GINS protein PSF2</t>
  </si>
  <si>
    <t>DNA replication complex GINS protein PSF3</t>
  </si>
  <si>
    <t>DNA replication complex GINS protein SLD5</t>
  </si>
  <si>
    <t>PDZ domain-containing protein GIPC1</t>
  </si>
  <si>
    <t>PDZ domain-containing protein GIPC2</t>
  </si>
  <si>
    <t>PDZ domain-containing protein GIPC3</t>
  </si>
  <si>
    <t>ARF GTPase-activating protein GIT1</t>
  </si>
  <si>
    <t>ARF GTPase-activating protein GIT2 isoform 2</t>
  </si>
  <si>
    <t>ARF GTPase-activating protein GIT2 isoform 3</t>
  </si>
  <si>
    <t>ARF GTPase-activating protein GIT2 isoform 1</t>
  </si>
  <si>
    <t xml:space="preserve">glycerol kinase 2 </t>
  </si>
  <si>
    <t>G kinase-anchoring protein 1</t>
  </si>
  <si>
    <t>alpha-galactosidase A</t>
  </si>
  <si>
    <t>beta-galactosidase precursor</t>
  </si>
  <si>
    <t>D-glucuronyl C5-epimerase</t>
  </si>
  <si>
    <t>nucleoporin GLE1</t>
  </si>
  <si>
    <t xml:space="preserve">Golgi apparatus protein 1 precursor </t>
  </si>
  <si>
    <t xml:space="preserve">Golgi-associated plant pathogenesis-related protein 1 </t>
  </si>
  <si>
    <t xml:space="preserve">glomulin isoform a </t>
  </si>
  <si>
    <t xml:space="preserve">glomulin isoform b </t>
  </si>
  <si>
    <t>lactoylglutathione lyase</t>
  </si>
  <si>
    <t>glyoxalase domain-containing protein 4</t>
  </si>
  <si>
    <t xml:space="preserve">glutaredoxin-1 </t>
  </si>
  <si>
    <t xml:space="preserve">glutaredoxin-3 </t>
  </si>
  <si>
    <t>glutaredoxin-related protein 5, mitochondrial</t>
  </si>
  <si>
    <t>glutaminase kidney isoform, mitochondrial isoform 1</t>
  </si>
  <si>
    <t>glutaminase kidney isoform, mitochondrial isoform 2</t>
  </si>
  <si>
    <t>procollagen galactosyltransferase 1 precursor</t>
  </si>
  <si>
    <t xml:space="preserve">glycolipid transfer protein </t>
  </si>
  <si>
    <t xml:space="preserve">glioma tumor suppressor candidate region gene 2 </t>
  </si>
  <si>
    <t xml:space="preserve">glutamate dehydrogenase 1, mitochondrial precursor </t>
  </si>
  <si>
    <t xml:space="preserve">putative oxidoreductase GLYR1 isoform 2 </t>
  </si>
  <si>
    <t xml:space="preserve">putative oxidoreductase GLYR1 isoform 1 </t>
  </si>
  <si>
    <t xml:space="preserve">PREDICTED: ubiquitin-conjugating enzyme E2 L3-like </t>
  </si>
  <si>
    <t xml:space="preserve">PREDICTED: 60S ribosomal protein L35a-like </t>
  </si>
  <si>
    <t xml:space="preserve">PREDICTED: 60S ribosomal protein L21-like </t>
  </si>
  <si>
    <t xml:space="preserve">PREDICTED: 60S ribosomal protein L28-like </t>
  </si>
  <si>
    <t xml:space="preserve">PREDICTED: 40S ribosomal protein S12-like </t>
  </si>
  <si>
    <t xml:space="preserve">PREDICTED: 60S ribosomal protein L13-like </t>
  </si>
  <si>
    <t xml:space="preserve">Sin3-associated polypeptide 18-like </t>
  </si>
  <si>
    <t xml:space="preserve">PREDICTED: 60S ribosomal protein L17-like </t>
  </si>
  <si>
    <t xml:space="preserve">PREDICTED: 60S ribosomal protein L17-like isoform 2 </t>
  </si>
  <si>
    <t xml:space="preserve">PREDICTED: 60S ribosomal protein L15-like </t>
  </si>
  <si>
    <t xml:space="preserve">PREDICTED: histone H3.3-like </t>
  </si>
  <si>
    <t xml:space="preserve">PREDICTED: nuclear transport factor 2-like </t>
  </si>
  <si>
    <t xml:space="preserve">PREDICTED: 40S ribosomal protein S2-like isoform 1 </t>
  </si>
  <si>
    <t xml:space="preserve">uncharacterized protein LOC100042314 </t>
  </si>
  <si>
    <t xml:space="preserve">PREDICTED: ubiquitin-conjugating enzyme E2 L3-like isoform 2 </t>
  </si>
  <si>
    <t xml:space="preserve">PREDICTED: 60S ribosomal protein L29-like </t>
  </si>
  <si>
    <t xml:space="preserve">PREDICTED: serpin B9 </t>
  </si>
  <si>
    <t>PREDICTED: tyrosine-protein kinase Lyn-like</t>
  </si>
  <si>
    <t xml:space="preserve">PREDICTED: endothelial differentiation-related factor 1-like </t>
  </si>
  <si>
    <t>PREDICTED: ORM1-like protein 3-like</t>
  </si>
  <si>
    <t xml:space="preserve">predicted gene 12657 </t>
  </si>
  <si>
    <t>PREDICTED: la-related protein 7</t>
  </si>
  <si>
    <t xml:space="preserve">PREDICTED: RWD domain-containing protein 1-like </t>
  </si>
  <si>
    <t>uncharacterized protein C1orf87 homolog</t>
  </si>
  <si>
    <t>PREDICTED: uncharacterized protein LOC627004</t>
  </si>
  <si>
    <t>PREDICTED: 60S ribosomal protein L3-like, partial</t>
  </si>
  <si>
    <t xml:space="preserve">PREDICTED: 60S ribosomal protein L3-like </t>
  </si>
  <si>
    <t xml:space="preserve">PREDICTED: protein S100-A11-like isoform 1 </t>
  </si>
  <si>
    <t>uncharacterized protein ZMYM6NB precursor</t>
  </si>
  <si>
    <t>PREDICTED: 60S acidic ribosomal protein P1-like</t>
  </si>
  <si>
    <t>PREDICTED: coiled-coil-helix-coiled-coil-helix domain-containing protein 2, mitochondrial-like</t>
  </si>
  <si>
    <t>PREDICTED: 28S ribosomal protein S18b, mitochondrial-like</t>
  </si>
  <si>
    <t>PREDICTED: 60S acidic ribosomal protein P1-like isoform 3</t>
  </si>
  <si>
    <t xml:space="preserve">PREDICTED: 60S ribosomal protein L27a-like </t>
  </si>
  <si>
    <t xml:space="preserve">PREDICTED: 60S ribosomal protein L5-like </t>
  </si>
  <si>
    <t>PREDICTED: small nuclear ribonucleoprotein Sm D1-like</t>
  </si>
  <si>
    <t xml:space="preserve">uncharacterized protein LOC667373 isoform 2 </t>
  </si>
  <si>
    <t xml:space="preserve">uncharacterized protein LOC667373 isoform 1 </t>
  </si>
  <si>
    <t xml:space="preserve">PREDICTED: transcription elongation factor B polypeptide 1-like </t>
  </si>
  <si>
    <t>PREDICTED: protein LLP homolog</t>
  </si>
  <si>
    <t xml:space="preserve">PREDICTED: spermine synthase-like </t>
  </si>
  <si>
    <t>PREDICTED: HIG1 domain family member 1A-like</t>
  </si>
  <si>
    <t xml:space="preserve">PREDICTED: 40S ribosomal protein S12-like isoform 2 </t>
  </si>
  <si>
    <t xml:space="preserve">PREDICTED: 60S ribosomal protein L23-like </t>
  </si>
  <si>
    <t>PREDICTED: inosine-5'-monophosphate dehydrogenase 2-like</t>
  </si>
  <si>
    <t xml:space="preserve">PREDICTED: putative RNA-binding protein 3-like </t>
  </si>
  <si>
    <t xml:space="preserve">PREDICTED: prothymosin alpha-like </t>
  </si>
  <si>
    <t xml:space="preserve">PREDICTED: 40S ribosomal protein S13-like </t>
  </si>
  <si>
    <t xml:space="preserve">PREDICTED: 40S ribosomal protein S8 isoform 1 </t>
  </si>
  <si>
    <t>PREDICTED: 40S ribosomal protein S8, partial</t>
  </si>
  <si>
    <t xml:space="preserve">PREDICTED: zinc finger BED domain-containing protein 4-like </t>
  </si>
  <si>
    <t>probable E3 ubiquitin-protein ligase C12orf51 homolog</t>
  </si>
  <si>
    <t>PREDICTED: short coiled-coil protein-like</t>
  </si>
  <si>
    <t>protein GTLF3B</t>
  </si>
  <si>
    <t>PREDICTED: uncharacterized protein LOC100502716</t>
  </si>
  <si>
    <t xml:space="preserve">PREDICTED: peptidyl-prolyl cis-trans isomerase H-like </t>
  </si>
  <si>
    <t xml:space="preserve">predicted gene 1966 </t>
  </si>
  <si>
    <t xml:space="preserve">PREDICTED: LOW QUALITY PROTEIN: interferon-induced very large GTPase 1 </t>
  </si>
  <si>
    <t>PREDICTED: interferon-induced very large GTPase 1</t>
  </si>
  <si>
    <t xml:space="preserve">PREDICTED: 60S ribosomal protein L7a-like </t>
  </si>
  <si>
    <t>PREDICTED: ubiquitin-like protein 5-like</t>
  </si>
  <si>
    <t xml:space="preserve">PREDICTED: calcium-binding protein p22-like, partial </t>
  </si>
  <si>
    <t xml:space="preserve">uncharacterized protein LOC100039042 </t>
  </si>
  <si>
    <t>PREDICTED: eukaryotic translation initiation factor 1A</t>
  </si>
  <si>
    <t xml:space="preserve">Eif1a-like </t>
  </si>
  <si>
    <t xml:space="preserve">PREDICTED: CDGSH iron-sulfur domain-containing protein 3, mitochondrial-like </t>
  </si>
  <si>
    <t>PREDICTED: eukaryotic translation initiation factor 1A-like</t>
  </si>
  <si>
    <t>AK010878-Moap1 protein</t>
  </si>
  <si>
    <t xml:space="preserve">PREDICTED: ferritin light chain 1-like </t>
  </si>
  <si>
    <t xml:space="preserve">PREDICTED: glyceraldehyde-3-phosphate dehydrogenase-like isoform 2 </t>
  </si>
  <si>
    <t xml:space="preserve">eukaryotic translation initiation factor 1A-like </t>
  </si>
  <si>
    <t>PREDICTED: transmembrane emp24 domain-containing protein 2-like</t>
  </si>
  <si>
    <t>PREDICTED: high mobility group protein B1-like</t>
  </si>
  <si>
    <t xml:space="preserve">PREDICTED: annexin A11-like </t>
  </si>
  <si>
    <t>PREDICTED: 14-3-3 protein theta-like</t>
  </si>
  <si>
    <t xml:space="preserve">PREDICTED: S-formylglutathione hydrolase-like </t>
  </si>
  <si>
    <t>ganglioside GM2 activator precursor</t>
  </si>
  <si>
    <t xml:space="preserve">PREDICTED: protein CDV3-like </t>
  </si>
  <si>
    <t>PREDICTED: uncharacterized protein LOC100041106</t>
  </si>
  <si>
    <t xml:space="preserve">PREDICTED: ubiquitin-conjugating enzyme E2 N-like </t>
  </si>
  <si>
    <t xml:space="preserve">PREDICTED: NADH dehydrogenase [ubiquinone] 1 beta subcomplex subunit 4-like </t>
  </si>
  <si>
    <t xml:space="preserve">transcription elongation factor SPT4 2 </t>
  </si>
  <si>
    <t xml:space="preserve">PREDICTED: 60S ribosomal protein L23a-like </t>
  </si>
  <si>
    <t>PREDICTED: uncharacterized protein C10orf12</t>
  </si>
  <si>
    <t xml:space="preserve">PREDICTED: 60S ribosomal protein L11-like </t>
  </si>
  <si>
    <t xml:space="preserve">predicted gene 3776 </t>
  </si>
  <si>
    <t>PREDICTED: programmed cell death protein 5-like</t>
  </si>
  <si>
    <t xml:space="preserve">PREDICTED: glutathione S-transferase P 2-like </t>
  </si>
  <si>
    <t>PREDICTED: transmembrane emp24 domain-containing protein 10-like</t>
  </si>
  <si>
    <t>eukaryotic translation initiation factor 1A-like 1</t>
  </si>
  <si>
    <t xml:space="preserve">interferon-induced very large GTPase 1 </t>
  </si>
  <si>
    <t xml:space="preserve">PREDICTED: 60S ribosomal protein L36-like </t>
  </si>
  <si>
    <t xml:space="preserve">uncharacterized protein LOC215895 </t>
  </si>
  <si>
    <t>40S ribosomal protein S24-like</t>
  </si>
  <si>
    <t xml:space="preserve">flavin-containing monooxygenase 13 </t>
  </si>
  <si>
    <t xml:space="preserve">flavin-containing monooxygenase 12 </t>
  </si>
  <si>
    <t xml:space="preserve">PREDICTED: 60S ribosomal protein L18a-like </t>
  </si>
  <si>
    <t xml:space="preserve">PREDICTED: LOW QUALITY PROTEIN: twinfilin-1 </t>
  </si>
  <si>
    <t xml:space="preserve">PREDICTED: LOW QUALITY PROTEIN: uncharacterized protein LOC237030 </t>
  </si>
  <si>
    <t xml:space="preserve">ribosomal protein S12-like </t>
  </si>
  <si>
    <t xml:space="preserve">PREDICTED: NADH dehydrogenase [ubiquinone] 1 alpha subcomplex subunit 11-like </t>
  </si>
  <si>
    <t xml:space="preserve">PREDICTED: 40S ribosomal protein S25-like </t>
  </si>
  <si>
    <t xml:space="preserve">predicted gene 4975 </t>
  </si>
  <si>
    <t xml:space="preserve">PREDICTED: protein S100-A11-like </t>
  </si>
  <si>
    <t>PREDICTED: uncharacterized protein LOC277089</t>
  </si>
  <si>
    <t xml:space="preserve">PREDICTED: 40S ribosomal protein S17-like </t>
  </si>
  <si>
    <t xml:space="preserve">PREDICTED: interferon-induced transmembrane protein 2-like </t>
  </si>
  <si>
    <t>sentrin 14</t>
  </si>
  <si>
    <t xml:space="preserve">PREDICTED: 60S ribosomal protein L6-like </t>
  </si>
  <si>
    <t xml:space="preserve">PREDICTED: 60S ribosomal protein L21-like isoform 3 </t>
  </si>
  <si>
    <t>PREDICTED: 60S ribosomal protein L9-like, partial</t>
  </si>
  <si>
    <t xml:space="preserve">PREDICTED: 60S ribosomal protein L9-like </t>
  </si>
  <si>
    <t>PREDICTED: eukaryotic translation initiation factor 1-like</t>
  </si>
  <si>
    <t xml:space="preserve">PREDICTED: 60S ribosomal protein L30-like </t>
  </si>
  <si>
    <t xml:space="preserve">uncharacterized protein LOC433182 </t>
  </si>
  <si>
    <t>PREDICTED: ORM1-like protein 2-like</t>
  </si>
  <si>
    <t xml:space="preserve">PREDICTED: nucleoside diphosphate kinase B-like </t>
  </si>
  <si>
    <t xml:space="preserve">PREDICTED: eukaryotic initiation factor 4A-III-like </t>
  </si>
  <si>
    <t xml:space="preserve">uncharacterized protein LOC228715 </t>
  </si>
  <si>
    <t>PREDICTED: tubulin alpha-1C chain isoform 4</t>
  </si>
  <si>
    <t xml:space="preserve">PREDICTED: 60S ribosomal protein L10-like </t>
  </si>
  <si>
    <t xml:space="preserve">PREDICTED: 60S ribosomal protein L10-like isoform 2 </t>
  </si>
  <si>
    <t>PREDICTED: mRNA turnover protein 4 homolog isoform 2</t>
  </si>
  <si>
    <t xml:space="preserve">PREDICTED: actin-related protein 41673 complex subunit 1B-like </t>
  </si>
  <si>
    <t xml:space="preserve">PREDICTED: chromobox protein homolog 3-like </t>
  </si>
  <si>
    <t xml:space="preserve">predicted gene 5803 </t>
  </si>
  <si>
    <t>PREDICTED: G/T mismatch-specific thymine DNA glycosylase-like isoform 5</t>
  </si>
  <si>
    <t>PREDICTED: small nuclear ribonucleoprotein Sm D2-like</t>
  </si>
  <si>
    <t xml:space="preserve">PREDICTED: ubiquitin-conjugating enzyme E2 L3-like isoform 3 </t>
  </si>
  <si>
    <t xml:space="preserve">PREDICTED: 40S ribosomal protein S21-like </t>
  </si>
  <si>
    <t>PREDICTED: high mobility group protein B1-like isoform 1</t>
  </si>
  <si>
    <t xml:space="preserve">PREDICTED: 40S ribosomal protein S2-like </t>
  </si>
  <si>
    <t>uncharacterized protein CXorf65 homolog</t>
  </si>
  <si>
    <t>PREDICTED: CCR4-NOT transcription complex subunit 1-like</t>
  </si>
  <si>
    <t xml:space="preserve">PREDICTED: 60S ribosomal protein L23a </t>
  </si>
  <si>
    <t xml:space="preserve">PREDICTED: replication protein A 14 kDa subunit-like </t>
  </si>
  <si>
    <t xml:space="preserve">ribosomal protein L32-like </t>
  </si>
  <si>
    <t>PREDICTED: gem-associated protein 6-like</t>
  </si>
  <si>
    <t xml:space="preserve">PREDICTED: costars family protein ABRACL-like </t>
  </si>
  <si>
    <t>PREDICTED: gem-associated protein 4-like</t>
  </si>
  <si>
    <t xml:space="preserve">PREDICTED: 60S ribosomal protein L34-like </t>
  </si>
  <si>
    <t>PREDICTED: NADH dehydrogenase [ubiquinone] iron-sulfur protein 6, mitochondrial-like</t>
  </si>
  <si>
    <t xml:space="preserve">fas apoptotic inhibitory molecule 1-like </t>
  </si>
  <si>
    <t xml:space="preserve">PREDICTED: 40S ribosomal protein S18-like </t>
  </si>
  <si>
    <t>PREDICTED: actin-related protein 41673 complex subunit 5-like, partial</t>
  </si>
  <si>
    <t xml:space="preserve">predicted gene 6531 </t>
  </si>
  <si>
    <t>PREDICTED: predicted gene 6747</t>
  </si>
  <si>
    <t>PREDICTED: predicted gene 6747 isoform 2</t>
  </si>
  <si>
    <t>PREDICTED: peptidyl-prolyl cis-trans isomerase NIMA-interacting 4-like</t>
  </si>
  <si>
    <t xml:space="preserve">PREDICTED: RING1 and YY1-binding protein-like </t>
  </si>
  <si>
    <t xml:space="preserve">PREDICTED: 40S ribosomal protein S15-like isoform 1 </t>
  </si>
  <si>
    <t xml:space="preserve">PREDICTED: 40S ribosomal protein S15-like isoform 2 </t>
  </si>
  <si>
    <t xml:space="preserve">PREDICTED: envelope glycoprotein </t>
  </si>
  <si>
    <t xml:space="preserve">PREDICTED: 40S ribosomal protein S18-like isoform 2 </t>
  </si>
  <si>
    <t>PREDICTED: splicing factor U2AF 65 kDa subunit-like, partial</t>
  </si>
  <si>
    <t xml:space="preserve">PREDICTED: splicing factor U2AF 65 kDa subunit-like </t>
  </si>
  <si>
    <t xml:space="preserve">PREDICTED: proteasome subunit beta type-1-like </t>
  </si>
  <si>
    <t xml:space="preserve">PREDICTED: mitochondrial import receptor subunit TOM22 homolog </t>
  </si>
  <si>
    <t>PREDICTED: uncharacterized protein LOC665234</t>
  </si>
  <si>
    <t xml:space="preserve">uncharacterized protein LOC665574 </t>
  </si>
  <si>
    <t>PREDICTED: uncharacterized protein LOC665826</t>
  </si>
  <si>
    <t xml:space="preserve">PREDICTED: ubiquitin-60S ribosomal protein L40-like </t>
  </si>
  <si>
    <t>PREDICTED: d-2-hydroxyglutarate dehydrogenase, mitochondrial-like</t>
  </si>
  <si>
    <t xml:space="preserve">PREDICTED: mitochondrial import receptor subunit TOM5 homolog </t>
  </si>
  <si>
    <t xml:space="preserve">PREDICTED: ubiquitin-40S ribosomal protein S27a-like </t>
  </si>
  <si>
    <t xml:space="preserve">PREDICTED: protein archease-like </t>
  </si>
  <si>
    <t>PREDICTED: uncharacterized protein LOC667284</t>
  </si>
  <si>
    <t>PREDICTED: U1 small nuclear ribonucleoprotein A-like</t>
  </si>
  <si>
    <t xml:space="preserve">PREDICTED: 40S ribosomal protein S23-like </t>
  </si>
  <si>
    <t xml:space="preserve">PREDICTED: 40S ribosomal protein S2-like isoform 2 </t>
  </si>
  <si>
    <t>PREDICTED: myosin light polypeptide 6, partial</t>
  </si>
  <si>
    <t xml:space="preserve">PREDICTED: LOW QUALITY PROTEIN: myosin light polypeptide 6, partial </t>
  </si>
  <si>
    <t>uncharacterized protein LOC667977 precursor</t>
  </si>
  <si>
    <t xml:space="preserve">predicted gene, EG668137 </t>
  </si>
  <si>
    <t>PREDICTED: mRNA turnover protein 4 homolog</t>
  </si>
  <si>
    <t xml:space="preserve">PREDICTED: peptidyl-prolyl cis-trans isomerase A-like </t>
  </si>
  <si>
    <t xml:space="preserve">PREDICTED: 60S ribosomal protein L24-like </t>
  </si>
  <si>
    <t xml:space="preserve">PREDICTED: 60S ribosomal protein L22-like </t>
  </si>
  <si>
    <t xml:space="preserve">PREDICTED: 60S ribosomal protein L13-like isoform 2 </t>
  </si>
  <si>
    <t xml:space="preserve">PREDICTED: glia maturation factor gamma-like </t>
  </si>
  <si>
    <t>sentrin 15</t>
  </si>
  <si>
    <t xml:space="preserve">GDP-mannose 4,6 dehydratase </t>
  </si>
  <si>
    <t>glia maturation factor beta</t>
  </si>
  <si>
    <t>glia maturation factor gamma isoform 1</t>
  </si>
  <si>
    <t>GEM-interacting protein</t>
  </si>
  <si>
    <t xml:space="preserve">mannose-1-phosphate guanyltransferase alpha </t>
  </si>
  <si>
    <t xml:space="preserve">mannose-1-phosphate guanyltransferase beta </t>
  </si>
  <si>
    <t xml:space="preserve">GMP reductase 1 </t>
  </si>
  <si>
    <t xml:space="preserve">GMP reductase 2 </t>
  </si>
  <si>
    <t xml:space="preserve">GMP synthase [glutamine-hydrolyzing] </t>
  </si>
  <si>
    <t xml:space="preserve">guanine nucleotide-binding protein subunit alpha-11 </t>
  </si>
  <si>
    <t xml:space="preserve">guanine nucleotide-binding protein subunit alpha-12 </t>
  </si>
  <si>
    <t xml:space="preserve">guanine nucleotide-binding protein subunit alpha-13 </t>
  </si>
  <si>
    <t xml:space="preserve">guanine nucleotide-binding protein subunit alpha-14 </t>
  </si>
  <si>
    <t>guanine nucleotide-binding protein G(i) subunit alpha-1</t>
  </si>
  <si>
    <t>guanine nucleotide-binding protein G(i) subunit alpha-2</t>
  </si>
  <si>
    <t>guanine nucleotide-binding protein G(k) subunit alpha</t>
  </si>
  <si>
    <t>guanine nucleotide-binding protein G(olf) subunit alpha isoform 1</t>
  </si>
  <si>
    <t>guanine nucleotide-binding protein G(olf) subunit alpha isoform 2</t>
  </si>
  <si>
    <t>guanine nucleotide-binding protein G(o) subunit alpha isoform B</t>
  </si>
  <si>
    <t>guanine nucleotide-binding protein G(o) subunit alpha isoform A</t>
  </si>
  <si>
    <t>guanine nucleotide-binding protein G(q) subunit alpha</t>
  </si>
  <si>
    <t>protein GNAS isoform f</t>
  </si>
  <si>
    <t>protein GNAS isoform GNASS</t>
  </si>
  <si>
    <t>protein GNAS isoform GNASL</t>
  </si>
  <si>
    <t>protein GNAS isoform XLas</t>
  </si>
  <si>
    <t>guanine nucleotide-binding protein G(t) subunit alpha-1</t>
  </si>
  <si>
    <t>guanine nucleotide-binding protein G(t) subunit alpha-2</t>
  </si>
  <si>
    <t>guanine nucleotide-binding protein G(t) subunit alpha-3</t>
  </si>
  <si>
    <t>guanine nucleotide-binding protein G(z) subunit alpha</t>
  </si>
  <si>
    <t>guanine nucleotide-binding protein G(I)/G(S)/G(T) subunit beta-1</t>
  </si>
  <si>
    <t>guanine nucleotide-binding protein G(I)/G(S)/G(T) subunit beta-2</t>
  </si>
  <si>
    <t>guanine nucleotide-binding protein subunit beta-2-like 1</t>
  </si>
  <si>
    <t>guanine nucleotide-binding protein G(I)/G(S)/G(T) subunit beta-3</t>
  </si>
  <si>
    <t xml:space="preserve">guanine nucleotide-binding protein subunit beta-4 </t>
  </si>
  <si>
    <t xml:space="preserve">guanine nucleotide-binding protein G(I)/G(S)/G(O) subunit gamma-10 precursor </t>
  </si>
  <si>
    <t>guanine nucleotide-binding protein G(I)/G(S)/G(O) subunit gamma-12</t>
  </si>
  <si>
    <t>guanine nucleotide-binding protein G(I)/G(S)/G(O) subunit gamma-7</t>
  </si>
  <si>
    <t>guanine nucleotide-binding protein-like 1</t>
  </si>
  <si>
    <t>nucleolar GTP-binding protein 2</t>
  </si>
  <si>
    <t>guanine nucleotide-binding protein-like 3 long isoform</t>
  </si>
  <si>
    <t xml:space="preserve">dihydroxyacetone phosphate acyltransferase </t>
  </si>
  <si>
    <t xml:space="preserve">glucosamine-6-phosphate isomerase 1 </t>
  </si>
  <si>
    <t xml:space="preserve">glucosamine-6-phosphate isomerase 2 </t>
  </si>
  <si>
    <t xml:space="preserve">glucosamine 6-phosphate N-acetyltransferase </t>
  </si>
  <si>
    <t>N-acetylglucosamine-6-sulfatase precursor</t>
  </si>
  <si>
    <t xml:space="preserve">Golgin subfamily A member 1 </t>
  </si>
  <si>
    <t xml:space="preserve">Golgin subfamily A member 2 isoform b </t>
  </si>
  <si>
    <t xml:space="preserve">Golgin subfamily A member 2 isoform a </t>
  </si>
  <si>
    <t xml:space="preserve">Golgin subfamily A member 3 </t>
  </si>
  <si>
    <t xml:space="preserve">Golgin subfamily A member 4 </t>
  </si>
  <si>
    <t xml:space="preserve">Golgin subfamily A member 5 </t>
  </si>
  <si>
    <t xml:space="preserve">Golgin subfamily A member 7 </t>
  </si>
  <si>
    <t xml:space="preserve">golgi autoantigen, golgin subfamily b, macrogolgin 1 </t>
  </si>
  <si>
    <t xml:space="preserve">Golgi integral membrane protein 4 </t>
  </si>
  <si>
    <t>Golgi membrane protein 1</t>
  </si>
  <si>
    <t xml:space="preserve">Golgi phosphoprotein 3 </t>
  </si>
  <si>
    <t xml:space="preserve">Golgi phosphoprotein 3-like isoform 1 </t>
  </si>
  <si>
    <t xml:space="preserve">Golgi phosphoprotein 3-like isoform 2 </t>
  </si>
  <si>
    <t xml:space="preserve">Golgi phosphoprotein 3-like isoform 3 </t>
  </si>
  <si>
    <t>vesicle transport protein GOT1B</t>
  </si>
  <si>
    <t>Golgi-associated PDZ and coiled-coil motif-containing protein isoform a</t>
  </si>
  <si>
    <t>Golgi-associated PDZ and coiled-coil motif-containing protein isoform b</t>
  </si>
  <si>
    <t>Golgi reassembly-stacking protein 1</t>
  </si>
  <si>
    <t>Golgi reassembly-stacking protein 2</t>
  </si>
  <si>
    <t>Golgi SNAP receptor complex member 1</t>
  </si>
  <si>
    <t>Golgi SNAP receptor complex member 2</t>
  </si>
  <si>
    <t xml:space="preserve">aspartate aminotransferase, cytoplasmic </t>
  </si>
  <si>
    <t xml:space="preserve">aspartate aminotransferase, mitochondrial </t>
  </si>
  <si>
    <t xml:space="preserve">glycosylphosphatidylinositol anchor attachment 1 protein </t>
  </si>
  <si>
    <t xml:space="preserve">uncharacterized protein KIAA1704 </t>
  </si>
  <si>
    <t>coiled-coil domain-containing protein 75</t>
  </si>
  <si>
    <t xml:space="preserve">G patch domain-containing protein 3 </t>
  </si>
  <si>
    <t xml:space="preserve">G patch domain-containing protein 4 </t>
  </si>
  <si>
    <t xml:space="preserve">G patch domain-containing protein 8 </t>
  </si>
  <si>
    <t>glypican-4 precursor</t>
  </si>
  <si>
    <t>glypican-6 isoform 1 precursor</t>
  </si>
  <si>
    <t>glypican-6 isoform 2 precursor</t>
  </si>
  <si>
    <t xml:space="preserve">glycerophosphocholine phosphodiesterase GPCPD1 isoform 2 </t>
  </si>
  <si>
    <t xml:space="preserve">glycerophosphocholine phosphodiesterase GPCPD1 isoform 3 </t>
  </si>
  <si>
    <t>glycerol-3-phosphate dehydrogenase [NAD(+)], cytoplasmic</t>
  </si>
  <si>
    <t>glycerol-3-phosphate dehydrogenase 1-like protein</t>
  </si>
  <si>
    <t>glycerol-3-phosphate dehydrogenase, mitochondrial precursor</t>
  </si>
  <si>
    <t xml:space="preserve">gephyrin isoform 2 </t>
  </si>
  <si>
    <t xml:space="preserve">gephyrin isoform 1 </t>
  </si>
  <si>
    <t>glucose-6-phosphate isomerase</t>
  </si>
  <si>
    <t xml:space="preserve">PREDICTED: glucose-6-phosphate isomerase </t>
  </si>
  <si>
    <t xml:space="preserve">GPN-loop GTPase 1 </t>
  </si>
  <si>
    <t xml:space="preserve">GPN-loop GTPase 3 </t>
  </si>
  <si>
    <t xml:space="preserve">protein GPR107 precursor </t>
  </si>
  <si>
    <t xml:space="preserve">G-protein coupled receptor 126 precursor </t>
  </si>
  <si>
    <t>G-protein coupled receptor 39</t>
  </si>
  <si>
    <t xml:space="preserve">G-protein coupled receptor 56 precursor </t>
  </si>
  <si>
    <t xml:space="preserve">Golgi pH regulator </t>
  </si>
  <si>
    <t xml:space="preserve">G-protein coupled receptor 98 precursor </t>
  </si>
  <si>
    <t>retinoic acid-induced protein 3</t>
  </si>
  <si>
    <t>G-protein coupled receptor family C group 5 member C isoform a precursor</t>
  </si>
  <si>
    <t>G-protein coupled receptor family C group 5 member C isoform b precursor</t>
  </si>
  <si>
    <t xml:space="preserve">COP9 signalosome complex subunit 1 isoform 1 </t>
  </si>
  <si>
    <t xml:space="preserve">COP9 signalosome complex subunit 1 isoform 2 </t>
  </si>
  <si>
    <t xml:space="preserve">alanine aminotransferase 1 </t>
  </si>
  <si>
    <t xml:space="preserve">glutathione peroxidase 1 </t>
  </si>
  <si>
    <t xml:space="preserve">phospholipid hydroperoxide glutathione peroxidase, nuclear isoform 1 </t>
  </si>
  <si>
    <t>phospholipid hydroperoxide glutathione peroxidase, nuclear isoform 2 precursor</t>
  </si>
  <si>
    <t>GRAM domain-containing protein 4 isoform 1</t>
  </si>
  <si>
    <t>GRAM domain-containing protein 4 isoform 2</t>
  </si>
  <si>
    <t xml:space="preserve">growth factor receptor-bound protein 2 </t>
  </si>
  <si>
    <t xml:space="preserve">growth factor receptor-bound protein 7 </t>
  </si>
  <si>
    <t>protein C10</t>
  </si>
  <si>
    <t>grainyhead-like protein 2 homolog</t>
  </si>
  <si>
    <t xml:space="preserve">glyoxylate reductase/hydroxypyruvate reductase </t>
  </si>
  <si>
    <t xml:space="preserve">glutamate receptor delta-2 subunit precursor </t>
  </si>
  <si>
    <t>glutamate receptor ionotropic, NMDA 2D precursor</t>
  </si>
  <si>
    <t xml:space="preserve">GRIP1-associated protein 1 </t>
  </si>
  <si>
    <t>rho GTPase-activating protein 35</t>
  </si>
  <si>
    <t>granulins precursor</t>
  </si>
  <si>
    <t>grpE protein homolog 1, mitochondrial precursor</t>
  </si>
  <si>
    <t>grpE protein homolog 2, mitochondrial precursor</t>
  </si>
  <si>
    <t>G-rich sequence factor 1 isoform 1</t>
  </si>
  <si>
    <t>G-rich sequence factor 1 isoform 2</t>
  </si>
  <si>
    <t xml:space="preserve">glutamate-rich WD repeat-containing protein 1 </t>
  </si>
  <si>
    <t xml:space="preserve">gasdermin-C </t>
  </si>
  <si>
    <t xml:space="preserve">gasdermin-C2 </t>
  </si>
  <si>
    <t xml:space="preserve">gasdermin-C3 </t>
  </si>
  <si>
    <t xml:space="preserve">gasdermin-C4 </t>
  </si>
  <si>
    <t>glycogen synthase kinase-3 alpha</t>
  </si>
  <si>
    <t>glycogen synthase kinase-3 beta</t>
  </si>
  <si>
    <t xml:space="preserve">GSK3-beta interaction protein </t>
  </si>
  <si>
    <t xml:space="preserve">gelsolin isoform 2 </t>
  </si>
  <si>
    <t>gelsolin isoform 1 precursor</t>
  </si>
  <si>
    <t>eukaryotic peptide chain release factor GTP-binding subunit ERF3A isoform 1</t>
  </si>
  <si>
    <t>eukaryotic peptide chain release factor GTP-binding subunit ERF3A isoform 2</t>
  </si>
  <si>
    <t>eukaryotic peptide chain release factor GTP-binding subunit ERF3B</t>
  </si>
  <si>
    <t>glutathione reductase, mitochondrial precursor</t>
  </si>
  <si>
    <t>glutathione synthetase</t>
  </si>
  <si>
    <t xml:space="preserve">glutathione S-transferase A1 </t>
  </si>
  <si>
    <t xml:space="preserve">glutathione S-transferase A2 </t>
  </si>
  <si>
    <t xml:space="preserve">glutathione S-transferase A3 </t>
  </si>
  <si>
    <t xml:space="preserve">glutathione S-transferase A4 </t>
  </si>
  <si>
    <t>glutathione S-transferase kappa 1</t>
  </si>
  <si>
    <t>glutathione S-transferase Mu 1</t>
  </si>
  <si>
    <t>glutathione S-transferase Mu 2</t>
  </si>
  <si>
    <t>glutathione S-transferase Mu 3</t>
  </si>
  <si>
    <t>glutathione S-transferase mu 4 isoform 2</t>
  </si>
  <si>
    <t>glutathione S-transferase mu 4 isoform 1</t>
  </si>
  <si>
    <t>glutathione S-transferase Mu 5</t>
  </si>
  <si>
    <t>glutathione S-transferase Mu 6</t>
  </si>
  <si>
    <t>glutathione S-transferase Mu 7</t>
  </si>
  <si>
    <t xml:space="preserve">glutathione S-transferase omega-1 </t>
  </si>
  <si>
    <t xml:space="preserve">glutathione S-transferase omega-2 </t>
  </si>
  <si>
    <t>glutathione S-transferase P 1</t>
  </si>
  <si>
    <t>glutathione S-transferase P 2</t>
  </si>
  <si>
    <t xml:space="preserve">glutathione S-transferase theta-1 </t>
  </si>
  <si>
    <t xml:space="preserve">glutathione S-transferase theta-2 </t>
  </si>
  <si>
    <t>glutathione S-transferase, theta 3</t>
  </si>
  <si>
    <t>maleylacetoacetate isomerase isoform 2</t>
  </si>
  <si>
    <t>maleylacetoacetate isomerase isoform 1</t>
  </si>
  <si>
    <t>transcription initiation factor IIA subunit 1 isoform 1</t>
  </si>
  <si>
    <t>transcription initiation factor IIA subunit 1 isoform 2</t>
  </si>
  <si>
    <t>transcription initiation factor IIA subunit 2 isoform 2</t>
  </si>
  <si>
    <t>transcription initiation factor IIA subunit 2 isoform 1</t>
  </si>
  <si>
    <t>transcription initiation factor IIB</t>
  </si>
  <si>
    <t>general transcription factor IIE subunit 1</t>
  </si>
  <si>
    <t>general transcription factor IIE subunit 2</t>
  </si>
  <si>
    <t>general transcription factor IIF subunit 1</t>
  </si>
  <si>
    <t>general transcription factor IIF subunit 2</t>
  </si>
  <si>
    <t>general transcription factor IIH subunit 4</t>
  </si>
  <si>
    <t>general transcription factor II-I isoform 4</t>
  </si>
  <si>
    <t>general transcription factor II-I isoform 2</t>
  </si>
  <si>
    <t>general transcription factor II-I isoform 1</t>
  </si>
  <si>
    <t>general transcription factor II-I isoform 3</t>
  </si>
  <si>
    <t>general transcription factor II-I isoform 5</t>
  </si>
  <si>
    <t>general transcription factor 3C polypeptide 3</t>
  </si>
  <si>
    <t>general transcription factor 3C polypeptide 4 isoform 1</t>
  </si>
  <si>
    <t>general transcription factor 3C polypeptide 4 isoform 2</t>
  </si>
  <si>
    <t>UPF0468 protein C16orf80 homolog</t>
  </si>
  <si>
    <t xml:space="preserve">GTP-binding protein 1 </t>
  </si>
  <si>
    <t xml:space="preserve">GTP-binding protein 2 isoform 1 </t>
  </si>
  <si>
    <t xml:space="preserve">GTP-binding protein 2 isoform 2 </t>
  </si>
  <si>
    <t>tRNA modification GTPase GTPBP3, mitochondrial precursor</t>
  </si>
  <si>
    <t>nucleolar GTP-binding protein 1</t>
  </si>
  <si>
    <t>putative GTP-binding protein 6</t>
  </si>
  <si>
    <t xml:space="preserve">GTP-binding protein 8 isoform 1 </t>
  </si>
  <si>
    <t>G2 and S phase-expressed protein 1</t>
  </si>
  <si>
    <t>olfactory guanylyl cyclase GC-D</t>
  </si>
  <si>
    <t xml:space="preserve">retinal guanylyl cyclase 2 precursor </t>
  </si>
  <si>
    <t>guanylate kinase isoform 1</t>
  </si>
  <si>
    <t>guanylate kinase isoform 2</t>
  </si>
  <si>
    <t>beta-glucuronidase precursor</t>
  </si>
  <si>
    <t xml:space="preserve">glucoside xylosyltransferase 1 </t>
  </si>
  <si>
    <t>glycerol kinase isoform 2</t>
  </si>
  <si>
    <t>glycerol kinase isoform 1</t>
  </si>
  <si>
    <t xml:space="preserve">glycerol kinase-like 1 </t>
  </si>
  <si>
    <t>glycosyltransferase-like protein LARGE2 isoform 1 precursor</t>
  </si>
  <si>
    <t>glycosyltransferase-like protein LARGE2 isoform 2 precursor</t>
  </si>
  <si>
    <t>glycogen [starch] synthase, muscle</t>
  </si>
  <si>
    <t xml:space="preserve">GDNF-inducible zinc finger protein 1 </t>
  </si>
  <si>
    <t>minor histocompatibility antigen H13 isoform 1</t>
  </si>
  <si>
    <t>minor histocompatibility antigen H13 isoform 3</t>
  </si>
  <si>
    <t>minor histocompatibility antigen H13 isoform 4</t>
  </si>
  <si>
    <t>minor histocompatibility antigen H13 isoform 2</t>
  </si>
  <si>
    <t>histone H1.0</t>
  </si>
  <si>
    <t xml:space="preserve">testis-specific H1 histone </t>
  </si>
  <si>
    <t>histone H2A.J</t>
  </si>
  <si>
    <t>histone H2A.V</t>
  </si>
  <si>
    <t>histone H2A.x</t>
  </si>
  <si>
    <t xml:space="preserve">core histone macro-H2A.1 isoform 2 </t>
  </si>
  <si>
    <t xml:space="preserve">core histone macro-H2A.1 isoform 3 </t>
  </si>
  <si>
    <t xml:space="preserve">core histone macro-H2A.1 isoform 4 </t>
  </si>
  <si>
    <t xml:space="preserve">core histone macro-H2A.1 isoform 1 </t>
  </si>
  <si>
    <t xml:space="preserve">core histone macro-H2A.2 </t>
  </si>
  <si>
    <t>histone H2A.Z</t>
  </si>
  <si>
    <t xml:space="preserve">H-2 class I histocompatibility antigen, D-B alpha chain precursor </t>
  </si>
  <si>
    <t xml:space="preserve">H-2 class I histocompatibility antigen, K-W28 alpha chain isoform 1 precursor </t>
  </si>
  <si>
    <t xml:space="preserve">prefoldin subunit 6 </t>
  </si>
  <si>
    <t xml:space="preserve">estradiol 17-beta-dehydrogenase 8 </t>
  </si>
  <si>
    <t>histocompatibility 2, D region locus L</t>
  </si>
  <si>
    <t xml:space="preserve">histocompatibility 2, Q region locus 1 precursor </t>
  </si>
  <si>
    <t xml:space="preserve">H-2 class I histocompatibility antigen, Q10 alpha chain precursor </t>
  </si>
  <si>
    <t xml:space="preserve">histocompatibility 2, Q region locus 2 precursor </t>
  </si>
  <si>
    <t xml:space="preserve">histocompatibility 2, Q region locus 4 precursor </t>
  </si>
  <si>
    <t xml:space="preserve">histocompatibility 2, Q region locus 6 precursor </t>
  </si>
  <si>
    <t xml:space="preserve">H-2 class I histocompatibility antigen, Q7 alpha chain isoform 1 precursor </t>
  </si>
  <si>
    <t xml:space="preserve">H-2 class I histocompatibility antigen, Q7 alpha chain isoform 2 precursor </t>
  </si>
  <si>
    <t xml:space="preserve">H-2 class I histocompatibility antigen, Q7 alpha chain isoform 3 precursor </t>
  </si>
  <si>
    <t xml:space="preserve">H-2 class I histocompatibility antigen, Q8 alpha chain precursor </t>
  </si>
  <si>
    <t xml:space="preserve">H-2 class I histocompatibility antigen, Q9 alpha chain precursor </t>
  </si>
  <si>
    <t xml:space="preserve">PREDICTED: h-2 class I histocompatibility antigen, D-37 alpha chain </t>
  </si>
  <si>
    <t xml:space="preserve">H-2 class I histocompatibility antigen, D-37 alpha chain precursor </t>
  </si>
  <si>
    <t>histone H3.3</t>
  </si>
  <si>
    <t xml:space="preserve">PREDICTED: histone H3.3C-like </t>
  </si>
  <si>
    <t xml:space="preserve">GDH/6PGL endoplasmic bifunctional protein precursor </t>
  </si>
  <si>
    <t>E3 ubiquitin-protein ligase HACE1</t>
  </si>
  <si>
    <t xml:space="preserve">2-hydroxyacyl-CoA lyase 1 </t>
  </si>
  <si>
    <t xml:space="preserve">hydroxyacyl-coenzyme A dehydrogenase, mitochondrial precursor </t>
  </si>
  <si>
    <t>trifunctional enzyme subunit alpha, mitochondrial precursor</t>
  </si>
  <si>
    <t>trifunctional enzyme subunit beta, mitochondrial precursor</t>
  </si>
  <si>
    <t>hydroxyacylglutathione hydrolase, mitochondrial isoform 1 precursor</t>
  </si>
  <si>
    <t xml:space="preserve">hydroxyacylglutathione hydrolase, mitochondrial isoform 2 </t>
  </si>
  <si>
    <t xml:space="preserve">hydroxyacylglutathione hydrolase-like protein isoform b </t>
  </si>
  <si>
    <t xml:space="preserve">histidine--tRNA ligase, cytoplasmic </t>
  </si>
  <si>
    <t xml:space="preserve">probable histidine--tRNA ligase, mitochondrial precursor </t>
  </si>
  <si>
    <t xml:space="preserve">hyaluronan synthase 1 </t>
  </si>
  <si>
    <t>histone acetyltransferase type B catalytic subunit</t>
  </si>
  <si>
    <t xml:space="preserve">HAUS augmin-like complex subunit 3 </t>
  </si>
  <si>
    <t xml:space="preserve">HAUS augmin-like complex subunit 5 </t>
  </si>
  <si>
    <t xml:space="preserve">hemoglobin subunit beta-1 </t>
  </si>
  <si>
    <t xml:space="preserve">hemoglobin, beta adult t chain </t>
  </si>
  <si>
    <t xml:space="preserve">proheparin-binding EGF-like growth factor precursor </t>
  </si>
  <si>
    <t>HBS1-like protein isoform 3</t>
  </si>
  <si>
    <t>HBS1-like protein isoform 1</t>
  </si>
  <si>
    <t>HBS1-like protein isoform 2</t>
  </si>
  <si>
    <t>cytochrome c-type heme lyase</t>
  </si>
  <si>
    <t>host cell factor 1</t>
  </si>
  <si>
    <t xml:space="preserve">tyrosine-protein kinase HCK isoform p56Hck </t>
  </si>
  <si>
    <t xml:space="preserve">tyrosine-protein kinase HCK isoform p59Hck </t>
  </si>
  <si>
    <t>potassium/sodium hyperpolarization-activated cyclic nucleotide-gated channel 3</t>
  </si>
  <si>
    <t xml:space="preserve">histone deacetylase 1 </t>
  </si>
  <si>
    <t xml:space="preserve">histone deacetylase 10 </t>
  </si>
  <si>
    <t xml:space="preserve">histone deacetylase 2 </t>
  </si>
  <si>
    <t xml:space="preserve">histone deacetylase 3 </t>
  </si>
  <si>
    <t xml:space="preserve">histone deacetylase 4 </t>
  </si>
  <si>
    <t xml:space="preserve">histone deacetylase 6 </t>
  </si>
  <si>
    <t xml:space="preserve">histone deacetylase 8 </t>
  </si>
  <si>
    <t>HD domain-containing protein 2</t>
  </si>
  <si>
    <t xml:space="preserve">guanosine-3',5'-bis(diphosphate) 3'-pyrophosphohydrolase MESH1 </t>
  </si>
  <si>
    <t xml:space="preserve">hepatoma-derived growth factor </t>
  </si>
  <si>
    <t xml:space="preserve">hepatoma-derived growth factor-related protein 2 </t>
  </si>
  <si>
    <t>haloacid dehalogenase-like hydrolase domain-containing protein 2 isoform 1</t>
  </si>
  <si>
    <t>haloacid dehalogenase-like hydrolase domain-containing protein 3</t>
  </si>
  <si>
    <t xml:space="preserve">vigilin </t>
  </si>
  <si>
    <t>BAP28 protein</t>
  </si>
  <si>
    <t>HEAT repeat-containing protein 2</t>
  </si>
  <si>
    <t>HEAT repeat-containing protein 3</t>
  </si>
  <si>
    <t>HEAT repeat-containing protein 5A</t>
  </si>
  <si>
    <t>HEAT repeat-containing protein 5B</t>
  </si>
  <si>
    <t>HEAT repeat-containing protein 6</t>
  </si>
  <si>
    <t xml:space="preserve">heme-binding protein 1 </t>
  </si>
  <si>
    <t xml:space="preserve">heme-binding protein 2 </t>
  </si>
  <si>
    <t>E3 ubiquitin-protein ligase HECTD1</t>
  </si>
  <si>
    <t>E3 ubiquitin-protein ligase HECTD3</t>
  </si>
  <si>
    <t>E3 ubiquitin-protein ligase HECW1</t>
  </si>
  <si>
    <t xml:space="preserve">DNA helicase B </t>
  </si>
  <si>
    <t>lymphocyte-specific helicase</t>
  </si>
  <si>
    <t>probable helicase with zinc finger domain</t>
  </si>
  <si>
    <t xml:space="preserve">PPAR gamma-DNA-binding domain interacting protein1 </t>
  </si>
  <si>
    <t>hect domain and RCC1-like domain 1</t>
  </si>
  <si>
    <t>E3 ubiquitin-protein ligase HERC2</t>
  </si>
  <si>
    <t xml:space="preserve">probable E3 ubiquitin-protein ligase HERC4 isoform 1 </t>
  </si>
  <si>
    <t xml:space="preserve">probable E3 ubiquitin-protein ligase HERC4 isoform 2 </t>
  </si>
  <si>
    <t>homocysteine-responsive endoplasmic reticulum-resident ubiquitin-like domain member 1 protein</t>
  </si>
  <si>
    <t>beta-hexosaminidase subunit alpha precursor</t>
  </si>
  <si>
    <t>beta-hexosaminidase subunit beta precursor</t>
  </si>
  <si>
    <t>protein HEXIM1</t>
  </si>
  <si>
    <t>hepatocyte growth factor-regulated tyrosine kinase substrate isoform 1</t>
  </si>
  <si>
    <t>hepatocyte growth factor-regulated tyrosine kinase substrate isoform 2</t>
  </si>
  <si>
    <t>heparan-alpha-glucosaminide N-acetyltransferase</t>
  </si>
  <si>
    <t xml:space="preserve">hedgehog-interacting protein precursor </t>
  </si>
  <si>
    <t>3-hydroxyisobutyrate dehydrogenase, mitochondrial precursor</t>
  </si>
  <si>
    <t>3-hydroxyisobutyryl-CoA hydrolase, mitochondrial precursor</t>
  </si>
  <si>
    <t xml:space="preserve">hypermethylated in cancer 2 protein </t>
  </si>
  <si>
    <t>protein HID1</t>
  </si>
  <si>
    <t>hypoxia-inducible factor 1-alpha inhibitor</t>
  </si>
  <si>
    <t>HIG1 domain family member 1A, mitochondrial</t>
  </si>
  <si>
    <t>hypoxia-inducible lipid droplet-associated protein isoform 2</t>
  </si>
  <si>
    <t>hypoxia-inducible lipid droplet-associated protein isoform 1</t>
  </si>
  <si>
    <t xml:space="preserve">histidine triad nucleotide-binding protein 1 </t>
  </si>
  <si>
    <t xml:space="preserve">histidine triad nucleotide-binding protein 2, mitochondrial precursor </t>
  </si>
  <si>
    <t xml:space="preserve">histidine triad nucleotide-binding protein 3 </t>
  </si>
  <si>
    <t xml:space="preserve">huntingtin-interacting protein 1 </t>
  </si>
  <si>
    <t>huntingtin-interacting protein 1-related protein</t>
  </si>
  <si>
    <t xml:space="preserve">HIRA-interacting protein 3 </t>
  </si>
  <si>
    <t>histone H1.1</t>
  </si>
  <si>
    <t>histone H1.5</t>
  </si>
  <si>
    <t>histone H1.2</t>
  </si>
  <si>
    <t>histone H1.3</t>
  </si>
  <si>
    <t>histone H1.4</t>
  </si>
  <si>
    <t>histone H1t</t>
  </si>
  <si>
    <t>histone cluster 1, H2aa</t>
  </si>
  <si>
    <t>histone H2A type 1-F</t>
  </si>
  <si>
    <t>histone H2A type 1-H</t>
  </si>
  <si>
    <t>histone H2A type 1-K</t>
  </si>
  <si>
    <t xml:space="preserve">PREDICTED: histone H2A type 2-A </t>
  </si>
  <si>
    <t>histone H2A type 1</t>
  </si>
  <si>
    <t>histone H2B type 1-A</t>
  </si>
  <si>
    <t>histone H2B type 1-B</t>
  </si>
  <si>
    <t>histone H2B type 1-C/E/G</t>
  </si>
  <si>
    <t>histone H2B type 1-F/J/L</t>
  </si>
  <si>
    <t>histone H2B type 1-H</t>
  </si>
  <si>
    <t>histone H2B type 1-K</t>
  </si>
  <si>
    <t>histone H2B type 1-M</t>
  </si>
  <si>
    <t>histone H2B type 1-P</t>
  </si>
  <si>
    <t xml:space="preserve">H2b histone family, member A </t>
  </si>
  <si>
    <t>histone cluster 1 H2br</t>
  </si>
  <si>
    <t>histone H3.2</t>
  </si>
  <si>
    <t>histone H3.1</t>
  </si>
  <si>
    <t>histone H4</t>
  </si>
  <si>
    <t>histone H2A type 2-A</t>
  </si>
  <si>
    <t>histone H2A type 2-B</t>
  </si>
  <si>
    <t>histone H2A type 2-C</t>
  </si>
  <si>
    <t>histone H2B type 2-B</t>
  </si>
  <si>
    <t>histone H2B type 2-E</t>
  </si>
  <si>
    <t>histone H2A type 3</t>
  </si>
  <si>
    <t>histone H2B type 3-A</t>
  </si>
  <si>
    <t>histone H2B type 3-B</t>
  </si>
  <si>
    <t xml:space="preserve">hexokinase-1 isoform HK1-sb </t>
  </si>
  <si>
    <t xml:space="preserve">hexokinase-1 isoform HK1 </t>
  </si>
  <si>
    <t xml:space="preserve">hexokinase-2 </t>
  </si>
  <si>
    <t xml:space="preserve">hexokinase-3 isoform 2 </t>
  </si>
  <si>
    <t xml:space="preserve">hexokinase-3 isoform 3 </t>
  </si>
  <si>
    <t xml:space="preserve">hexokinase-3 isoform 1 </t>
  </si>
  <si>
    <t xml:space="preserve">putative hexokinase HKDC1 </t>
  </si>
  <si>
    <t>biotin--protein ligase</t>
  </si>
  <si>
    <t xml:space="preserve">helicase-like transcription factor isoform 1 </t>
  </si>
  <si>
    <t>porphobilinogen deaminase isoform 1</t>
  </si>
  <si>
    <t>porphobilinogen deaminase isoform 2</t>
  </si>
  <si>
    <t xml:space="preserve">hemicentin 1 precursor </t>
  </si>
  <si>
    <t xml:space="preserve">high mobility group protein HMG-I/HMG-Y isoform b </t>
  </si>
  <si>
    <t xml:space="preserve">high mobility group protein HMG-I/HMG-Y isoform d </t>
  </si>
  <si>
    <t xml:space="preserve">high mobility group protein HMG-I/HMG-Y isoform c </t>
  </si>
  <si>
    <t xml:space="preserve">high mobility group protein HMG-I/HMG-Y isoform e </t>
  </si>
  <si>
    <t xml:space="preserve">high mobility group protein HMG-I/HMG-Y isoform 2 </t>
  </si>
  <si>
    <t xml:space="preserve">high mobility group protein HMG-I/HMG-Y isoform 1 </t>
  </si>
  <si>
    <t xml:space="preserve">high mobility group protein HMGI-C </t>
  </si>
  <si>
    <t xml:space="preserve">high mobility group protein B2 </t>
  </si>
  <si>
    <t xml:space="preserve">high mobility group protein B3 </t>
  </si>
  <si>
    <t>hydroxymethylglutaryl-CoA lyase, mitochondrial precursor</t>
  </si>
  <si>
    <t xml:space="preserve">hydroxymethylglutaryl-CoA synthase, cytoplasmic </t>
  </si>
  <si>
    <t>hydroxymethylglutaryl-CoA synthase, mitochondrial precursor</t>
  </si>
  <si>
    <t xml:space="preserve">high mobility group nucleosome-binding domain-containing protein 3 isoform Hmgn3a </t>
  </si>
  <si>
    <t xml:space="preserve">high mobility group nucleosome-binding domain-containing protein 5 </t>
  </si>
  <si>
    <t xml:space="preserve">heme oxygenase 2 </t>
  </si>
  <si>
    <t>hematological and neurological expressed 1 protein</t>
  </si>
  <si>
    <t>hematological and neurological expressed 1-like protein</t>
  </si>
  <si>
    <t>heterogeneous nuclear ribonucleoprotein A0</t>
  </si>
  <si>
    <t>heterogeneous nuclear ribonucleoprotein A1 isoform a</t>
  </si>
  <si>
    <t>heterogeneous nuclear ribonucleoprotein A1 isoform b</t>
  </si>
  <si>
    <t>heterogeneous nuclear ribonucleoproteins A2/B1 isoform 1</t>
  </si>
  <si>
    <t>heterogeneous nuclear ribonucleoproteins A2/B1 isoform 2</t>
  </si>
  <si>
    <t>heterogeneous nuclear ribonucleoprotein A3 isoform c</t>
  </si>
  <si>
    <t>heterogeneous nuclear ribonucleoprotein A3 isoform a</t>
  </si>
  <si>
    <t>heterogeneous nuclear ribonucleoprotein A/B isoform 1</t>
  </si>
  <si>
    <t>heterogeneous nuclear ribonucleoprotein A/B isoform 2</t>
  </si>
  <si>
    <t>heterogeneous nuclear ribonucleoproteins C1/C2 isoform 2</t>
  </si>
  <si>
    <t>heterogeneous nuclear ribonucleoproteins C1/C2 isoform 3</t>
  </si>
  <si>
    <t>heterogeneous nuclear ribonucleoproteins C1/C2 isoform 4</t>
  </si>
  <si>
    <t>heterogeneous nuclear ribonucleoproteins C1/C2 isoform 1</t>
  </si>
  <si>
    <t>heterogeneous nuclear ribonucleoprotein D0 isoform a</t>
  </si>
  <si>
    <t>heterogeneous nuclear ribonucleoprotein D0 isoform c</t>
  </si>
  <si>
    <t>heterogeneous nuclear ribonucleoprotein D0 isoform d</t>
  </si>
  <si>
    <t>heterogeneous nuclear ribonucleoprotein D0 isoform b</t>
  </si>
  <si>
    <t>heterogeneous nuclear ribonucleoprotein D-like</t>
  </si>
  <si>
    <t>heterogeneous nuclear ribonucleoprotein F</t>
  </si>
  <si>
    <t>heterogeneous nuclear ribonucleoprotein H</t>
  </si>
  <si>
    <t>heterogeneous nuclear ribonucleoprotein H2</t>
  </si>
  <si>
    <t>heterogeneous nuclear ribonucleoprotein H3</t>
  </si>
  <si>
    <t>heterogeneous nuclear ribonucleoprotein K</t>
  </si>
  <si>
    <t>heterogeneous nuclear ribonucleoprotein L</t>
  </si>
  <si>
    <t>heterogeneous nuclear ribonucleoprotein L-like</t>
  </si>
  <si>
    <t>heterogeneous nuclear ribonucleoprotein M isoform b</t>
  </si>
  <si>
    <t>heterogeneous nuclear ribonucleoprotein M isoform a</t>
  </si>
  <si>
    <t>heterogeneous nuclear ribonucleoprotein R isoform b</t>
  </si>
  <si>
    <t>heterogeneous nuclear ribonucleoprotein R isoform a</t>
  </si>
  <si>
    <t>heterogeneous nuclear ribonucleoprotein U</t>
  </si>
  <si>
    <t>heterogeneous nuclear ribonucleoprotein U-like protein 1 isoform 2</t>
  </si>
  <si>
    <t>heterogeneous nuclear ribonucleoprotein U-like protein 1 isoform 1</t>
  </si>
  <si>
    <t>heterogeneous nuclear ribonucleoprotein U-like protein 2</t>
  </si>
  <si>
    <t xml:space="preserve">probable 4-hydroxy-2-oxoglutarate aldolase, mitochondrial precursor </t>
  </si>
  <si>
    <t>homer protein homolog 3 isoform 2</t>
  </si>
  <si>
    <t>homer protein homolog 3 isoform 1</t>
  </si>
  <si>
    <t>protein Hook homolog 1</t>
  </si>
  <si>
    <t>protein Hook homolog 2 isoform 1</t>
  </si>
  <si>
    <t>protein Hook homolog 2 isoform 2</t>
  </si>
  <si>
    <t>protein Hook homolog 3</t>
  </si>
  <si>
    <t xml:space="preserve">homeobox protein Hox-A5 </t>
  </si>
  <si>
    <t xml:space="preserve">homeobox protein Hox-B7 </t>
  </si>
  <si>
    <t xml:space="preserve">homeobox protein Hox-D8 </t>
  </si>
  <si>
    <t xml:space="preserve">heterochromatin protein 1-binding protein 3 isoform 4 </t>
  </si>
  <si>
    <t xml:space="preserve">heterochromatin protein 1-binding protein 3 isoform 5 </t>
  </si>
  <si>
    <t xml:space="preserve">heterochromatin protein 1-binding protein 3 isoform 3 </t>
  </si>
  <si>
    <t xml:space="preserve">heterochromatin protein 1-binding protein 3 isoform 1 </t>
  </si>
  <si>
    <t xml:space="preserve">heterochromatin protein 1-binding protein 3 isoform 2 </t>
  </si>
  <si>
    <t>neuron-specific calcium-binding protein hippocalcin</t>
  </si>
  <si>
    <t xml:space="preserve">hippocalcin-like protein 1 </t>
  </si>
  <si>
    <t>hypoxanthine-guanine phosphoribosyltransferase</t>
  </si>
  <si>
    <t xml:space="preserve">Hermansky-Pudlak syndrome 5 protein homolog isoform 1 </t>
  </si>
  <si>
    <t xml:space="preserve">Hermansky-Pudlak syndrome 5 protein homolog isoform 2 </t>
  </si>
  <si>
    <t>GTPase HRas isoform 1</t>
  </si>
  <si>
    <t>GTPase HRas isoform 2</t>
  </si>
  <si>
    <t>ribonuclease UK114</t>
  </si>
  <si>
    <t xml:space="preserve">HCLS1-binding protein 3 </t>
  </si>
  <si>
    <t>heparan sulfate 2-O-sulfotransferase 1</t>
  </si>
  <si>
    <t>heparan sulfate glucosamine 3-O-sulfotransferase 1 precursor</t>
  </si>
  <si>
    <t xml:space="preserve">heparan sulfate glucosamine 3-O-sulfotransferase 5 </t>
  </si>
  <si>
    <t xml:space="preserve">heat shock factor-binding protein 1 </t>
  </si>
  <si>
    <t xml:space="preserve">iron-sulfur cluster co-chaperone protein HscB, mitochondrial precursor </t>
  </si>
  <si>
    <t>corticosteroid 11-beta-dehydrogenase isozyme 2</t>
  </si>
  <si>
    <t xml:space="preserve">3-hydroxyacyl-CoA dehydrogenase type-2 </t>
  </si>
  <si>
    <t>estradiol 17-beta-dehydrogenase 11 precursor</t>
  </si>
  <si>
    <t xml:space="preserve">estradiol 17-beta-dehydrogenase 12 </t>
  </si>
  <si>
    <t>17-beta-hydroxysteroid dehydrogenase 13 isoform 2 precursor</t>
  </si>
  <si>
    <t>17-beta-hydroxysteroid dehydrogenase 13 isoform 1 precursor</t>
  </si>
  <si>
    <t xml:space="preserve">dehydrogenase/reductase (SDR family) member 10 </t>
  </si>
  <si>
    <t xml:space="preserve">peroxisomal multifunctional enzyme type 2 </t>
  </si>
  <si>
    <t>3-keto-steroid reductase</t>
  </si>
  <si>
    <t xml:space="preserve">inactive hydroxysteroid dehydrogenase-like protein 1 </t>
  </si>
  <si>
    <t>hydroxysteroid dehydrogenase-like protein 2</t>
  </si>
  <si>
    <t xml:space="preserve">heat shock protein HSP 90-alpha </t>
  </si>
  <si>
    <t xml:space="preserve">heat shock protein HSP 90-beta </t>
  </si>
  <si>
    <t>endoplasmin precursor</t>
  </si>
  <si>
    <t xml:space="preserve">heat shock 70 kDa protein 13 precursor </t>
  </si>
  <si>
    <t>heat shock 70 kDa protein 14 isoform 1</t>
  </si>
  <si>
    <t>heat shock 70 kDa protein 1A</t>
  </si>
  <si>
    <t>heat shock 70 kDa protein 1B</t>
  </si>
  <si>
    <t>heat shock 70 kDa protein 1-like</t>
  </si>
  <si>
    <t>heat shock-related 70 kDa protein 2</t>
  </si>
  <si>
    <t>heat shock 70 kDa protein 4</t>
  </si>
  <si>
    <t>heat shock 70 kDa protein 4L</t>
  </si>
  <si>
    <t xml:space="preserve">78 kDa glucose-regulated protein precursor </t>
  </si>
  <si>
    <t>heat shock cognate 71 kDa protein</t>
  </si>
  <si>
    <t xml:space="preserve">stress-70 protein, mitochondrial </t>
  </si>
  <si>
    <t>heat shock protein beta-1</t>
  </si>
  <si>
    <t>heat shock protein beta-11</t>
  </si>
  <si>
    <t xml:space="preserve">HSPB1-associated protein 1 </t>
  </si>
  <si>
    <t xml:space="preserve">hsp70-binding protein 1 </t>
  </si>
  <si>
    <t>60 kDa heat shock protein, mitochondrial</t>
  </si>
  <si>
    <t>10 kDa heat shock protein, mitochondrial</t>
  </si>
  <si>
    <t>basement membrane-specific heparan sulfate proteoglycan core protein precursor</t>
  </si>
  <si>
    <t xml:space="preserve">heat shock protein 105 kDa </t>
  </si>
  <si>
    <t xml:space="preserve">oxidoreductase HTATIP2 isoform a precursor </t>
  </si>
  <si>
    <t>oxidoreductase HTATIP2 isoform b</t>
  </si>
  <si>
    <t xml:space="preserve">HIV Tat-specific factor 1 homolog </t>
  </si>
  <si>
    <t xml:space="preserve">5-hydroxytryptamine receptor 6 </t>
  </si>
  <si>
    <t>serine protease HTRA1 precursor</t>
  </si>
  <si>
    <t>serine protease HTRA2, mitochondrial</t>
  </si>
  <si>
    <t xml:space="preserve">huntingtin </t>
  </si>
  <si>
    <t xml:space="preserve">checkpoint protein HUS1 </t>
  </si>
  <si>
    <t>E3 ubiquitin-protein ligase HUWE1</t>
  </si>
  <si>
    <t xml:space="preserve">hyaluronidase-4 </t>
  </si>
  <si>
    <t>hydrocephalus-inducing protein</t>
  </si>
  <si>
    <t xml:space="preserve">hypoxia up-regulated protein 1 precursor </t>
  </si>
  <si>
    <t xml:space="preserve">huntingtin-interacting protein K </t>
  </si>
  <si>
    <t>interferon-induced protein with tetratricopeptide repeats 3-like</t>
  </si>
  <si>
    <t xml:space="preserve">isoamyl acetate-hydrolyzing esterase 1 homolog </t>
  </si>
  <si>
    <t xml:space="preserve">isoleucine--tRNA ligase, cytoplasmic </t>
  </si>
  <si>
    <t>isoleucine--tRNA ligase, mitochondrial precursor</t>
  </si>
  <si>
    <t xml:space="preserve">inhibitor of Bruton tyrosine kinase </t>
  </si>
  <si>
    <t xml:space="preserve">serine/threonine-protein kinase ICK </t>
  </si>
  <si>
    <t xml:space="preserve">ICOS ligand precursor </t>
  </si>
  <si>
    <t>peptidyl-tRNA hydrolase ICT1, mitochondrial</t>
  </si>
  <si>
    <t>insulin-degrading enzyme</t>
  </si>
  <si>
    <t>isocitrate dehydrogenase [NADP] cytoplasmic</t>
  </si>
  <si>
    <t xml:space="preserve">isocitrate dehydrogenase [NADP], mitochondrial precursor </t>
  </si>
  <si>
    <t xml:space="preserve">isocitrate dehydrogenase [NAD] subunit alpha, mitochondrial precursor </t>
  </si>
  <si>
    <t xml:space="preserve">isocitrate dehydrogenase 3, beta subunit </t>
  </si>
  <si>
    <t>isocitrate dehydrogenase [NAD] subunit gamma 1, mitochondrial precursor</t>
  </si>
  <si>
    <t xml:space="preserve">isopentenyl-diphosphate Delta-isomerase 1 </t>
  </si>
  <si>
    <t xml:space="preserve">indoleamine 2,3-dioxygenase 2 </t>
  </si>
  <si>
    <t xml:space="preserve">immediate early response 3-interacting protein 1 precursor </t>
  </si>
  <si>
    <t xml:space="preserve">interferon-activable protein 204 </t>
  </si>
  <si>
    <t xml:space="preserve">gamma-interferon-inducible lysosomal thiol reductase precursor </t>
  </si>
  <si>
    <t xml:space="preserve">interferon-induced 35 kDa protein homolog </t>
  </si>
  <si>
    <t xml:space="preserve">interferon gamma inducible protein 47 </t>
  </si>
  <si>
    <t>interferon-induced helicase C domain-containing protein 1 isoform 1</t>
  </si>
  <si>
    <t>interferon-induced helicase C domain-containing protein 1 isoform 2</t>
  </si>
  <si>
    <t>interferon-induced protein with tetratricopeptide repeats 1</t>
  </si>
  <si>
    <t>interferon-induced protein with tetratricopeptide repeats 2</t>
  </si>
  <si>
    <t>interferon-induced protein with tetratricopeptide repeats 3</t>
  </si>
  <si>
    <t>interferon-induced transmembrane protein 2</t>
  </si>
  <si>
    <t>interferon-induced transmembrane protein 3</t>
  </si>
  <si>
    <t>interferon-related developmental regulator 1</t>
  </si>
  <si>
    <t xml:space="preserve">intraflagellar transport protein 122 homolog isoform 1 </t>
  </si>
  <si>
    <t xml:space="preserve">intraflagellar transport protein 122 homolog isoform 2 </t>
  </si>
  <si>
    <t xml:space="preserve">intraflagellar transport 140 </t>
  </si>
  <si>
    <t xml:space="preserve">intraflagellar transport protein 172 homolog </t>
  </si>
  <si>
    <t xml:space="preserve">intraflagellar transport protein 20 homolog </t>
  </si>
  <si>
    <t xml:space="preserve">intraflagellar transport protein 27 homolog </t>
  </si>
  <si>
    <t xml:space="preserve">intraflagellar transport protein 52 homolog </t>
  </si>
  <si>
    <t xml:space="preserve">intraflagellar transport protein 80 homolog </t>
  </si>
  <si>
    <t xml:space="preserve">intraflagellar transport protein 81 homolog </t>
  </si>
  <si>
    <t xml:space="preserve">immunoglobulin-binding protein 1 </t>
  </si>
  <si>
    <t xml:space="preserve">immunoglobulin-binding protein 1b </t>
  </si>
  <si>
    <t>insulin-like growth factor 1 receptor precursor</t>
  </si>
  <si>
    <t xml:space="preserve">insulin-like growth factor 2 mRNA-binding protein 1 </t>
  </si>
  <si>
    <t xml:space="preserve">insulin-like growth factor 2 mRNA-binding protein 2 </t>
  </si>
  <si>
    <t xml:space="preserve">insulin-like growth factor 2 mRNA-binding protein 3 </t>
  </si>
  <si>
    <t>cation-independent mannose-6-phosphate receptor precursor</t>
  </si>
  <si>
    <t>insulin-like growth factor-binding protein 7 isoform 2 precursor</t>
  </si>
  <si>
    <t>insulin-like growth factor-binding protein 7 isoform 1 precursor</t>
  </si>
  <si>
    <t xml:space="preserve">DNA-binding protein SMUBP-2 </t>
  </si>
  <si>
    <t xml:space="preserve">immunoglobulin superfamily member 1 isoform 3 precursor </t>
  </si>
  <si>
    <t xml:space="preserve">immunoglobulin superfamily member 1 isoform short precursor </t>
  </si>
  <si>
    <t xml:space="preserve">immunoglobulin superfamily member 1 isoform long precursor </t>
  </si>
  <si>
    <t>interferon gamma induced GTPase</t>
  </si>
  <si>
    <t>elongator complex protein 1</t>
  </si>
  <si>
    <t>inhibitor of nuclear factor kappa-B kinase subunit beta isoform 1</t>
  </si>
  <si>
    <t>inhibitor of nuclear factor kappa-B kinase subunit beta isoform 2</t>
  </si>
  <si>
    <t xml:space="preserve">NF-kappa-B essential modulator isoform 3 </t>
  </si>
  <si>
    <t xml:space="preserve">NF-kappa-B essential modulator isoform 4 </t>
  </si>
  <si>
    <t xml:space="preserve">NF-kappa-B essential modulator isoform 5 </t>
  </si>
  <si>
    <t xml:space="preserve">NF-kappa-B essential modulator isoform 1 </t>
  </si>
  <si>
    <t xml:space="preserve">NF-kappa-B essential modulator isoform 2 </t>
  </si>
  <si>
    <t xml:space="preserve">interleukin-10 receptor subunit beta precursor </t>
  </si>
  <si>
    <t xml:space="preserve">interleukin-18 receptor accessory protein precursor </t>
  </si>
  <si>
    <t>interleukin-1 receptor antagonist protein isoform 1</t>
  </si>
  <si>
    <t>interleukin-1 receptor antagonist protein isoform 3</t>
  </si>
  <si>
    <t xml:space="preserve">interleukin-1 receptor antagonist protein isoform 2 precursor </t>
  </si>
  <si>
    <t>interleukin enhancer-binding factor 2</t>
  </si>
  <si>
    <t>interleukin enhancer-binding factor 3 isoform 1</t>
  </si>
  <si>
    <t>interleukin enhancer-binding factor 3 isoform 5</t>
  </si>
  <si>
    <t>interleukin enhancer-binding factor 3 isoform 2</t>
  </si>
  <si>
    <t>interleukin enhancer-binding factor 3 isoform 3</t>
  </si>
  <si>
    <t>interleukin enhancer-binding factor 3 isoform 4</t>
  </si>
  <si>
    <t xml:space="preserve">integrin-linked protein kinase </t>
  </si>
  <si>
    <t xml:space="preserve">integrin-linked kinase-associated serine/threonine phosphatase 2C </t>
  </si>
  <si>
    <t xml:space="preserve">acetolactate synthase-like protein </t>
  </si>
  <si>
    <t>mitochondrial inner membrane protein isoform 2</t>
  </si>
  <si>
    <t>mitochondrial inner membrane protein isoform 3</t>
  </si>
  <si>
    <t>mitochondrial inner membrane protein isoform 4</t>
  </si>
  <si>
    <t>mitochondrial inner membrane protein isoform 5</t>
  </si>
  <si>
    <t>mitochondrial inner membrane protein isoform 6</t>
  </si>
  <si>
    <t>mitochondrial inner membrane protein isoform 1</t>
  </si>
  <si>
    <t>U3 small nucleolar ribonucleoprotein protein IMP3</t>
  </si>
  <si>
    <t xml:space="preserve">inositol monophosphatase 1 </t>
  </si>
  <si>
    <t xml:space="preserve">inositol monophosphatase 2 </t>
  </si>
  <si>
    <t xml:space="preserve">inositol monophosphatase 3 </t>
  </si>
  <si>
    <t xml:space="preserve">inosine-5'-monophosphate dehydrogenase 1 </t>
  </si>
  <si>
    <t xml:space="preserve">inosine-5'-monophosphate dehydrogenase 2 </t>
  </si>
  <si>
    <t>inaD-like protein isoform 4</t>
  </si>
  <si>
    <t>inaD-like protein isoform 2</t>
  </si>
  <si>
    <t>inaD-like protein isoform 3</t>
  </si>
  <si>
    <t>inaD-like protein isoform 1</t>
  </si>
  <si>
    <t>inverted formin-2</t>
  </si>
  <si>
    <t>indolethylamine N-methyltransferase</t>
  </si>
  <si>
    <t xml:space="preserve">inositol polyphosphate 1-phosphatase </t>
  </si>
  <si>
    <t>phosphatidylinositol 3,4,5-trisphosphate 5-phosphatase 1 isoform 1</t>
  </si>
  <si>
    <t>phosphatidylinositol 3,4,5-trisphosphate 5-phosphatase 1 isoform 2</t>
  </si>
  <si>
    <t>phosphatidylinositol 3,4,5-trisphosphate 5-phosphatase 1 isoform 3</t>
  </si>
  <si>
    <t>phosphatidylinositol 3,4,5-trisphosphate 5-phosphatase 2</t>
  </si>
  <si>
    <t xml:space="preserve">insulin receptor precursor </t>
  </si>
  <si>
    <t>insulin receptor-related protein precursor</t>
  </si>
  <si>
    <t>integrator complex subunit 1</t>
  </si>
  <si>
    <t>integrator complex subunit 12</t>
  </si>
  <si>
    <t>integrator complex subunit 3</t>
  </si>
  <si>
    <t>integrator complex subunit 4</t>
  </si>
  <si>
    <t>integrator complex subunit 5</t>
  </si>
  <si>
    <t>integrator complex subunit 7</t>
  </si>
  <si>
    <t>integrator complex subunit 9 isoform 1</t>
  </si>
  <si>
    <t>integrator complex subunit 9 isoform 2</t>
  </si>
  <si>
    <t xml:space="preserve">inversin </t>
  </si>
  <si>
    <t xml:space="preserve">importin-11 </t>
  </si>
  <si>
    <t xml:space="preserve">importin-4 </t>
  </si>
  <si>
    <t xml:space="preserve">importin-5 </t>
  </si>
  <si>
    <t xml:space="preserve">importin-7 </t>
  </si>
  <si>
    <t xml:space="preserve">importin-8 </t>
  </si>
  <si>
    <t xml:space="preserve">importin-9 </t>
  </si>
  <si>
    <t>ras GTPase-activating-like protein IQGAP1</t>
  </si>
  <si>
    <t>ras GTPase-activating-like protein IQGAP2</t>
  </si>
  <si>
    <t xml:space="preserve">IQ motif containing GTPase activating protein 3 </t>
  </si>
  <si>
    <t>interleukin-1 receptor-associated kinase 4</t>
  </si>
  <si>
    <t>iron-responsive element-binding protein 2</t>
  </si>
  <si>
    <t>interferon regulatory factor 2-binding protein 1</t>
  </si>
  <si>
    <t>interferon regulatory factor 2-binding protein 2</t>
  </si>
  <si>
    <t xml:space="preserve">interferon regulatory factor 2-binding protein-like </t>
  </si>
  <si>
    <t>interferon regulatory factor 3</t>
  </si>
  <si>
    <t>interferon regulatory factor 6</t>
  </si>
  <si>
    <t xml:space="preserve">interferon-inducible GTPase 5 </t>
  </si>
  <si>
    <t>immunity-related GTPase family M protein 1</t>
  </si>
  <si>
    <t xml:space="preserve">immunity-related GTPase family Q protein </t>
  </si>
  <si>
    <t xml:space="preserve">iron-sulfur cluster assembly 1 homolog, mitochondrial precursor </t>
  </si>
  <si>
    <t xml:space="preserve">iron-sulfur cluster assembly 2 homolog, mitochondrial precursor </t>
  </si>
  <si>
    <t xml:space="preserve">iron-sulfur cluster assembly enzyme ISCU, mitochondrial precursor </t>
  </si>
  <si>
    <t>ubiquitin-like protein ISG15 precursor</t>
  </si>
  <si>
    <t xml:space="preserve">interferon-stimulated gene 20 kDa protein </t>
  </si>
  <si>
    <t xml:space="preserve">interferon-stimulated 20 kDa exonuclease-like 2 </t>
  </si>
  <si>
    <t>isochorismatase domain-containing protein 1</t>
  </si>
  <si>
    <t>isochorismatase domain-containing protein 2A, mitochondrial precursor</t>
  </si>
  <si>
    <t>IST1 homolog</t>
  </si>
  <si>
    <t>pre-mRNA-splicing factor ISY1 homolog</t>
  </si>
  <si>
    <t xml:space="preserve">inositol-3-phosphate synthase 1 </t>
  </si>
  <si>
    <t>E3 ubiquitin-protein ligase Itchy</t>
  </si>
  <si>
    <t>T-cell immunomodulatory protein precursor</t>
  </si>
  <si>
    <t xml:space="preserve">integrin-alpha FG-GAP repeat-containing protein 2 </t>
  </si>
  <si>
    <t>protein ITFG3</t>
  </si>
  <si>
    <t xml:space="preserve">integrin alpha-1 precursor </t>
  </si>
  <si>
    <t xml:space="preserve">integrin alpha-2 precursor </t>
  </si>
  <si>
    <t xml:space="preserve">integrin alpha-3 precursor </t>
  </si>
  <si>
    <t xml:space="preserve">integrin alpha-5 preproprotein </t>
  </si>
  <si>
    <t xml:space="preserve">integrin alpha-6 isoform 2 precursor </t>
  </si>
  <si>
    <t xml:space="preserve">integrin alpha-6 isoform 1 precursor </t>
  </si>
  <si>
    <t>integrin alpha-D</t>
  </si>
  <si>
    <t xml:space="preserve">integrin alpha-V precursor </t>
  </si>
  <si>
    <t xml:space="preserve">integrin beta-1 precursor </t>
  </si>
  <si>
    <t>integrin beta-1-binding protein 1</t>
  </si>
  <si>
    <t xml:space="preserve">integrin beta-2 precursor </t>
  </si>
  <si>
    <t xml:space="preserve">integrin beta-4 isoform 1 precursor </t>
  </si>
  <si>
    <t xml:space="preserve">integrin beta-4 isoform 2 precursor </t>
  </si>
  <si>
    <t xml:space="preserve">integrin beta-5 isoform 2 precursor </t>
  </si>
  <si>
    <t xml:space="preserve">integrin beta-5 isoform 1 precursor </t>
  </si>
  <si>
    <t xml:space="preserve">integrin beta-6 precursor </t>
  </si>
  <si>
    <t xml:space="preserve">integrin beta-7 precursor </t>
  </si>
  <si>
    <t>integral membrane protein 2B</t>
  </si>
  <si>
    <t>integral membrane protein 2C</t>
  </si>
  <si>
    <t xml:space="preserve">inosine triphosphate pyrophosphatase </t>
  </si>
  <si>
    <t>inositol-tetrakisphosphate 1-kinase</t>
  </si>
  <si>
    <t xml:space="preserve">inositol 1,4,5-trisphosphate receptor type 1 </t>
  </si>
  <si>
    <t xml:space="preserve">inositol 1,4,5-trisphosphate receptor type 2 isoform 2 </t>
  </si>
  <si>
    <t xml:space="preserve">inositol 1,4,5-trisphosphate receptor type 2 isoform 1 </t>
  </si>
  <si>
    <t xml:space="preserve">inositol 1,4,5-trisphosphate receptor type 3 </t>
  </si>
  <si>
    <t xml:space="preserve">intersectin-1 isoform 2 </t>
  </si>
  <si>
    <t xml:space="preserve">intersectin-1 isoform 3 </t>
  </si>
  <si>
    <t xml:space="preserve">intersectin-1 isoform 1 </t>
  </si>
  <si>
    <t xml:space="preserve">intersectin-2 isoform 3 </t>
  </si>
  <si>
    <t xml:space="preserve">intersectin-2 isoform 1 </t>
  </si>
  <si>
    <t xml:space="preserve">intersectin-2 isoform 2 </t>
  </si>
  <si>
    <t>isovaleryl-CoA dehydrogenase, mitochondrial precursor</t>
  </si>
  <si>
    <t xml:space="preserve">involucrin </t>
  </si>
  <si>
    <t xml:space="preserve">influenza virus NS1A-binding protein homolog isoform 2 </t>
  </si>
  <si>
    <t xml:space="preserve">influenza virus NS1A-binding protein homolog isoform 1 </t>
  </si>
  <si>
    <t xml:space="preserve">influenza virus NS1A-binding protein homolog isoform 3 </t>
  </si>
  <si>
    <t xml:space="preserve">protein IWS1 homolog </t>
  </si>
  <si>
    <t>protein jagunal homolog 1 isoform 3</t>
  </si>
  <si>
    <t>protein jagunal homolog 1 isoform 1</t>
  </si>
  <si>
    <t>protein jagunal homolog 1 isoform 2</t>
  </si>
  <si>
    <t xml:space="preserve">tyrosine-protein kinase JAK1 </t>
  </si>
  <si>
    <t xml:space="preserve">tyrosine-protein kinase JAK2 </t>
  </si>
  <si>
    <t>janus kinase and microtubule-interacting protein 3</t>
  </si>
  <si>
    <t>protein Jumonji</t>
  </si>
  <si>
    <t xml:space="preserve">probable JmjC domain-containing histone demethylation protein 2C isoform 1 </t>
  </si>
  <si>
    <t xml:space="preserve">probable JmjC domain-containing histone demethylation protein 2C isoform 2 </t>
  </si>
  <si>
    <t>jmjC domain-containing protein 7</t>
  </si>
  <si>
    <t xml:space="preserve">Josephin-2 </t>
  </si>
  <si>
    <t xml:space="preserve">protein JTB precursor </t>
  </si>
  <si>
    <t xml:space="preserve">transcription factor jun-D </t>
  </si>
  <si>
    <t>junction plakoglobin</t>
  </si>
  <si>
    <t xml:space="preserve">kalirin isoform 2 </t>
  </si>
  <si>
    <t xml:space="preserve">kalirin isoform 1 </t>
  </si>
  <si>
    <t>KN motif and ankyrin repeat domain-containing protein 1</t>
  </si>
  <si>
    <t>lysine--tRNA ligase isoform 2</t>
  </si>
  <si>
    <t>lysine--tRNA ligase isoform 1</t>
  </si>
  <si>
    <t xml:space="preserve">histone acetyltransferase KAT6A </t>
  </si>
  <si>
    <t>katanin p60 ATPase-containing subunit A-like 2</t>
  </si>
  <si>
    <t>katanin p80 WD40 repeat-containing subunit B1</t>
  </si>
  <si>
    <t>kelch repeat and BTB (POZ) domain containing 2</t>
  </si>
  <si>
    <t xml:space="preserve">kelch repeat and BTB domain-containing protein 3 </t>
  </si>
  <si>
    <t>E3 ubiquitin-protein ligase KCMF1</t>
  </si>
  <si>
    <t xml:space="preserve">voltage-gated potassium channel subunit beta-2 isoform 2 </t>
  </si>
  <si>
    <t xml:space="preserve">voltage-gated potassium channel subunit beta-2 isoform 1 </t>
  </si>
  <si>
    <t xml:space="preserve">potassium voltage-gated channel subfamily G member 4 </t>
  </si>
  <si>
    <t>potassium channel subfamily K member 12</t>
  </si>
  <si>
    <t xml:space="preserve">BTB/POZ domain-containing adapter for CUL3-mediated RhoA degradation protein 1 </t>
  </si>
  <si>
    <t>BTB/POZ domain-containing protein KCTD7</t>
  </si>
  <si>
    <t xml:space="preserve">KDEL motif-containing protein 1 precursor </t>
  </si>
  <si>
    <t>KDEL (Lys-Asp-Glu-Leu) containing 2 protein precursor</t>
  </si>
  <si>
    <t>ER lumen protein retaining receptor 1</t>
  </si>
  <si>
    <t>ER lumen protein retaining receptor 2</t>
  </si>
  <si>
    <t>lysine-specific histone demethylase 1A</t>
  </si>
  <si>
    <t>lysine-specific histone demethylase 1B</t>
  </si>
  <si>
    <t xml:space="preserve">lysine-specific demethylase 3B </t>
  </si>
  <si>
    <t xml:space="preserve">lysine-specific demethylase 5C </t>
  </si>
  <si>
    <t xml:space="preserve">vascular endothelial growth factor receptor 2 precursor </t>
  </si>
  <si>
    <t xml:space="preserve">3-ketodihydrosphingosine reductase precursor </t>
  </si>
  <si>
    <t>kelch-like ECH-associated protein 1</t>
  </si>
  <si>
    <t xml:space="preserve">KH domain-containing, RNA-binding, signal transduction-associated protein 1 </t>
  </si>
  <si>
    <t xml:space="preserve">KH domain-containing, RNA-binding, signal transduction-associated protein 2 </t>
  </si>
  <si>
    <t xml:space="preserve">KH domain-containing, RNA-binding, signal transduction-associated protein 3 </t>
  </si>
  <si>
    <t xml:space="preserve">ketohexokinase </t>
  </si>
  <si>
    <t xml:space="preserve">far upstream element-binding protein 2 </t>
  </si>
  <si>
    <t>kinase D-interacting substrate of 220 kDa</t>
  </si>
  <si>
    <t xml:space="preserve">kinesin-like protein KIF11 </t>
  </si>
  <si>
    <t xml:space="preserve">kinesin-like protein KIF13A </t>
  </si>
  <si>
    <t xml:space="preserve">kinesin-like protein KIF13B </t>
  </si>
  <si>
    <t xml:space="preserve">kinesin-like protein KIF14 </t>
  </si>
  <si>
    <t xml:space="preserve">kinesin-like protein KIF15 </t>
  </si>
  <si>
    <t xml:space="preserve">kinesin-like protein KIF16B </t>
  </si>
  <si>
    <t xml:space="preserve">kinesin-like protein KIF17 isoform 1 </t>
  </si>
  <si>
    <t xml:space="preserve">kinesin-like protein KIF17 isoform 2 </t>
  </si>
  <si>
    <t xml:space="preserve">kinesin-like protein KIF1A isoform b </t>
  </si>
  <si>
    <t xml:space="preserve">kinesin-like protein KIF1A isoform a </t>
  </si>
  <si>
    <t xml:space="preserve">kinesin-like protein KIF1B isoform a </t>
  </si>
  <si>
    <t xml:space="preserve">kinesin-like protein KIF1B isoform b </t>
  </si>
  <si>
    <t xml:space="preserve">kinesin-like protein KIF1C </t>
  </si>
  <si>
    <t xml:space="preserve">kinesin-like protein KIF21A isoform 3 </t>
  </si>
  <si>
    <t xml:space="preserve">kinesin-like protein KIF21A isoform 1 </t>
  </si>
  <si>
    <t xml:space="preserve">kinesin-like protein KIF21A isoform 2 </t>
  </si>
  <si>
    <t xml:space="preserve">kinesin-like protein KIF21A isoform 4 </t>
  </si>
  <si>
    <t xml:space="preserve">kinesin-like protein KIF22 </t>
  </si>
  <si>
    <t xml:space="preserve">kinesin-like protein KIF27 </t>
  </si>
  <si>
    <t xml:space="preserve">kinesin-like protein KIF2A isoform 1 </t>
  </si>
  <si>
    <t xml:space="preserve">kinesin-like protein KIF2A isoform 2 </t>
  </si>
  <si>
    <t xml:space="preserve">kinesin-like protein KIF2B </t>
  </si>
  <si>
    <t xml:space="preserve">kinesin-like protein KIF3A </t>
  </si>
  <si>
    <t xml:space="preserve">kinesin-like protein KIF3B </t>
  </si>
  <si>
    <t xml:space="preserve">kinesin-like protein KIF3C </t>
  </si>
  <si>
    <t xml:space="preserve">kinesin heavy chain isoform 5A </t>
  </si>
  <si>
    <t xml:space="preserve">kinesin-1 heavy chain </t>
  </si>
  <si>
    <t xml:space="preserve">kinesin heavy chain isoform 5C </t>
  </si>
  <si>
    <t xml:space="preserve">kinesin-like protein KIF9 isoform 2 </t>
  </si>
  <si>
    <t xml:space="preserve">kinesin-like protein KIF9 isoform 1 </t>
  </si>
  <si>
    <t xml:space="preserve">kinesin-like protein KIFC3 isoform a </t>
  </si>
  <si>
    <t xml:space="preserve">kinesin-like protein KIFC3 isoform b </t>
  </si>
  <si>
    <t xml:space="preserve">kinesin-like protein KIFC3 isoform c </t>
  </si>
  <si>
    <t xml:space="preserve">DNA/RNA-binding protein KIN17 </t>
  </si>
  <si>
    <t>kin of IRRE-like protein 1 precursor</t>
  </si>
  <si>
    <t>mast/stem cell growth factor receptor Kit isoform 2</t>
  </si>
  <si>
    <t>mast/stem cell growth factor receptor Kit isoform 1</t>
  </si>
  <si>
    <t>klotho precursor</t>
  </si>
  <si>
    <t>kinesin light chain 1 isoform 1D</t>
  </si>
  <si>
    <t>kinesin light chain 1 isoform 1A</t>
  </si>
  <si>
    <t>kinesin light chain 1 isoform 1H</t>
  </si>
  <si>
    <t>kinesin light chain 2</t>
  </si>
  <si>
    <t>kinesin light chain 3</t>
  </si>
  <si>
    <t>kinesin light chain 4</t>
  </si>
  <si>
    <t>kelch domain-containing protein 10</t>
  </si>
  <si>
    <t>kelch domain-containing protein 2</t>
  </si>
  <si>
    <t>kelch domain-containing protein 4</t>
  </si>
  <si>
    <t>kelch domain containing 7B</t>
  </si>
  <si>
    <t>kelch-like 15 isoform a</t>
  </si>
  <si>
    <t xml:space="preserve">kelch-like protein 22 </t>
  </si>
  <si>
    <t xml:space="preserve">kinetochore-associated protein 1 </t>
  </si>
  <si>
    <t xml:space="preserve">importin subunit alpha-1 </t>
  </si>
  <si>
    <t xml:space="preserve">importin subunit alpha-3 </t>
  </si>
  <si>
    <t xml:space="preserve">importin subunit alpha-7 </t>
  </si>
  <si>
    <t xml:space="preserve">importin subunit beta-1 </t>
  </si>
  <si>
    <t xml:space="preserve">kaptin </t>
  </si>
  <si>
    <t>GTPase KRas</t>
  </si>
  <si>
    <t xml:space="preserve">krev interaction trapped protein 1 isoform 2 </t>
  </si>
  <si>
    <t xml:space="preserve">krev interaction trapped protein 1 isoform 1 </t>
  </si>
  <si>
    <t>KRR1 small subunit processome component homolog</t>
  </si>
  <si>
    <t xml:space="preserve">protein KTI12 homolog </t>
  </si>
  <si>
    <t xml:space="preserve">kinectin </t>
  </si>
  <si>
    <t>neural cell adhesion molecule L1 precursor</t>
  </si>
  <si>
    <t>L-2-hydroxyglutarate dehydrogenase, mitochondrial precursor</t>
  </si>
  <si>
    <t>protein Hikeshi</t>
  </si>
  <si>
    <t>lactation elevated protein 1</t>
  </si>
  <si>
    <t>serine beta-lactamase-like protein LACTB, mitochondrial precursor</t>
  </si>
  <si>
    <t xml:space="preserve">beta-lactamase-like protein 2 </t>
  </si>
  <si>
    <t xml:space="preserve">ladinin-1 </t>
  </si>
  <si>
    <t xml:space="preserve">L antigen family member 3 </t>
  </si>
  <si>
    <t>laminin subunit alpha-5 precursor</t>
  </si>
  <si>
    <t xml:space="preserve">laminin subunit beta-1 </t>
  </si>
  <si>
    <t>laminin subunit beta-2 precursor</t>
  </si>
  <si>
    <t>laminin subunit gamma-1 precursor</t>
  </si>
  <si>
    <t>laminin subunit gamma-2 precursor</t>
  </si>
  <si>
    <t xml:space="preserve">lysosome-associated membrane glycoprotein 1 precursor </t>
  </si>
  <si>
    <t>lysosome-associated membrane glycoprotein 2 isoform 2</t>
  </si>
  <si>
    <t xml:space="preserve">lysosome-associated membrane glycoprotein 2 isoform 1 precursor </t>
  </si>
  <si>
    <t>ragulator complex protein LAMTOR1</t>
  </si>
  <si>
    <t>ragulator complex protein LAMTOR2</t>
  </si>
  <si>
    <t>ragulator complex protein LAMTOR3</t>
  </si>
  <si>
    <t>hepatitis B virus X-interacting protein homolog</t>
  </si>
  <si>
    <t xml:space="preserve">lanC-like protein 1 </t>
  </si>
  <si>
    <t xml:space="preserve">lanC-like protein 2 </t>
  </si>
  <si>
    <t>cytosol aminopeptidase</t>
  </si>
  <si>
    <t>lysosomal-associated transmembrane protein 4A</t>
  </si>
  <si>
    <t xml:space="preserve">la-related protein 1 </t>
  </si>
  <si>
    <t xml:space="preserve">la-related protein 4 isoform 2 </t>
  </si>
  <si>
    <t xml:space="preserve">la-related protein 4 isoform 1 </t>
  </si>
  <si>
    <t xml:space="preserve">la-related protein 4B </t>
  </si>
  <si>
    <t xml:space="preserve">la-related protein 7 </t>
  </si>
  <si>
    <t xml:space="preserve">leucine--tRNA ligase, cytoplasmic </t>
  </si>
  <si>
    <t>probable leucine--tRNA ligase, mitochondrial</t>
  </si>
  <si>
    <t xml:space="preserve">PREDICTED: ribosomal biogenesis protein LAS1L </t>
  </si>
  <si>
    <t>ribosomal biogenesis protein LAS1L</t>
  </si>
  <si>
    <t>LIM and SH3 domain protein 1</t>
  </si>
  <si>
    <t>lamin-B receptor</t>
  </si>
  <si>
    <t>proto-oncogene tyrosine-protein kinase LCK isoform a</t>
  </si>
  <si>
    <t>proto-oncogene tyrosine-protein kinase LCK isoform b</t>
  </si>
  <si>
    <t xml:space="preserve">lysocardiolipin acyltransferase 1 </t>
  </si>
  <si>
    <t>leucine carboxyl methyltransferase 1</t>
  </si>
  <si>
    <t>neutrophil gelatinase-associated lipocalin precursor</t>
  </si>
  <si>
    <t xml:space="preserve">plastin-2 </t>
  </si>
  <si>
    <t>L-lactate dehydrogenase A chain isoform 2</t>
  </si>
  <si>
    <t>L-lactate dehydrogenase A chain isoform 1</t>
  </si>
  <si>
    <t>L-lactate dehydrogenase A-like 6B</t>
  </si>
  <si>
    <t>L-lactate dehydrogenase B chain</t>
  </si>
  <si>
    <t>L-lactate dehydrogenase C chain</t>
  </si>
  <si>
    <t>probable D-lactate dehydrogenase, mitochondrial</t>
  </si>
  <si>
    <t>low-density lipoprotein receptor isoform 1 precursor</t>
  </si>
  <si>
    <t xml:space="preserve">low-density lipoprotein receptor isoform 2 </t>
  </si>
  <si>
    <t xml:space="preserve">low-density lipoprotein receptor isoform 3 presursor precursor </t>
  </si>
  <si>
    <t xml:space="preserve">low density lipoprotein receptor adapter protein 1 </t>
  </si>
  <si>
    <t>leukocyte cell-derived chemotaxin 1</t>
  </si>
  <si>
    <t xml:space="preserve">inner nuclear membrane protein Man1 </t>
  </si>
  <si>
    <t>RNA polymerase-associated protein LEO1</t>
  </si>
  <si>
    <t>leptin receptor gene-related protein</t>
  </si>
  <si>
    <t xml:space="preserve">leptin receptor overlapping transcript-like 1 </t>
  </si>
  <si>
    <t>LETM1 and EF-hand domain-containing protein 1, mitochondrial precursor</t>
  </si>
  <si>
    <t xml:space="preserve">galectin-1 </t>
  </si>
  <si>
    <t xml:space="preserve">galectin-12 </t>
  </si>
  <si>
    <t xml:space="preserve">galectin-3 </t>
  </si>
  <si>
    <t xml:space="preserve">galectin-8 </t>
  </si>
  <si>
    <t xml:space="preserve">galectin-9 isoform 1 </t>
  </si>
  <si>
    <t xml:space="preserve">galectin-9 isoform 2 </t>
  </si>
  <si>
    <t xml:space="preserve">galectin-related protein A </t>
  </si>
  <si>
    <t>legumain precursor</t>
  </si>
  <si>
    <t>lipoyl synthase, mitochondrial precursor</t>
  </si>
  <si>
    <t xml:space="preserve">DNA ligase 1 </t>
  </si>
  <si>
    <t>LIM domain and actin-binding protein 1 isoform b</t>
  </si>
  <si>
    <t>LIM domain and actin-binding protein 1 isoform a</t>
  </si>
  <si>
    <t>LIM domain-containing protein 1</t>
  </si>
  <si>
    <t>LIM domain kinase 2 isoform a</t>
  </si>
  <si>
    <t>LIM domain kinase 2 isoform b</t>
  </si>
  <si>
    <t>LIM domain kinase 2 isoform c</t>
  </si>
  <si>
    <t>LIM and senescent cell antigen-like-containing domain protein 1 isoform 2</t>
  </si>
  <si>
    <t>LIM and senescent cell antigen-like-containing domain protein 1 isoform 3</t>
  </si>
  <si>
    <t>LIM and senescent cell antigen-like-containing domain protein 1 isoform 1</t>
  </si>
  <si>
    <t>LIM and senescent cell antigen-like-containing domain protein 2</t>
  </si>
  <si>
    <t>protein lin-7 homolog A isoform 2</t>
  </si>
  <si>
    <t>protein lin-7 homolog A isoform 1</t>
  </si>
  <si>
    <t>protein lin-7 homolog B</t>
  </si>
  <si>
    <t>protein lin-7 homolog C</t>
  </si>
  <si>
    <t>lysosomal acid lipase/cholesteryl ester hydrolase precursor</t>
  </si>
  <si>
    <t>hormone-sensitive lipase isoform 1</t>
  </si>
  <si>
    <t>hormone-sensitive lipase isoform 2</t>
  </si>
  <si>
    <t>lethal(2) giant larvae protein homolog 1 isoform 3</t>
  </si>
  <si>
    <t>lethal(2) giant larvae protein homolog 1 isoform 1</t>
  </si>
  <si>
    <t>lethal(2) giant larvae protein homolog 1 isoform 2</t>
  </si>
  <si>
    <t>lethal(2) giant larvae protein homolog 2 isoform 1</t>
  </si>
  <si>
    <t>lethal(2) giant larvae protein homolog 2 isoform 2</t>
  </si>
  <si>
    <t xml:space="preserve">protein LLP homolog </t>
  </si>
  <si>
    <t xml:space="preserve">protein ERGIC-53 precursor </t>
  </si>
  <si>
    <t xml:space="preserve">vesicular integral-membrane protein VIP36 precursor </t>
  </si>
  <si>
    <t xml:space="preserve">VIP36-like protein precursor </t>
  </si>
  <si>
    <t>probable lysosomal cobalamin transporter</t>
  </si>
  <si>
    <t>lipase maturation factor 1</t>
  </si>
  <si>
    <t>lipase maturation factor 2</t>
  </si>
  <si>
    <t xml:space="preserve">prelamin-A/C isoform C2 </t>
  </si>
  <si>
    <t xml:space="preserve">prelamin-A/C isoform C </t>
  </si>
  <si>
    <t>prelamin-A/C isoform A precursor</t>
  </si>
  <si>
    <t xml:space="preserve">lamin-B1 </t>
  </si>
  <si>
    <t xml:space="preserve">lamin-B2 </t>
  </si>
  <si>
    <t>LIM domain only 7</t>
  </si>
  <si>
    <t>serine/threonine-protein kinase LMTK2 precursor</t>
  </si>
  <si>
    <t>leucyl-cystinyl aminopeptidase</t>
  </si>
  <si>
    <t>PREDICTED: UDP-glucose:glycoprotein glucosyltransferase 1-like</t>
  </si>
  <si>
    <t xml:space="preserve">PREDICTED: non-histone chromosomal protein HMG-14-like </t>
  </si>
  <si>
    <t xml:space="preserve">PREDICTED: protein tyrosine phosphatase type IVA 1-like isoform 1 </t>
  </si>
  <si>
    <t xml:space="preserve">PREDICTED: vacuolar protein sorting-associated protein 52 homolog </t>
  </si>
  <si>
    <t>PREDICTED: rRNA 2'-O-methyltransferase fibrillarin-like isoform 1</t>
  </si>
  <si>
    <t>PREDICTED: SUMO-conjugating enzyme UBC9-like</t>
  </si>
  <si>
    <t xml:space="preserve">PREDICTED: ribonuclease 3-like </t>
  </si>
  <si>
    <t xml:space="preserve">PREDICTED: heterogeneous nuclear ribonucleoproteins A2/B1-like isoform 1 </t>
  </si>
  <si>
    <t>PREDICTED: 60S ribosomal protein L19-like, partial</t>
  </si>
  <si>
    <t>PREDICTED: protein BUD31 homolog isoform 2</t>
  </si>
  <si>
    <t xml:space="preserve">PREDICTED: mitotic spindle assembly checkpoint protein MAD2A-like </t>
  </si>
  <si>
    <t>PREDICTED: NHP2-like protein 1-like</t>
  </si>
  <si>
    <t xml:space="preserve">PREDICTED: GTP-binding nuclear protein Ran-like </t>
  </si>
  <si>
    <t>PREDICTED: host cell factor 1-like, partial</t>
  </si>
  <si>
    <t xml:space="preserve">PREDICTED: cytochrome c oxidase subunit 5B, mitochondrial-like </t>
  </si>
  <si>
    <t xml:space="preserve">PREDICTED: phosphate carrier protein, mitochondrial-like isoform 1 </t>
  </si>
  <si>
    <t xml:space="preserve">PREDICTED: phosphate carrier protein, mitochondrial-like isoform 2 </t>
  </si>
  <si>
    <t xml:space="preserve">PREDICTED: phosphate carrier protein, mitochondrial-like isoform 3 </t>
  </si>
  <si>
    <t xml:space="preserve">PREDICTED: transcription initiation factor IIA subunit 2-like </t>
  </si>
  <si>
    <t xml:space="preserve">PREDICTED: 40S ribosomal protein S26-like </t>
  </si>
  <si>
    <t>PREDICTED: nucleophosmin-like</t>
  </si>
  <si>
    <t xml:space="preserve">PREDICTED: ES1 protein homolog, mitochondrial-like isoform 1 </t>
  </si>
  <si>
    <t xml:space="preserve">PREDICTED: ES1 protein homolog, mitochondrial-like isoform 2 </t>
  </si>
  <si>
    <t xml:space="preserve">PREDICTED: phosphoserine aminotransferase-like isoform 2 </t>
  </si>
  <si>
    <t>PREDICTED: ATP synthase subunit O, mitochondrial-like</t>
  </si>
  <si>
    <t>PREDICTED: tax1-binding protein 3-like isoform 2</t>
  </si>
  <si>
    <t xml:space="preserve">PREDICTED: cytochrome b5 type B-like </t>
  </si>
  <si>
    <t>PREDICTED: eukaryotic translation initiation factor 5-like isoform 1</t>
  </si>
  <si>
    <t xml:space="preserve">PREDICTED: nucleoside diphosphate kinase A-like </t>
  </si>
  <si>
    <t>PREDICTED: casein kinase II subunit alpha-like</t>
  </si>
  <si>
    <t xml:space="preserve">PREDICTED: glyceraldehyde-3-phosphate dehydrogenase-like isoform 1 </t>
  </si>
  <si>
    <t xml:space="preserve">PREDICTED: prostaglandin E synthase 3-like </t>
  </si>
  <si>
    <t xml:space="preserve">PREDICTED: guanine nucleotide-binding protein G(I)/G(S)/G(O) subunit gamma-5-like </t>
  </si>
  <si>
    <t>PREDICTED: methyltransferase-like protein 21D-like</t>
  </si>
  <si>
    <t xml:space="preserve">PREDICTED: cytochrome c oxidase subunit 7C, mitochondrial-like </t>
  </si>
  <si>
    <t xml:space="preserve">PREDICTED: olfactory receptor 7A10-like, partial </t>
  </si>
  <si>
    <t xml:space="preserve">PREDICTED: eukaryotic translation initiation factor 1A, X-chromosomal-like </t>
  </si>
  <si>
    <t xml:space="preserve">PREDICTED: acetyl-CoA carboxylase 1-like, partial </t>
  </si>
  <si>
    <t>PREDICTED: la-related protein 1B-like isoform 1</t>
  </si>
  <si>
    <t xml:space="preserve">PREDICTED: ubiquitin-conjugating enzyme E2 E1-like </t>
  </si>
  <si>
    <t xml:space="preserve">PREDICTED: protein FAM177A1 </t>
  </si>
  <si>
    <t xml:space="preserve">PREDICTED: 60S ribosomal protein L32-like </t>
  </si>
  <si>
    <t>PREDICTED: up-regulated during skeletal muscle growth protein 5-like</t>
  </si>
  <si>
    <t xml:space="preserve">PREDICTED: conserved oligomeric Golgi complex subunit 1-like </t>
  </si>
  <si>
    <t xml:space="preserve">PREDICTED: NADH dehydrogenase [ubiquinone] iron-sulfur protein 5-like </t>
  </si>
  <si>
    <t xml:space="preserve">PREDICTED: signal recognition particle 14 kDa protein-like </t>
  </si>
  <si>
    <t xml:space="preserve">PREDICTED: 40S ribosomal protein SA-like </t>
  </si>
  <si>
    <t>PREDICTED: uncharacterized protein LOC100861945</t>
  </si>
  <si>
    <t>PREDICTED: translational activator GCN1-like</t>
  </si>
  <si>
    <t>PREDICTED: peroxiredoxin-1</t>
  </si>
  <si>
    <t>PREDICTED: uncharacterized protein LOC100862066</t>
  </si>
  <si>
    <t xml:space="preserve">PREDICTED: h-2 class I histocompatibility antigen, D-D alpha chain-like </t>
  </si>
  <si>
    <t xml:space="preserve">PREDICTED: 40S ribosomal protein S16-like </t>
  </si>
  <si>
    <t xml:space="preserve">PREDICTED: h-2 class I histocompatibility antigen, D-B alpha chain-like </t>
  </si>
  <si>
    <t xml:space="preserve">PREDICTED: ferritin light chain 1-like isoform 1 </t>
  </si>
  <si>
    <t xml:space="preserve">PREDICTED: TBC1 domain family member 1-like, partial </t>
  </si>
  <si>
    <t>PREDICTED: tRNA modification GTPase GTPBP3, mitochondrial-like isoform 2</t>
  </si>
  <si>
    <t>PREDICTED: myosin-6-like</t>
  </si>
  <si>
    <t xml:space="preserve">PREDICTED: uncharacterized LOC101055631 </t>
  </si>
  <si>
    <t xml:space="preserve">PREDICTED: 60S ribosomal protein L31-like </t>
  </si>
  <si>
    <t xml:space="preserve">PREDICTED: 60S ribosomal protein L18-like </t>
  </si>
  <si>
    <t xml:space="preserve">PREDICTED: uncharacterized LOC101055749 </t>
  </si>
  <si>
    <t>PREDICTED: uncharacterized protein LOC101055749</t>
  </si>
  <si>
    <t xml:space="preserve">PREDICTED: coiled-coil domain-containing protein 72-like </t>
  </si>
  <si>
    <t xml:space="preserve">PREDICTED: protein AHNAK2-like </t>
  </si>
  <si>
    <t>PREDICTED: perilipin-2-like</t>
  </si>
  <si>
    <t xml:space="preserve">PREDICTED: protein transport protein Sec61 subunit beta-like </t>
  </si>
  <si>
    <t xml:space="preserve">PREDICTED: small ubiquitin-related modifier 2-like </t>
  </si>
  <si>
    <t xml:space="preserve">PREDICTED: 40S ribosomal protein S8-like </t>
  </si>
  <si>
    <t xml:space="preserve">PREDICTED: 60S ribosomal protein L12-like </t>
  </si>
  <si>
    <t>PREDICTED: 39S ribosomal protein L41, mitochondrial-like</t>
  </si>
  <si>
    <t>PREDICTED: elongation factor 1-gamma-like</t>
  </si>
  <si>
    <t>PREDICTED: nucleolar protein 56-like</t>
  </si>
  <si>
    <t xml:space="preserve">PREDICTED: enhancer of rudimentary homolog </t>
  </si>
  <si>
    <t>PREDICTED: envelope glycoprotein-like, partial</t>
  </si>
  <si>
    <t xml:space="preserve">PREDICTED: VIP36-like protein-like </t>
  </si>
  <si>
    <t xml:space="preserve">PREDICTED: uncharacterized LOC101056140 </t>
  </si>
  <si>
    <t>PREDICTED: uncharacterized protein LOC101056140</t>
  </si>
  <si>
    <t>PREDICTED: plasma membrane calcium-transporting ATPase 1-like</t>
  </si>
  <si>
    <t>PREDICTED: eukaryotic translation initiation factor 1b-like</t>
  </si>
  <si>
    <t>PREDICTED: glyceraldehyde-3-phosphate dehydrogenase-like, partial</t>
  </si>
  <si>
    <t xml:space="preserve">PREDICTED: succinate dehydrogenase [ubiquinone] iron-sulfur subunit, mitochondrial-like </t>
  </si>
  <si>
    <t>PREDICTED: alpha-enolase-like</t>
  </si>
  <si>
    <t xml:space="preserve">PREDICTED: 40S ribosomal protein S24-like </t>
  </si>
  <si>
    <t xml:space="preserve">PREDICTED: 60 kDa heat shock protein, mitochondrial-like </t>
  </si>
  <si>
    <t>PREDICTED: DNA-(apurinic or apyrimidinic site) lyase-like</t>
  </si>
  <si>
    <t xml:space="preserve">PREDICTED: peroxisomal membrane protein PEX13-like isoform 1 </t>
  </si>
  <si>
    <t xml:space="preserve">PREDICTED: serpin B9-like </t>
  </si>
  <si>
    <t xml:space="preserve">PREDICTED: 14-3-3 protein zeta/delta-like, partial </t>
  </si>
  <si>
    <t xml:space="preserve">PREDICTED: h-2 class I histocompatibility antigen, D-D alpha chain-like isoform 9 </t>
  </si>
  <si>
    <t xml:space="preserve">PREDICTED: h-2 class I histocompatibility antigen, D-D alpha chain-like isoform 10 </t>
  </si>
  <si>
    <t xml:space="preserve">PREDICTED: h-2 class I histocompatibility antigen, D-D alpha chain-like isoform 1 </t>
  </si>
  <si>
    <t xml:space="preserve">PREDICTED: h-2 class I histocompatibility antigen, D-D alpha chain-like isoform 2 </t>
  </si>
  <si>
    <t xml:space="preserve">PREDICTED: h-2 class I histocompatibility antigen, D-D alpha chain-like isoform 3 </t>
  </si>
  <si>
    <t xml:space="preserve">PREDICTED: h-2 class I histocompatibility antigen, D-D alpha chain-like isoform 4 </t>
  </si>
  <si>
    <t xml:space="preserve">PREDICTED: h-2 class I histocompatibility antigen, D-D alpha chain-like isoform 5 </t>
  </si>
  <si>
    <t xml:space="preserve">PREDICTED: h-2 class I histocompatibility antigen, D-D alpha chain-like isoform 6 </t>
  </si>
  <si>
    <t xml:space="preserve">PREDICTED: h-2 class I histocompatibility antigen, D-D alpha chain-like isoform 7 </t>
  </si>
  <si>
    <t xml:space="preserve">PREDICTED: h-2 class I histocompatibility antigen, D-D alpha chain-like isoform 8 </t>
  </si>
  <si>
    <t>PREDICTED: eukaryotic translation initiation factor 2 subunit 3-like</t>
  </si>
  <si>
    <t xml:space="preserve">PREDICTED: WW domain-containing adapter protein with coiled-coil-like isoform 1 </t>
  </si>
  <si>
    <t xml:space="preserve">PREDICTED: WW domain-containing adapter protein with coiled-coil-like isoform 2 </t>
  </si>
  <si>
    <t xml:space="preserve">PREDICTED: WW domain-containing adapter protein with coiled-coil-like isoform 4 </t>
  </si>
  <si>
    <t xml:space="preserve">PREDICTED: WW domain-containing adapter protein with coiled-coil-like isoform 5 </t>
  </si>
  <si>
    <t xml:space="preserve">PREDICTED: WW domain-containing adapter protein with coiled-coil-like isoform 6 </t>
  </si>
  <si>
    <t>PREDICTED: uncharacterized protein LOC101056470</t>
  </si>
  <si>
    <t xml:space="preserve">PREDICTED: protein flightless-1 homolog, partial </t>
  </si>
  <si>
    <t xml:space="preserve">PREDICTED: 40S ribosomal protein S14-like </t>
  </si>
  <si>
    <t>PREDICTED: uncharacterized protein LOC101056551</t>
  </si>
  <si>
    <t xml:space="preserve">PREDICTED: glyceraldehyde-3-phosphate dehydrogenase-like </t>
  </si>
  <si>
    <t xml:space="preserve">PREDICTED: apolipoprotein L3-like </t>
  </si>
  <si>
    <t>PREDICTED: G/T mismatch-specific thymine DNA glycosylase-like</t>
  </si>
  <si>
    <t xml:space="preserve">PREDICTED: mitochondrial import inner membrane translocase subunit Tim8 A-like </t>
  </si>
  <si>
    <t>PREDICTED: electron transfer flavoprotein subunit beta-like</t>
  </si>
  <si>
    <t xml:space="preserve">PREDICTED: serine/arginine-rich splicing factor 3-like </t>
  </si>
  <si>
    <t xml:space="preserve">PREDICTED: elongation factor 1-alpha 1-like isoform 1 </t>
  </si>
  <si>
    <t xml:space="preserve">PREDICTED: elongation factor 1-alpha 1-like isoform 3 </t>
  </si>
  <si>
    <t xml:space="preserve">PREDICTED: elongation factor 1-alpha 1-like isoform 4 </t>
  </si>
  <si>
    <t xml:space="preserve">PREDICTED: elongation factor 1-alpha 1-like isoform 11 </t>
  </si>
  <si>
    <t xml:space="preserve">PREDICTED: elongation factor 1-alpha 1-like isoform 12 </t>
  </si>
  <si>
    <t>PREDICTED: adenosylhomocysteinase-like</t>
  </si>
  <si>
    <t>PREDICTED: cohesin subunit SA-2-like</t>
  </si>
  <si>
    <t>PREDICTED: tryptophan--tRNA ligase, cytoplasmic-like</t>
  </si>
  <si>
    <t>PREDICTED: DNA repair protein SWI5 homolog</t>
  </si>
  <si>
    <t xml:space="preserve">PREDICTED: carbonyl reductase [NADPH] 1-like </t>
  </si>
  <si>
    <t xml:space="preserve">PREDICTED: h-2 class I histocompatibility antigen, D-B alpha chain </t>
  </si>
  <si>
    <t>MHC class I family member precursor</t>
  </si>
  <si>
    <t xml:space="preserve">PREDICTED: 60S ribosomal protein L12-like isoform 1 </t>
  </si>
  <si>
    <t xml:space="preserve">PREDICTED: lysine--tRNA ligase-like isoform 1 </t>
  </si>
  <si>
    <t xml:space="preserve">PREDICTED: low molecular weight phosphotyrosine protein phosphatase-like </t>
  </si>
  <si>
    <t>PREDICTED: RING-box protein 2-like</t>
  </si>
  <si>
    <t xml:space="preserve">PREDICTED: rRNA-processing protein FCF1 homolog </t>
  </si>
  <si>
    <t xml:space="preserve">PREDICTED: nucleoporin Nup37-like </t>
  </si>
  <si>
    <t xml:space="preserve">PREDICTED: 40S ribosomal protein SA-like isoform 1 </t>
  </si>
  <si>
    <t xml:space="preserve">PREDICTED: ragulator complex protein LAMTOR3-like </t>
  </si>
  <si>
    <t xml:space="preserve">PREDICTED: 60S ribosomal protein L13a-like </t>
  </si>
  <si>
    <t xml:space="preserve">PREDICTED: 60S ribosomal protein L31-like isoform 1 </t>
  </si>
  <si>
    <t xml:space="preserve">PREDICTED: protein farnesyltransferase subunit beta-like </t>
  </si>
  <si>
    <t xml:space="preserve">PREDICTED: SAP30-binding protein-like </t>
  </si>
  <si>
    <t>PREDICTED: cyclin-dependent kinase 4-like</t>
  </si>
  <si>
    <t>PREDICTED: ubiquinone biosynthesis protein COQ9, mitochondrial-like</t>
  </si>
  <si>
    <t xml:space="preserve">PREDICTED: zinc finger protein 709-like </t>
  </si>
  <si>
    <t xml:space="preserve">PREDICTED: glycine cleavage system H protein, mitochondrial-like </t>
  </si>
  <si>
    <t xml:space="preserve">PREDICTED: heterogeneous nuclear ribonucleoprotein A3-like </t>
  </si>
  <si>
    <t>PREDICTED: protein FAM136A-like, partial</t>
  </si>
  <si>
    <t xml:space="preserve">PREDICTED: NADH dehydrogenase [ubiquinone] 1 subunit C2-like </t>
  </si>
  <si>
    <t xml:space="preserve">PREDICTED: peroxiredoxin-6-like, partial </t>
  </si>
  <si>
    <t xml:space="preserve">loss of heterozygosity 12 chromosomal region 1 protein homolog isoform 2 </t>
  </si>
  <si>
    <t xml:space="preserve">loss of heterozygosity 12 chromosomal region 1 protein homolog isoform 1 </t>
  </si>
  <si>
    <t xml:space="preserve">lon protease homolog, mitochondrial precursor </t>
  </si>
  <si>
    <t xml:space="preserve">lon protease homolog 2, peroxisomal isoform 1 </t>
  </si>
  <si>
    <t xml:space="preserve">lon protease homolog 2, peroxisomal isoform 2 </t>
  </si>
  <si>
    <t>lysophosphatidic acid receptor 2</t>
  </si>
  <si>
    <t xml:space="preserve">lysophosphatidylcholine acyltransferase 1 </t>
  </si>
  <si>
    <t xml:space="preserve">lysophosphatidylcholine acyltransferase 2 </t>
  </si>
  <si>
    <t xml:space="preserve">lysophospholipid acyltransferase 5 </t>
  </si>
  <si>
    <t xml:space="preserve">lysophospholipid acyltransferase LPCAT4 </t>
  </si>
  <si>
    <t xml:space="preserve">acyl-CoA:lysophosphatidylglycerol acyltransferase 1 isoform 1 </t>
  </si>
  <si>
    <t xml:space="preserve">acyl-CoA:lysophosphatidylglycerol acyltransferase 1 isoform 2 </t>
  </si>
  <si>
    <t>latrophilin-2 precursor</t>
  </si>
  <si>
    <t xml:space="preserve">lipoma-preferred partner homolog isoform 1 </t>
  </si>
  <si>
    <t xml:space="preserve">lipoma-preferred partner homolog isoform 2 </t>
  </si>
  <si>
    <t xml:space="preserve">lipopolysaccharide-responsive and beige-like anchor protein isoform gamma </t>
  </si>
  <si>
    <t xml:space="preserve">lipopolysaccharide-responsive and beige-like anchor protein isoform beta </t>
  </si>
  <si>
    <t xml:space="preserve">lipopolysaccharide-responsive and beige-like anchor protein isoform alpha </t>
  </si>
  <si>
    <t>leucine-rich repeat and calponin homology domain-containing protein 1 isoform 2</t>
  </si>
  <si>
    <t>leucine-rich repeat and calponin homology domain-containing protein 1 isoform 1</t>
  </si>
  <si>
    <t>leucine-rich repeat and calponin homology domain-containing protein 4 isoform 1</t>
  </si>
  <si>
    <t>leucine-rich repeat and calponin homology domain-containing protein 4 isoform 2</t>
  </si>
  <si>
    <t xml:space="preserve">leucine-rich repeat and guanylate kinase domain-containing protein </t>
  </si>
  <si>
    <t>prolow-density lipoprotein receptor-related protein 1 precursor</t>
  </si>
  <si>
    <t>low-density lipoprotein receptor-related protein 1B precursor</t>
  </si>
  <si>
    <t>low-density lipoprotein receptor-related protein 2 precursor</t>
  </si>
  <si>
    <t>low-density lipoprotein receptor-related protein 6 precursor</t>
  </si>
  <si>
    <t>alpha-2-macroglobulin receptor-associated protein precursor</t>
  </si>
  <si>
    <t>leucine-rich PPR motif-containing protein, mitochondrial precursor</t>
  </si>
  <si>
    <t>leucine-rich repeat-containing protein 1 isoform 2</t>
  </si>
  <si>
    <t>leucine-rich repeat-containing protein 1 isoform 1</t>
  </si>
  <si>
    <t>leucine-rich repeat-containing protein 14</t>
  </si>
  <si>
    <t>leucine-rich repeat-containing protein 16A</t>
  </si>
  <si>
    <t>leucine-rich repeat-containing protein 20</t>
  </si>
  <si>
    <t>leucine-rich repeat-containing protein 40</t>
  </si>
  <si>
    <t>leucine-rich repeat-containing protein 47</t>
  </si>
  <si>
    <t>leucine-rich repeat-containing protein 57 isoform b</t>
  </si>
  <si>
    <t>leucine-rich repeat-containing protein 57 isoform a</t>
  </si>
  <si>
    <t>leucine-rich repeat-containing protein 57 isoform c</t>
  </si>
  <si>
    <t>leucine-rich repeat-containing protein 58</t>
  </si>
  <si>
    <t>leucine-rich repeat-containing protein 59</t>
  </si>
  <si>
    <t>leucine-rich repeat-containing protein 63</t>
  </si>
  <si>
    <t>leucine-rich repeat-containing protein 7</t>
  </si>
  <si>
    <t>leucine-rich repeat-containing protein 8A</t>
  </si>
  <si>
    <t xml:space="preserve">leucine-rich repeat and coiled-coil domain-containing protein 1 isoform 3 </t>
  </si>
  <si>
    <t xml:space="preserve">leucine-rich repeat and coiled-coil domain-containing protein 1 isoform 1 </t>
  </si>
  <si>
    <t xml:space="preserve">leucine-rich repeat and coiled-coil domain-containing protein 1 isoform 2 </t>
  </si>
  <si>
    <t xml:space="preserve">leucine-rich repeat flightless-interacting protein 1 isoform 1 </t>
  </si>
  <si>
    <t xml:space="preserve">leucine-rich repeat flightless-interacting protein 1 isoform 3 </t>
  </si>
  <si>
    <t xml:space="preserve">leucine-rich repeat flightless-interacting protein 1 isoform 2 </t>
  </si>
  <si>
    <t xml:space="preserve">leucine-rich repeat flightless-interacting protein 2 isoform 2 </t>
  </si>
  <si>
    <t xml:space="preserve">leucine-rich repeat flightless-interacting protein 2 isoform 1 </t>
  </si>
  <si>
    <t xml:space="preserve">leucine-rich repeat serine/threonine-protein kinase 1 </t>
  </si>
  <si>
    <t xml:space="preserve">leucine-rich repeat serine/threonine-protein kinase 2 </t>
  </si>
  <si>
    <t xml:space="preserve">U6 snRNA-associated Sm-like protein LSm1 </t>
  </si>
  <si>
    <t xml:space="preserve">U7 snRNA-associated Sm-like protein LSm10 </t>
  </si>
  <si>
    <t xml:space="preserve">protein LSM12 homolog </t>
  </si>
  <si>
    <t>protein LSM14 homolog A</t>
  </si>
  <si>
    <t>protein LSM14 homolog B</t>
  </si>
  <si>
    <t xml:space="preserve">U6 snRNA-associated Sm-like protein LSm2 isoform 3 </t>
  </si>
  <si>
    <t xml:space="preserve">U6 snRNA-associated Sm-like protein LSm2 isoform 1 </t>
  </si>
  <si>
    <t xml:space="preserve">U6 snRNA-associated Sm-like protein LSm2 isoform 2 </t>
  </si>
  <si>
    <t xml:space="preserve">U6 snRNA-associated Sm-like protein LSm2 isoform 4 </t>
  </si>
  <si>
    <t xml:space="preserve">U6 snRNA-associated Sm-like protein LSm3 </t>
  </si>
  <si>
    <t xml:space="preserve">U6 snRNA-associated Sm-like protein LSm4 </t>
  </si>
  <si>
    <t xml:space="preserve">U6 snRNA-associated Sm-like protein LSm6 </t>
  </si>
  <si>
    <t xml:space="preserve">U6 snRNA-associated Sm-like protein LSm7 </t>
  </si>
  <si>
    <t>LSM domain-containing protein 1</t>
  </si>
  <si>
    <t>lipolysis-stimulated lipoprotein receptor isoform 2 precursor</t>
  </si>
  <si>
    <t>lipolysis-stimulated lipoprotein receptor isoform 3 precursor</t>
  </si>
  <si>
    <t>lipolysis-stimulated lipoprotein receptor isoform 1 precursor</t>
  </si>
  <si>
    <t>lanosterol synthase</t>
  </si>
  <si>
    <t xml:space="preserve">leukotriene A-4 hydrolase </t>
  </si>
  <si>
    <t>E3 ubiquitin-protein ligase listerin</t>
  </si>
  <si>
    <t xml:space="preserve">protein LTV1 homolog </t>
  </si>
  <si>
    <t xml:space="preserve">putative RNA-binding protein Luc7-like 1 isoform 2 </t>
  </si>
  <si>
    <t xml:space="preserve">putative RNA-binding protein Luc7-like 1 isoform 1 </t>
  </si>
  <si>
    <t xml:space="preserve">putative RNA-binding protein Luc7-like 2 isoform 1 </t>
  </si>
  <si>
    <t xml:space="preserve">putative RNA-binding protein Luc7-like 2 isoform 2 </t>
  </si>
  <si>
    <t xml:space="preserve">putative RNA-binding protein Luc7-like 2 isoform 3 </t>
  </si>
  <si>
    <t xml:space="preserve">luc7-like protein 3 </t>
  </si>
  <si>
    <t>leucine zipper protein 1</t>
  </si>
  <si>
    <t xml:space="preserve">latexin </t>
  </si>
  <si>
    <t>lymphocyte antigen 6E precursor</t>
  </si>
  <si>
    <t>lymphocyte antigen 75 precursor</t>
  </si>
  <si>
    <t>cell growth-regulating nucleolar protein</t>
  </si>
  <si>
    <t xml:space="preserve">tyrosine-protein kinase Lyn isoform B </t>
  </si>
  <si>
    <t xml:space="preserve">tyrosine-protein kinase Lyn isoform A </t>
  </si>
  <si>
    <t xml:space="preserve">acyl-protein thioesterase 1 </t>
  </si>
  <si>
    <t xml:space="preserve">acyl-protein thioesterase 2 </t>
  </si>
  <si>
    <t xml:space="preserve">lysophospholipase-like protein 1 </t>
  </si>
  <si>
    <t>LYR motif-containing protein 4</t>
  </si>
  <si>
    <t>LYR motif-containing protein 5</t>
  </si>
  <si>
    <t>lysosomal-trafficking regulator</t>
  </si>
  <si>
    <t>protein LZIC</t>
  </si>
  <si>
    <t>leucine zipper transcription factor-like protein 1</t>
  </si>
  <si>
    <t>leucine-zipper-like transcriptional regulator 1</t>
  </si>
  <si>
    <t>cation-dependent mannose-6-phosphate receptor precursor</t>
  </si>
  <si>
    <t>metastasis associated in colon cancer 1</t>
  </si>
  <si>
    <t>microtubule-actin cross-linking factor 1 isoform 1</t>
  </si>
  <si>
    <t>microtubule-actin cross-linking factor 1 isoform 2</t>
  </si>
  <si>
    <t xml:space="preserve">O-acetyl-ADP-ribose deacetylase MACROD1 </t>
  </si>
  <si>
    <t>mitotic spindle assembly checkpoint protein MAD1</t>
  </si>
  <si>
    <t>mitotic spindle assembly checkpoint protein MAD2A</t>
  </si>
  <si>
    <t xml:space="preserve">macrophage erythroblast attacher </t>
  </si>
  <si>
    <t xml:space="preserve">melanoma-associated antigen 10 </t>
  </si>
  <si>
    <t xml:space="preserve">melanoma-associated antigen D1 </t>
  </si>
  <si>
    <t>PREDICTED: melanoma-associated antigen D2</t>
  </si>
  <si>
    <t xml:space="preserve">melanoma-associated antigen D2 </t>
  </si>
  <si>
    <t xml:space="preserve">membrane-associated guanylate kinase, WW and PDZ domain-containing protein 1 isoform d </t>
  </si>
  <si>
    <t xml:space="preserve">membrane-associated guanylate kinase, WW and PDZ domain-containing protein 1 isoform b </t>
  </si>
  <si>
    <t xml:space="preserve">membrane-associated guanylate kinase, WW and PDZ domain-containing protein 1 isoform a </t>
  </si>
  <si>
    <t xml:space="preserve">membrane-associated guanylate kinase, WW and PDZ domain-containing protein 1 isoform c </t>
  </si>
  <si>
    <t xml:space="preserve">membrane-associated guanylate kinase, WW and PDZ domain-containing protein 3 isoform 2 </t>
  </si>
  <si>
    <t xml:space="preserve">membrane-associated guanylate kinase, WW and PDZ domain-containing protein 3 isoform 1 </t>
  </si>
  <si>
    <t>protein mago nashi homolog</t>
  </si>
  <si>
    <t xml:space="preserve">protein mago nashi homolog 2 </t>
  </si>
  <si>
    <t>magnesium transporter protein 1</t>
  </si>
  <si>
    <t xml:space="preserve">serine/threonine-protein kinase MAK isoform 2 </t>
  </si>
  <si>
    <t xml:space="preserve">serine/threonine-protein kinase MAK isoform 3 </t>
  </si>
  <si>
    <t xml:space="preserve">serine/threonine-protein kinase MAK isoform 1 </t>
  </si>
  <si>
    <t>protein MAL2</t>
  </si>
  <si>
    <t>mitochondrial assembly of ribosomal large subunit protein 1</t>
  </si>
  <si>
    <t xml:space="preserve">mannosyl-oligosaccharide 1,2-alpha-mannosidase IB </t>
  </si>
  <si>
    <t>endoplasmic reticulum mannosyl-oligosaccharide 1,2-alpha-mannosidase</t>
  </si>
  <si>
    <t>alpha-mannosidase 2</t>
  </si>
  <si>
    <t xml:space="preserve">lysosomal alpha-mannosidase precursor </t>
  </si>
  <si>
    <t xml:space="preserve">epididymis-specific alpha-mannosidase precursor </t>
  </si>
  <si>
    <t>alpha-mannosidase 2C1</t>
  </si>
  <si>
    <t>beta-mannosidase precursor</t>
  </si>
  <si>
    <t>protein MANBAL</t>
  </si>
  <si>
    <t xml:space="preserve">mesencephalic astrocyte-derived neurotrophic factor precursor </t>
  </si>
  <si>
    <t>amine oxidase [flavin-containing] A</t>
  </si>
  <si>
    <t xml:space="preserve">microtubule-associated protein 1A isoform 1 </t>
  </si>
  <si>
    <t xml:space="preserve">microtubule-associated protein 1A isoform 2 </t>
  </si>
  <si>
    <t xml:space="preserve">microtubule-associated protein 1B </t>
  </si>
  <si>
    <t>microtubule-associated proteins 1A/1B light chain 3A</t>
  </si>
  <si>
    <t>microtubule-associated proteins 1A/1B light chain 3B</t>
  </si>
  <si>
    <t xml:space="preserve">microtubule-associated protein 1S </t>
  </si>
  <si>
    <t xml:space="preserve">microtubule-associated protein 2 isoform 2 </t>
  </si>
  <si>
    <t xml:space="preserve">microtubule-associated protein 2 isoform 1 </t>
  </si>
  <si>
    <t xml:space="preserve">dual specificity mitogen-activated protein kinase kinase 1 </t>
  </si>
  <si>
    <t xml:space="preserve">dual specificity mitogen-activated protein kinase kinase 2 </t>
  </si>
  <si>
    <t xml:space="preserve">dual specificity mitogen-activated protein kinase kinase 3 </t>
  </si>
  <si>
    <t xml:space="preserve">dual specificity mitogen-activated protein kinase kinase 4 </t>
  </si>
  <si>
    <t xml:space="preserve">dual specificity mitogen-activated protein kinase kinase 7 isoform 1 </t>
  </si>
  <si>
    <t xml:space="preserve">dual specificity mitogen-activated protein kinase kinase 7 isoform 2 </t>
  </si>
  <si>
    <t xml:space="preserve">dual specificity mitogen-activated protein kinase kinase 7 isoform 3 </t>
  </si>
  <si>
    <t>mitogen-activated protein kinase kinase kinase 10</t>
  </si>
  <si>
    <t>mitogen-activated protein kinase kinase kinase 11</t>
  </si>
  <si>
    <t>mitogen-activated protein kinase kinase kinase 14</t>
  </si>
  <si>
    <t>mitogen-activated protein kinase kinase kinase 15</t>
  </si>
  <si>
    <t>mitogen-activated protein kinase kinase kinase 2</t>
  </si>
  <si>
    <t>mitogen-activated protein kinase kinase kinase 3</t>
  </si>
  <si>
    <t>mitogen-activated protein kinase kinase kinase 4</t>
  </si>
  <si>
    <t>mitogen-activated protein kinase kinase kinase 5</t>
  </si>
  <si>
    <t>mitogen-activated protein kinase kinase kinase 9 isoform 1</t>
  </si>
  <si>
    <t>mitogen-activated protein kinase kinase kinase 9 isoform 2</t>
  </si>
  <si>
    <t xml:space="preserve">microtubule-associated protein 4 isoform 3 </t>
  </si>
  <si>
    <t xml:space="preserve">microtubule-associated protein 4 isoform 4 </t>
  </si>
  <si>
    <t xml:space="preserve">microtubule-associated protein 4 isoform 2 </t>
  </si>
  <si>
    <t xml:space="preserve">microtubule-associated protein 4 isoform 1 </t>
  </si>
  <si>
    <t xml:space="preserve">mitogen-activated protein kinase kinase kinase kinase 2 </t>
  </si>
  <si>
    <t xml:space="preserve">mitogen-activated protein kinase kinase kinase kinase 3 </t>
  </si>
  <si>
    <t xml:space="preserve">mitogen-activated protein kinase kinase kinase kinase 4 isoform 2 </t>
  </si>
  <si>
    <t xml:space="preserve">mitogen-activated protein kinase kinase kinase kinase 4 isoform 1 </t>
  </si>
  <si>
    <t xml:space="preserve">mitogen-activated protein kinase kinase kinase kinase 4 isoform 3 </t>
  </si>
  <si>
    <t xml:space="preserve">mitogen-activated protein kinase kinase kinase kinase 4 isoform 4 </t>
  </si>
  <si>
    <t xml:space="preserve">mitogen-activated protein kinase kinase kinase kinase 5 </t>
  </si>
  <si>
    <t xml:space="preserve">microtubule-associated protein 6 isoform 1 </t>
  </si>
  <si>
    <t xml:space="preserve">microtubule-associated protein 6 isoform 2 </t>
  </si>
  <si>
    <t xml:space="preserve">microtubule-associated protein 6 isoform 3 </t>
  </si>
  <si>
    <t xml:space="preserve">ensconsin isoform 2 </t>
  </si>
  <si>
    <t xml:space="preserve">ensconsin isoform 1 </t>
  </si>
  <si>
    <t>MAP7 domain-containing protein 1 isoform 1</t>
  </si>
  <si>
    <t>MAP7 domain-containing protein 1 isoform 2</t>
  </si>
  <si>
    <t xml:space="preserve">microtubule-associated protein 9 </t>
  </si>
  <si>
    <t>mitogen-activated protein kinase 1</t>
  </si>
  <si>
    <t>mitogen-activated protein kinase 10 isoform 2</t>
  </si>
  <si>
    <t>mitogen-activated protein kinase 10 isoform 1</t>
  </si>
  <si>
    <t>mitogen-activated protein kinase 11</t>
  </si>
  <si>
    <t>mitogen-activated protein kinase 12</t>
  </si>
  <si>
    <t>mitogen-activated protein kinase 13</t>
  </si>
  <si>
    <t>mitogen-activated protein kinase 14 isoform 1</t>
  </si>
  <si>
    <t>mitogen-activated protein kinase 14 isoform 2</t>
  </si>
  <si>
    <t>mitogen-activated protein kinase 14 isoform 3</t>
  </si>
  <si>
    <t>mitogen-activated protein kinase 15</t>
  </si>
  <si>
    <t>mitogen-activated protein kinase 3</t>
  </si>
  <si>
    <t>mitogen-activated protein kinase 4</t>
  </si>
  <si>
    <t>mitogen-activated protein kinase 6</t>
  </si>
  <si>
    <t>mitogen-activated protein kinase 7</t>
  </si>
  <si>
    <t>mitogen-activated protein kinase 8</t>
  </si>
  <si>
    <t>C-Jun-amino-terminal kinase-interacting protein 3 isoform a</t>
  </si>
  <si>
    <t>C-Jun-amino-terminal kinase-interacting protein 3 isoform b</t>
  </si>
  <si>
    <t>C-Jun-amino-terminal kinase-interacting protein 3 isoform c</t>
  </si>
  <si>
    <t>C-Jun-amino-terminal kinase-interacting protein 3 isoform d</t>
  </si>
  <si>
    <t>C-Jun-amino-terminal kinase-interacting protein 3 isoform e</t>
  </si>
  <si>
    <t>C-Jun-amino-terminal kinase-interacting protein 3 isoform f</t>
  </si>
  <si>
    <t>C-Jun-amino-terminal kinase-interacting protein 3 isoform g</t>
  </si>
  <si>
    <t>mitogen-activated protein kinase 9 isoform alpha2</t>
  </si>
  <si>
    <t>mitogen-activated protein kinase 9 isoform beta2</t>
  </si>
  <si>
    <t>mitogen-activated protein kinase 9 isoform alpha1</t>
  </si>
  <si>
    <t>mitogen-activated protein kinase 9 isoform beta1</t>
  </si>
  <si>
    <t xml:space="preserve">target of rapamycin complex 2 subunit MAPKAP1 </t>
  </si>
  <si>
    <t xml:space="preserve">MAP kinase-activated protein kinase 2 </t>
  </si>
  <si>
    <t xml:space="preserve">MAP kinase-activated protein kinase 3 </t>
  </si>
  <si>
    <t xml:space="preserve">MAP kinase-activated protein kinase 5 </t>
  </si>
  <si>
    <t>microtubule-associated protein RP/EB family member 1</t>
  </si>
  <si>
    <t>microtubule-associated protein RP/EB family member 2 isoform 1</t>
  </si>
  <si>
    <t>microtubule-associated protein RP/EB family member 2 isoform 2</t>
  </si>
  <si>
    <t>microtubule-associated protein RP/EB family member 2 isoform 3</t>
  </si>
  <si>
    <t>microtubule-associated protein RP/EB family member 3</t>
  </si>
  <si>
    <t>MOSC domain-containing protein 2, mitochondrial precursor</t>
  </si>
  <si>
    <t>E3 ubiquitin-protein ligase 41703 isoform 1</t>
  </si>
  <si>
    <t>E3 ubiquitin-protein ligase 41703 isoform 2</t>
  </si>
  <si>
    <t>E3 ubiquitin-protein ligase 41703 isoform 3</t>
  </si>
  <si>
    <t>myristoylated alanine-rich C-kinase substrate</t>
  </si>
  <si>
    <t>MARCKS-related protein</t>
  </si>
  <si>
    <t xml:space="preserve">meiosis arrest female protein 1 </t>
  </si>
  <si>
    <t xml:space="preserve">serine/threonine-protein kinase MARK1 </t>
  </si>
  <si>
    <t xml:space="preserve">serine/threonine-protein kinase MARK2 isoform 2 </t>
  </si>
  <si>
    <t xml:space="preserve">serine/threonine-protein kinase MARK2 isoform 4 </t>
  </si>
  <si>
    <t xml:space="preserve">serine/threonine-protein kinase MARK2 isoform 1 </t>
  </si>
  <si>
    <t xml:space="preserve">serine/threonine-protein kinase MARK2 isoform 3 </t>
  </si>
  <si>
    <t>MAP/microtubule affinity-regulating kinase 3 isoform 1</t>
  </si>
  <si>
    <t>MAP/microtubule affinity-regulating kinase 3 isoform 2</t>
  </si>
  <si>
    <t>MAP/microtubule affinity-regulating kinase 4</t>
  </si>
  <si>
    <t xml:space="preserve">methionine--tRNA ligase, cytoplasmic isoform 1 </t>
  </si>
  <si>
    <t xml:space="preserve">methionine--tRNA ligase, cytoplasmic isoform 2 </t>
  </si>
  <si>
    <t>methionine--tRNA ligase, mitochondrial precursor</t>
  </si>
  <si>
    <t>S-adenosylmethionine synthase isoform type-2</t>
  </si>
  <si>
    <t xml:space="preserve">methionine adenosyltransferase 2 subunit beta isoform 1 </t>
  </si>
  <si>
    <t xml:space="preserve">methionine adenosyltransferase 2 subunit beta isoform 2 </t>
  </si>
  <si>
    <t xml:space="preserve">megakaryocyte-associated tyrosine-protein kinase </t>
  </si>
  <si>
    <t xml:space="preserve">matrin-3 </t>
  </si>
  <si>
    <t xml:space="preserve">MAU2 chromatid cohesion factor homolog isoform 2 </t>
  </si>
  <si>
    <t xml:space="preserve">MAU2 chromatid cohesion factor homolog isoform 1 </t>
  </si>
  <si>
    <t xml:space="preserve">mitochondrial antiviral-signaling protein isoform 1 </t>
  </si>
  <si>
    <t xml:space="preserve">mitochondrial antiviral-signaling protein isoform 2 </t>
  </si>
  <si>
    <t>protein max isoform 1</t>
  </si>
  <si>
    <t>protein max isoform 2</t>
  </si>
  <si>
    <t>protein MB21D1</t>
  </si>
  <si>
    <t>methyl-CpG-binding domain protein 3</t>
  </si>
  <si>
    <t>metallo-beta-lactamase domain-containing protein 1</t>
  </si>
  <si>
    <t xml:space="preserve">muscleblind-like protein 1 isoform 2 </t>
  </si>
  <si>
    <t xml:space="preserve">muscleblind-like protein 1 isoform 1 </t>
  </si>
  <si>
    <t xml:space="preserve">muscleblind-like protein 2 isoform 1 </t>
  </si>
  <si>
    <t xml:space="preserve">muscleblind-like protein 2 isoform 2 </t>
  </si>
  <si>
    <t xml:space="preserve">muscleblind-like protein 3 </t>
  </si>
  <si>
    <t xml:space="preserve">lysophospholipid acyltransferase 1 </t>
  </si>
  <si>
    <t xml:space="preserve">lysophospholipid acyltransferase 7 </t>
  </si>
  <si>
    <t xml:space="preserve">malonyl-CoA-acyl carrier protein transacylase, mitochondrial </t>
  </si>
  <si>
    <t xml:space="preserve">methylcrotonoyl-CoA carboxylase subunit alpha, mitochondrial </t>
  </si>
  <si>
    <t xml:space="preserve">methylcrotonoyl-CoA carboxylase beta chain, mitochondrial </t>
  </si>
  <si>
    <t>mcf.2 transforming</t>
  </si>
  <si>
    <t>multiple coagulation factor deficiency protein 2 homolog precursor</t>
  </si>
  <si>
    <t xml:space="preserve">PREDICTED: ubiquitin-conjugating enzyme E2 N </t>
  </si>
  <si>
    <t>induced myeloid leukemia cell differentiation protein Mcl-1 homolog</t>
  </si>
  <si>
    <t xml:space="preserve">DNA replication licensing factor MCM2 </t>
  </si>
  <si>
    <t xml:space="preserve">DNA replication licensing factor MCM3 </t>
  </si>
  <si>
    <t xml:space="preserve">DNA replication licensing factor MCM4 </t>
  </si>
  <si>
    <t xml:space="preserve">DNA replication licensing factor MCM5 </t>
  </si>
  <si>
    <t xml:space="preserve">DNA replication licensing factor MCM6 </t>
  </si>
  <si>
    <t xml:space="preserve">DNA replication licensing factor MCM7 </t>
  </si>
  <si>
    <t>mini-chromosome maintenance complex-binding protein</t>
  </si>
  <si>
    <t xml:space="preserve">mucolipin-2 isoform 1 </t>
  </si>
  <si>
    <t xml:space="preserve">mucolipin-2 isoform 2 </t>
  </si>
  <si>
    <t>malignant T-cell-amplified sequence 1</t>
  </si>
  <si>
    <t>malignant T-cell-amplified sequence 2</t>
  </si>
  <si>
    <t xml:space="preserve">calcium uniporter protein, mitochondrial precursor </t>
  </si>
  <si>
    <t>coiled-coil domain-containing protein 90A, mitochondrial precursor</t>
  </si>
  <si>
    <t xml:space="preserve">mediator of DNA damage checkpoint protein 1 </t>
  </si>
  <si>
    <t xml:space="preserve">MAM domain-containing glycosylphosphatidylinositol anchor protein 1 precursor </t>
  </si>
  <si>
    <t xml:space="preserve">malate dehydrogenase, cytoplasmic </t>
  </si>
  <si>
    <t>malate dehydrogenase, mitochondrial precursor</t>
  </si>
  <si>
    <t>protein Mdm4</t>
  </si>
  <si>
    <t xml:space="preserve">midasin </t>
  </si>
  <si>
    <t xml:space="preserve">magnesium-dependent phosphatase 1 </t>
  </si>
  <si>
    <t xml:space="preserve">NADP-dependent malic enzyme isoform 1 </t>
  </si>
  <si>
    <t xml:space="preserve">NADP-dependent malic enzyme isoform 2 </t>
  </si>
  <si>
    <t xml:space="preserve">NAD-dependent malic enzyme, mitochondrial precursor </t>
  </si>
  <si>
    <t>trans-2-enoyl-CoA reductase, mitochondrial precursor</t>
  </si>
  <si>
    <t>mediator of RNA polymerase II transcription subunit 1 isoform 3</t>
  </si>
  <si>
    <t>mediator of RNA polymerase II transcription subunit 1 isoform 1</t>
  </si>
  <si>
    <t>mediator of RNA polymerase II transcription subunit 1 isoform 2</t>
  </si>
  <si>
    <t>mediator of RNA polymerase II transcription subunit 12</t>
  </si>
  <si>
    <t xml:space="preserve">mediator of RNA polymerase II transcription subunit 12-like protein </t>
  </si>
  <si>
    <t>mediator of RNA polymerase II transcription subunit 14 isoform b</t>
  </si>
  <si>
    <t>mediator of RNA polymerase II transcription subunit 14 isoform a</t>
  </si>
  <si>
    <t>mediator of RNA polymerase II transcription subunit 15 isoform a</t>
  </si>
  <si>
    <t>mediator of RNA polymerase II transcription subunit 15 isoform b</t>
  </si>
  <si>
    <t>mediator of RNA polymerase II transcription subunit 17</t>
  </si>
  <si>
    <t>mediator of RNA polymerase II transcription subunit 18</t>
  </si>
  <si>
    <t>mediator of RNA polymerase II transcription subunit 19</t>
  </si>
  <si>
    <t>mediator of RNA polymerase II transcription subunit 20</t>
  </si>
  <si>
    <t>mediator of RNA polymerase II transcription subunit 21</t>
  </si>
  <si>
    <t>mediator of RNA polymerase II transcription subunit 22 isoform 1</t>
  </si>
  <si>
    <t>mediator of RNA polymerase II transcription subunit 22 isoform 2</t>
  </si>
  <si>
    <t>mediator of RNA polymerase II transcription subunit 23 isoform 1</t>
  </si>
  <si>
    <t>mediator of RNA polymerase II transcription subunit 23 isoform 2</t>
  </si>
  <si>
    <t>mediator of RNA polymerase II transcription subunit 24</t>
  </si>
  <si>
    <t>mediator of RNA polymerase II transcription subunit 27</t>
  </si>
  <si>
    <t>mediator of RNA polymerase II transcription subunit 28</t>
  </si>
  <si>
    <t>mediator of RNA polymerase II transcription subunit 30</t>
  </si>
  <si>
    <t>mediator of RNA polymerase II transcription subunit 31</t>
  </si>
  <si>
    <t>mediator of RNA polymerase II transcription subunit 7</t>
  </si>
  <si>
    <t>meiosis inhibitor protein 1</t>
  </si>
  <si>
    <t>protein MEMO1</t>
  </si>
  <si>
    <t xml:space="preserve">7SK snRNA methylphosphate capping enzyme </t>
  </si>
  <si>
    <t>LDLR chaperone MESD precursor</t>
  </si>
  <si>
    <t xml:space="preserve">hepatocyte growth factor receptor precursor </t>
  </si>
  <si>
    <t xml:space="preserve">methionine aminopeptidase 1 </t>
  </si>
  <si>
    <t xml:space="preserve">methionine aminopeptidase 1D, mitochondrial precursor </t>
  </si>
  <si>
    <t xml:space="preserve">methionine aminopeptidase 2 </t>
  </si>
  <si>
    <t>tRNA (guanine-N(7)-)-methyltransferase</t>
  </si>
  <si>
    <t xml:space="preserve">methyltransferase-like protein 10 </t>
  </si>
  <si>
    <t xml:space="preserve">methyltransferase-like protein 13 </t>
  </si>
  <si>
    <t xml:space="preserve">methyltransferase-like protein 16 </t>
  </si>
  <si>
    <t xml:space="preserve">methyltransferase-like protein 2 </t>
  </si>
  <si>
    <t>N6-adenosine-methyltransferase 70 kDa subunit</t>
  </si>
  <si>
    <t xml:space="preserve">methyltransferase-like protein 7A </t>
  </si>
  <si>
    <t xml:space="preserve">methyltransferase like 7A2 </t>
  </si>
  <si>
    <t xml:space="preserve">Mettl7a2-Higd1c readthrough transcript </t>
  </si>
  <si>
    <t>UbiE3 protein</t>
  </si>
  <si>
    <t>methyltransferase-like protein 9 precursor</t>
  </si>
  <si>
    <t xml:space="preserve">microfibrillar-associated protein 1B </t>
  </si>
  <si>
    <t>lactadherin isoform 2 precursor</t>
  </si>
  <si>
    <t>lactadherin isoform 1 precursor</t>
  </si>
  <si>
    <t>malignant fibrous histiocytoma-amplified sequence 1 homolog</t>
  </si>
  <si>
    <t xml:space="preserve">mitofusin-1 </t>
  </si>
  <si>
    <t>major facilitator superfamily domain-containing protein 1</t>
  </si>
  <si>
    <t>major facilitator superfamily domain-containing protein 10</t>
  </si>
  <si>
    <t>major facilitator superfamily domain-containing protein 12</t>
  </si>
  <si>
    <t xml:space="preserve">major facilitator superfamily domain-containing protein 5 precursor </t>
  </si>
  <si>
    <t>major facilitator superfamily domain-containing protein 6 isoform 1</t>
  </si>
  <si>
    <t>major facilitator superfamily domain-containing protein 8</t>
  </si>
  <si>
    <t>alpha-1,3-mannosyl-glycoprotein 2-beta-N-acetylglucosaminyltransferase</t>
  </si>
  <si>
    <t>alpha-1,6-mannosyl-glycoprotein 2-beta-N-acetylglucosaminyltransferase</t>
  </si>
  <si>
    <t>alpha-1,3-mannosyl-glycoprotein 4-beta-N-acetylglucosaminyltransferase B precursor</t>
  </si>
  <si>
    <t xml:space="preserve">alpha-1,3-mannosyl-glycoprotein 4-beta-N-acetylglucosaminyltransferase C </t>
  </si>
  <si>
    <t xml:space="preserve">bifunctional protein NCOAT </t>
  </si>
  <si>
    <t>uncharacterized protein C20orf72 homolog</t>
  </si>
  <si>
    <t>E3 ubiquitin-protein ligase MGRN1 isoform 2</t>
  </si>
  <si>
    <t>E3 ubiquitin-protein ligase MGRN1 isoform 1</t>
  </si>
  <si>
    <t>microsomal glutathione S-transferase 1</t>
  </si>
  <si>
    <t>microsomal glutathione S-transferase 3</t>
  </si>
  <si>
    <t>melanoma inhibitory activity protein 3 precursor</t>
  </si>
  <si>
    <t>E3 ubiquitin-protein ligase MIB1</t>
  </si>
  <si>
    <t>protein-methionine sulfoxide oxidase MICAL3 isoform 2</t>
  </si>
  <si>
    <t>protein-methionine sulfoxide oxidase MICAL3 isoform 1</t>
  </si>
  <si>
    <t xml:space="preserve">MICAL-like protein 1 </t>
  </si>
  <si>
    <t xml:space="preserve">calcium uptake protein 1, mitochondrial </t>
  </si>
  <si>
    <t xml:space="preserve">calcium uptake protein 2, mitochondrial </t>
  </si>
  <si>
    <t xml:space="preserve">midnolin </t>
  </si>
  <si>
    <t xml:space="preserve">migration and invasion enhancer 1 </t>
  </si>
  <si>
    <t>mesoderm induction early response protein 1 isoform d</t>
  </si>
  <si>
    <t xml:space="preserve">mesoderm induction early response protein 1 isoform c precursor </t>
  </si>
  <si>
    <t>mesoderm induction early response protein 1 isoform b</t>
  </si>
  <si>
    <t xml:space="preserve">mesoderm induction early response protein 1 isoform a precursor </t>
  </si>
  <si>
    <t>macrophage migration inhibitory factor</t>
  </si>
  <si>
    <t xml:space="preserve">MIF4G domain-containing protein isoform 1 </t>
  </si>
  <si>
    <t xml:space="preserve">MIF4G domain-containing protein isoform 2 </t>
  </si>
  <si>
    <t>bifunctional lysine-specific demethylase and histidyl-hydroxylase MINA</t>
  </si>
  <si>
    <t xml:space="preserve">misshapen-like kinase 1 isoform 4 </t>
  </si>
  <si>
    <t xml:space="preserve">misshapen-like kinase 1 isoform 2 </t>
  </si>
  <si>
    <t xml:space="preserve">misshapen-like kinase 1 isoform 1 </t>
  </si>
  <si>
    <t xml:space="preserve">misshapen-like kinase 1 isoform 3 </t>
  </si>
  <si>
    <t xml:space="preserve">mitochondrial inner membrane organizing system protein 1 </t>
  </si>
  <si>
    <t>multiple inositol polyphosphate phosphatase 1 precursor</t>
  </si>
  <si>
    <t>WD repeat-containing protein mio</t>
  </si>
  <si>
    <t>mirror-image polydactyly gene 1 protein homolog</t>
  </si>
  <si>
    <t>protein Mis18-alpha</t>
  </si>
  <si>
    <t>MIT domain-containing protein 1</t>
  </si>
  <si>
    <t xml:space="preserve">MKL/myocardin-like protein 1 isoform 1 </t>
  </si>
  <si>
    <t xml:space="preserve">MKL/myocardin-like protein 1 isoform 2 </t>
  </si>
  <si>
    <t xml:space="preserve">MKL/myocardin-like protein 2 isoform 3 </t>
  </si>
  <si>
    <t xml:space="preserve">MKL/myocardin-like protein 2 isoform 1 </t>
  </si>
  <si>
    <t xml:space="preserve">muskelin </t>
  </si>
  <si>
    <t xml:space="preserve">MAP kinase-interacting serine/threonine-protein kinase 2 </t>
  </si>
  <si>
    <t xml:space="preserve">probable E3 ubiquitin-protein ligase makorin-2 </t>
  </si>
  <si>
    <t>malectin precursor</t>
  </si>
  <si>
    <t>myeloid leukemia factor 2</t>
  </si>
  <si>
    <t xml:space="preserve">mixed lineage kinase domain-like protein </t>
  </si>
  <si>
    <t>protein ENL</t>
  </si>
  <si>
    <t xml:space="preserve">afadin </t>
  </si>
  <si>
    <t>target of rapamycin complex subunit LST8 isoform 1</t>
  </si>
  <si>
    <t>target of rapamycin complex subunit LST8 isoform 2</t>
  </si>
  <si>
    <t xml:space="preserve">malonyl-CoA decarboxylase, mitochondrial </t>
  </si>
  <si>
    <t>cob(I)yrinic acid a,c-diamide adenosyltransferase, mitochondrial precursor</t>
  </si>
  <si>
    <t xml:space="preserve">neprilysin </t>
  </si>
  <si>
    <t xml:space="preserve">membrane magnesium transporter 1 precursor </t>
  </si>
  <si>
    <t xml:space="preserve">matrix metalloproteinase-14 precursor </t>
  </si>
  <si>
    <t xml:space="preserve">matrix metalloproteinase-21 precursor </t>
  </si>
  <si>
    <t>MMS19 nucleotide excision repair protein homolog</t>
  </si>
  <si>
    <t>protein MMS22-like</t>
  </si>
  <si>
    <t xml:space="preserve">CDK-activating kinase assembly factor MAT1 </t>
  </si>
  <si>
    <t xml:space="preserve">interferon-activable protein 205-B </t>
  </si>
  <si>
    <t>MOB kinase activator 1A</t>
  </si>
  <si>
    <t>MOB kinase activator 1B</t>
  </si>
  <si>
    <t>MOB kinase activator 2</t>
  </si>
  <si>
    <t xml:space="preserve">MOB-like protein phocein </t>
  </si>
  <si>
    <t xml:space="preserve">molybdenum cofactor biosynthesis protein 1 isoform 1 </t>
  </si>
  <si>
    <t>adenylyltransferase and sulfurtransferase MOCS3</t>
  </si>
  <si>
    <t>mannosyl-oligosaccharide glucosidase</t>
  </si>
  <si>
    <t>vacuolar fusion protein MON1 homolog A</t>
  </si>
  <si>
    <t>vacuolar fusion protein MON1 homolog B</t>
  </si>
  <si>
    <t xml:space="preserve">protein MON2 homolog isoform 3 </t>
  </si>
  <si>
    <t xml:space="preserve">protein MON2 homolog isoform 1 </t>
  </si>
  <si>
    <t xml:space="preserve">protein MON2 homolog isoform 2 </t>
  </si>
  <si>
    <t xml:space="preserve">mortality factor 4-like protein 1 isoform b </t>
  </si>
  <si>
    <t xml:space="preserve">mortality factor 4-like protein 1 isoform a </t>
  </si>
  <si>
    <t xml:space="preserve">motile sperm domain-containing protein 2 </t>
  </si>
  <si>
    <t xml:space="preserve">putative helicase MOV-10 isoform b </t>
  </si>
  <si>
    <t xml:space="preserve">putative helicase MOV-10 isoform a </t>
  </si>
  <si>
    <t>mitochondrial pyruvate carrier 1</t>
  </si>
  <si>
    <t>mitochondrial pyruvate carrier 2</t>
  </si>
  <si>
    <t xml:space="preserve">mannose-P-dolichol utilization defect 1 protein </t>
  </si>
  <si>
    <t>multiple PDZ domain protein</t>
  </si>
  <si>
    <t>DNA-3-methyladenine glycosylase</t>
  </si>
  <si>
    <t xml:space="preserve">M-phase phosphoprotein 6 </t>
  </si>
  <si>
    <t>mannose-6-phosphate isomerase</t>
  </si>
  <si>
    <t xml:space="preserve">MAGUK p55 subfamily member 2 </t>
  </si>
  <si>
    <t xml:space="preserve">MAGUK p55 subfamily member 3 </t>
  </si>
  <si>
    <t xml:space="preserve">MAGUK p55 subfamily member 5 </t>
  </si>
  <si>
    <t xml:space="preserve">MAGUK p55 subfamily member 6 isoform a </t>
  </si>
  <si>
    <t xml:space="preserve">MAGUK p55 subfamily member 6 isoform b </t>
  </si>
  <si>
    <t xml:space="preserve">MAGUK p55 subfamily member 7 isoform 1 </t>
  </si>
  <si>
    <t xml:space="preserve">MAGUK p55 subfamily member 7 isoform 2 </t>
  </si>
  <si>
    <t>3-mercaptopyruvate sulfurtransferase</t>
  </si>
  <si>
    <t>protein Mpv17</t>
  </si>
  <si>
    <t>myelin protein zero-like protein 2 precursor</t>
  </si>
  <si>
    <t>ras-related protein M-Ras precursor</t>
  </si>
  <si>
    <t xml:space="preserve">double-strand break repair protein MRE11A </t>
  </si>
  <si>
    <t>MORF4 family-associated protein 1</t>
  </si>
  <si>
    <t>methylthioribose-1-phosphate isomerase</t>
  </si>
  <si>
    <t xml:space="preserve">rRNA methyltransferase 1, mitochondrial precursor </t>
  </si>
  <si>
    <t>HEAT repeat containing 7A isoform 2</t>
  </si>
  <si>
    <t>HEAT repeat containing 7A isoform 1</t>
  </si>
  <si>
    <t xml:space="preserve">maestro heat-like repeat-containing protein family member 2A </t>
  </si>
  <si>
    <t xml:space="preserve">uncharacterized protein LOC69439 </t>
  </si>
  <si>
    <t xml:space="preserve">uncharacterized protein LOC78258 </t>
  </si>
  <si>
    <t>ribosomal protein 63, mitochondrial</t>
  </si>
  <si>
    <t xml:space="preserve">39S ribosomal protein L1, mitochondrial isoform 1 </t>
  </si>
  <si>
    <t xml:space="preserve">39S ribosomal protein L1, mitochondrial isoform 2 </t>
  </si>
  <si>
    <t>39S ribosomal protein L10, mitochondrial precursor</t>
  </si>
  <si>
    <t xml:space="preserve">39S ribosomal protein L11, mitochondrial </t>
  </si>
  <si>
    <t>39S ribosomal protein L12, mitochondrial precursor</t>
  </si>
  <si>
    <t xml:space="preserve">39S ribosomal protein L13, mitochondrial </t>
  </si>
  <si>
    <t>39S ribosomal protein L14, mitochondrial precursor</t>
  </si>
  <si>
    <t>39S ribosomal protein L15, mitochondrial isoform 1 precursor</t>
  </si>
  <si>
    <t>39S ribosomal protein L15, mitochondrial isoform 2 precursor</t>
  </si>
  <si>
    <t>39S ribosomal protein L16, mitochondrial precursor</t>
  </si>
  <si>
    <t>39S ribosomal protein L17, mitochondrial precursor</t>
  </si>
  <si>
    <t xml:space="preserve">39S ribosomal protein L18, mitochondrial </t>
  </si>
  <si>
    <t xml:space="preserve">39S ribosomal protein L19, mitochondrial </t>
  </si>
  <si>
    <t>39S ribosomal protein L2, mitochondrial precursor</t>
  </si>
  <si>
    <t>39S ribosomal protein L20, mitochondrial precursor</t>
  </si>
  <si>
    <t xml:space="preserve">39S ribosomal protein L21, mitochondrial </t>
  </si>
  <si>
    <t>39S ribosomal protein L22, mitochondrial precursor</t>
  </si>
  <si>
    <t xml:space="preserve">39S ribosomal protein L23, mitochondrial </t>
  </si>
  <si>
    <t>39S ribosomal protein L24, mitochondrial precursor</t>
  </si>
  <si>
    <t xml:space="preserve">39S ribosomal protein L27, mitochondrial </t>
  </si>
  <si>
    <t xml:space="preserve">39S ribosomal protein L28, mitochondrial </t>
  </si>
  <si>
    <t xml:space="preserve">39S ribosomal protein L3, mitochondrial </t>
  </si>
  <si>
    <t>39S ribosomal protein L30, mitochondrial precursor</t>
  </si>
  <si>
    <t xml:space="preserve">39S ribosomal protein L32, mitochondrial </t>
  </si>
  <si>
    <t xml:space="preserve">39S ribosomal protein L33, mitochondrial </t>
  </si>
  <si>
    <t xml:space="preserve">39S ribosomal protein L34, mitochondrial </t>
  </si>
  <si>
    <t>39S ribosomal protein L37, mitochondrial precursor</t>
  </si>
  <si>
    <t>39S ribosomal protein L38, mitochondrial precursor</t>
  </si>
  <si>
    <t xml:space="preserve">39S ribosomal protein L39, mitochondrial </t>
  </si>
  <si>
    <t xml:space="preserve">39S ribosomal protein L4, mitochondrial </t>
  </si>
  <si>
    <t>39S ribosomal protein L40, mitochondrial precursor</t>
  </si>
  <si>
    <t>39S ribosomal protein L41, mitochondrial precursor</t>
  </si>
  <si>
    <t>39S ribosomal protein L42, mitochondrial precursor</t>
  </si>
  <si>
    <t xml:space="preserve">39S ribosomal protein L43, mitochondrial </t>
  </si>
  <si>
    <t>39S ribosomal protein L44, mitochondrial precursor</t>
  </si>
  <si>
    <t xml:space="preserve">39S ribosomal protein L45, mitochondrial </t>
  </si>
  <si>
    <t xml:space="preserve">39S ribosomal protein L46, mitochondrial </t>
  </si>
  <si>
    <t xml:space="preserve">39S ribosomal protein L47, mitochondrial </t>
  </si>
  <si>
    <t>39S ribosomal protein L48, mitochondrial precursor</t>
  </si>
  <si>
    <t xml:space="preserve">39S ribosomal protein L49, mitochondrial </t>
  </si>
  <si>
    <t xml:space="preserve">39S ribosomal protein L50, mitochondrial </t>
  </si>
  <si>
    <t>39S ribosomal protein L51, mitochondrial precursor</t>
  </si>
  <si>
    <t xml:space="preserve">39S ribosomal protein L53, mitochondrial </t>
  </si>
  <si>
    <t>39S ribosomal protein L55, mitochondrial precursor</t>
  </si>
  <si>
    <t xml:space="preserve">39S ribosomal protein L9, mitochondrial </t>
  </si>
  <si>
    <t xml:space="preserve">28S ribosomal protein S10, mitochondrial isoform 3 </t>
  </si>
  <si>
    <t xml:space="preserve">28S ribosomal protein S10, mitochondrial isoform 2 </t>
  </si>
  <si>
    <t xml:space="preserve">28S ribosomal protein S10, mitochondrial isoform 1 </t>
  </si>
  <si>
    <t xml:space="preserve">28S ribosomal protein S11, mitochondrial </t>
  </si>
  <si>
    <t>28S ribosomal protein S12, mitochondrial precursor</t>
  </si>
  <si>
    <t xml:space="preserve">28S ribosomal protein S14, mitochondrial </t>
  </si>
  <si>
    <t>28S ribosomal protein S15, mitochondrial precursor</t>
  </si>
  <si>
    <t>28S ribosomal protein S16, mitochondrial precursor</t>
  </si>
  <si>
    <t>28S ribosomal protein S17, mitochondrial precursor</t>
  </si>
  <si>
    <t>28S ribosomal protein S18a, mitochondrial precursor</t>
  </si>
  <si>
    <t xml:space="preserve">28S ribosomal protein S18b, mitochondrial </t>
  </si>
  <si>
    <t xml:space="preserve">28S ribosomal protein S2, mitochondrial isoform 1 </t>
  </si>
  <si>
    <t xml:space="preserve">28S ribosomal protein S2, mitochondrial isoform 2 </t>
  </si>
  <si>
    <t xml:space="preserve">28S ribosomal protein S21, mitochondrial </t>
  </si>
  <si>
    <t xml:space="preserve">28S ribosomal protein S22, mitochondrial </t>
  </si>
  <si>
    <t xml:space="preserve">28S ribosomal protein S23, mitochondrial </t>
  </si>
  <si>
    <t>28S ribosomal protein S24, mitochondrial precursor</t>
  </si>
  <si>
    <t xml:space="preserve">28S ribosomal protein S25, mitochondrial </t>
  </si>
  <si>
    <t>28S ribosomal protein S26, mitochondrial precursor</t>
  </si>
  <si>
    <t xml:space="preserve">28S ribosomal protein S27, mitochondrial </t>
  </si>
  <si>
    <t xml:space="preserve">28S ribosomal protein S28, mitochondrial </t>
  </si>
  <si>
    <t xml:space="preserve">28S ribosomal protein S30, mitochondrial </t>
  </si>
  <si>
    <t>28S ribosomal protein S31, mitochondrial precursor</t>
  </si>
  <si>
    <t xml:space="preserve">28S ribosomal protein S33, mitochondrial isoform 1 </t>
  </si>
  <si>
    <t xml:space="preserve">28S ribosomal protein S34, mitochondrial </t>
  </si>
  <si>
    <t xml:space="preserve">28S ribosomal protein S35, mitochondrial </t>
  </si>
  <si>
    <t xml:space="preserve">28S ribosomal protein S36, mitochondrial isoform 1 </t>
  </si>
  <si>
    <t xml:space="preserve">28S ribosomal protein S36, mitochondrial isoform 2 </t>
  </si>
  <si>
    <t xml:space="preserve">28S ribosomal protein S5, mitochondrial </t>
  </si>
  <si>
    <t xml:space="preserve">28S ribosomal protein S6, mitochondrial </t>
  </si>
  <si>
    <t>28S ribosomal protein S7, mitochondrial precursor</t>
  </si>
  <si>
    <t>28S ribosomal protein S9, mitochondrial precursor</t>
  </si>
  <si>
    <t>ribosome-recycling factor, mitochondrial precursor</t>
  </si>
  <si>
    <t xml:space="preserve">mRNA turnover protein 4 homolog </t>
  </si>
  <si>
    <t xml:space="preserve">DNA mismatch repair protein Msh2 </t>
  </si>
  <si>
    <t xml:space="preserve">DNA mismatch repair protein Msh6 </t>
  </si>
  <si>
    <t xml:space="preserve">RNA-binding protein Musashi homolog 1 </t>
  </si>
  <si>
    <t xml:space="preserve">RNA-binding protein Musashi homolog 2 isoform 1 </t>
  </si>
  <si>
    <t xml:space="preserve">RNA-binding protein Musashi homolog 2 isoform 2 </t>
  </si>
  <si>
    <t xml:space="preserve">moesin </t>
  </si>
  <si>
    <t xml:space="preserve">mitochondrial peptide methionine sulfoxide reductase isoform 1 </t>
  </si>
  <si>
    <t xml:space="preserve">mitochondrial peptide methionine sulfoxide reductase isoform 2 </t>
  </si>
  <si>
    <t xml:space="preserve">mitochondrial peptide methionine sulfoxide reductase isoform 3 </t>
  </si>
  <si>
    <t xml:space="preserve">mitochondrial peptide methionine sulfoxide reductase isoform 4 </t>
  </si>
  <si>
    <t>macrophage-stimulating protein receptor precursor</t>
  </si>
  <si>
    <t>protein misato homolog 1</t>
  </si>
  <si>
    <t xml:space="preserve">metallothionein-1 </t>
  </si>
  <si>
    <t xml:space="preserve">metallothionein-2 </t>
  </si>
  <si>
    <t xml:space="preserve">metastasis-associated protein MTA2 </t>
  </si>
  <si>
    <t>S-methyl-5'-thioadenosine phosphorylase</t>
  </si>
  <si>
    <t>mitochondrial carrier homolog 1</t>
  </si>
  <si>
    <t>mitochondrial carrier homolog 2</t>
  </si>
  <si>
    <t>protein LYRIC</t>
  </si>
  <si>
    <t>mTERF domain-containing protein 3, mitochondrial precursor</t>
  </si>
  <si>
    <t xml:space="preserve">metal-response element-binding transcription factor 2 isoform 1 </t>
  </si>
  <si>
    <t xml:space="preserve">C-1-tetrahydrofolate synthase, cytoplasmic </t>
  </si>
  <si>
    <t xml:space="preserve">monofunctional C1-tetrahydrofolate synthase, mitochondrial precursor </t>
  </si>
  <si>
    <t>methenyltetrahydrofolate synthase domain-containing protein isoform 1</t>
  </si>
  <si>
    <t>methenyltetrahydrofolate synthase domain-containing protein isoform 2</t>
  </si>
  <si>
    <t>translation initiation factor IF-2, mitochondrial precursor</t>
  </si>
  <si>
    <t xml:space="preserve">myotubularin isoform 1 </t>
  </si>
  <si>
    <t xml:space="preserve">myotubularin isoform 2 </t>
  </si>
  <si>
    <t xml:space="preserve">myotubularin-related protein 10 </t>
  </si>
  <si>
    <t xml:space="preserve">myotubularin-related protein 12 </t>
  </si>
  <si>
    <t xml:space="preserve">myotubularin-related protein 14 </t>
  </si>
  <si>
    <t xml:space="preserve">myotubularin-related protein 2 </t>
  </si>
  <si>
    <t xml:space="preserve">myotubularin-related protein 6 </t>
  </si>
  <si>
    <t xml:space="preserve">protein MTO1 homolog, mitochondrial precursor </t>
  </si>
  <si>
    <t xml:space="preserve">serine/threonine-protein kinase mTOR </t>
  </si>
  <si>
    <t xml:space="preserve">myotrophin </t>
  </si>
  <si>
    <t xml:space="preserve">metaxin-1 isoform 1 </t>
  </si>
  <si>
    <t xml:space="preserve">metaxin-1 isoform 2 </t>
  </si>
  <si>
    <t xml:space="preserve">metaxin-2 </t>
  </si>
  <si>
    <t>mucin-1 precursor</t>
  </si>
  <si>
    <t>mucin-4 precursor</t>
  </si>
  <si>
    <t>murinoglobulin-1 precursor</t>
  </si>
  <si>
    <t>murinoglobulin-2 precursor</t>
  </si>
  <si>
    <t xml:space="preserve">major urinary protein 1 isoform b precursor </t>
  </si>
  <si>
    <t xml:space="preserve">major urinary protein 1 isoform a precursor </t>
  </si>
  <si>
    <t xml:space="preserve">major urinary protein 12 precursor </t>
  </si>
  <si>
    <t xml:space="preserve">major urinary protein 15 precursor </t>
  </si>
  <si>
    <t xml:space="preserve">major urinary protein 7 precursor </t>
  </si>
  <si>
    <t>methylmalonyl-CoA mutase, mitochondrial precursor</t>
  </si>
  <si>
    <t>multivesicular body subunit 12A</t>
  </si>
  <si>
    <t>diphosphomevalonate decarboxylase</t>
  </si>
  <si>
    <t>mevalonate kinase</t>
  </si>
  <si>
    <t xml:space="preserve">major vault protein </t>
  </si>
  <si>
    <t xml:space="preserve">myeloid-associated differentiation marker </t>
  </si>
  <si>
    <t xml:space="preserve">myb-binding protein 1A </t>
  </si>
  <si>
    <t>C-Myc-binding protein</t>
  </si>
  <si>
    <t xml:space="preserve">probable E3 ubiquitin-protein ligase MYCBP2 </t>
  </si>
  <si>
    <t>MYCBP-associated protein</t>
  </si>
  <si>
    <t>myeloid differentiation primary response protein MyD88</t>
  </si>
  <si>
    <t>myelin expression factor 2 isoform 1</t>
  </si>
  <si>
    <t>myelin expression factor 2 isoform 2</t>
  </si>
  <si>
    <t>myelin expression factor 2 isoform 3</t>
  </si>
  <si>
    <t xml:space="preserve">UPF0160 protein MYG1, mitochondrial precursor </t>
  </si>
  <si>
    <t xml:space="preserve">myosin-1 </t>
  </si>
  <si>
    <t xml:space="preserve">myosin-10 </t>
  </si>
  <si>
    <t xml:space="preserve">myosin-11 isoform 1 </t>
  </si>
  <si>
    <t xml:space="preserve">myosin-11 isoform 2 </t>
  </si>
  <si>
    <t xml:space="preserve">myosin-13 </t>
  </si>
  <si>
    <t xml:space="preserve">myosin-14 isoform 3 </t>
  </si>
  <si>
    <t xml:space="preserve">myosin-14 isoform 1 </t>
  </si>
  <si>
    <t xml:space="preserve">myosin-14 isoform 2 </t>
  </si>
  <si>
    <t xml:space="preserve">myosin-15 </t>
  </si>
  <si>
    <t>myosin heavy chain IIa</t>
  </si>
  <si>
    <t xml:space="preserve">myosin-3 </t>
  </si>
  <si>
    <t xml:space="preserve">myosin-4 </t>
  </si>
  <si>
    <t xml:space="preserve">myosin-6 </t>
  </si>
  <si>
    <t xml:space="preserve">myosin-7 </t>
  </si>
  <si>
    <t xml:space="preserve">myosin-7B </t>
  </si>
  <si>
    <t xml:space="preserve">myosin-8 </t>
  </si>
  <si>
    <t xml:space="preserve">myosin-9 isoform 1 </t>
  </si>
  <si>
    <t xml:space="preserve">myosin light chain 1/3, skeletal muscle isoform isoform 3f </t>
  </si>
  <si>
    <t xml:space="preserve">myosin light chain 1/3, skeletal muscle isoform isoform 1f </t>
  </si>
  <si>
    <t xml:space="preserve">myosin regulatory light chain 10 isoform 1 </t>
  </si>
  <si>
    <t xml:space="preserve">myosin light chain, regulatory B-like </t>
  </si>
  <si>
    <t xml:space="preserve">myosin regulatory light chain 12B </t>
  </si>
  <si>
    <t>myosin light chain 3</t>
  </si>
  <si>
    <t>myosin light polypeptide 6</t>
  </si>
  <si>
    <t>myosin light chain 6B</t>
  </si>
  <si>
    <t xml:space="preserve">myosin regulatory light polypeptide 9 </t>
  </si>
  <si>
    <t>myosin light chain kinase, smooth muscle</t>
  </si>
  <si>
    <t xml:space="preserve">myosin light chain kinase 2, skeletal/cardiac muscle </t>
  </si>
  <si>
    <t>putative myosin light chain kinase 3</t>
  </si>
  <si>
    <t xml:space="preserve">myosin light chain kinase family member 4 </t>
  </si>
  <si>
    <t>unconventional myosin-X</t>
  </si>
  <si>
    <t>unconventional myosin-XV isoform 1</t>
  </si>
  <si>
    <t>unconventional myosin-XV isoform 2a</t>
  </si>
  <si>
    <t>unconventional myosin-XV isoform 3</t>
  </si>
  <si>
    <t>unconventional myosin-XVIIIa</t>
  </si>
  <si>
    <t>unconventional myosin-XIX</t>
  </si>
  <si>
    <t>unconventional myosin-Ia</t>
  </si>
  <si>
    <t>unconventional myosin-Ib isoform 1</t>
  </si>
  <si>
    <t>unconventional myosin-Ib isoform 2</t>
  </si>
  <si>
    <t>unconventional myosin-Ic isoform b</t>
  </si>
  <si>
    <t>unconventional myosin-Ic isoform a</t>
  </si>
  <si>
    <t>unconventional myosin-Id</t>
  </si>
  <si>
    <t xml:space="preserve">PREDICTED: unconventional myosin-Ie </t>
  </si>
  <si>
    <t>unconventional myosin-Ie</t>
  </si>
  <si>
    <t>unconventional myosin-If</t>
  </si>
  <si>
    <t>unconventional myosin-Ig</t>
  </si>
  <si>
    <t xml:space="preserve">myosin-IIIb </t>
  </si>
  <si>
    <t>unconventional myosin-Va</t>
  </si>
  <si>
    <t>unconventional myosin-Vb</t>
  </si>
  <si>
    <t xml:space="preserve">myosin-Vc </t>
  </si>
  <si>
    <t>unconventional myosin-VI</t>
  </si>
  <si>
    <t>unconventional myosin-VIIa isoform 2</t>
  </si>
  <si>
    <t>unconventional myosin-VIIa isoform 1</t>
  </si>
  <si>
    <t>unconventional myosin-VIIa isoform 3</t>
  </si>
  <si>
    <t>unconventional myosin-VIIa isoform 4</t>
  </si>
  <si>
    <t>unconventional myosin-IXb isoform 3</t>
  </si>
  <si>
    <t>unconventional myosin-IXb isoform 1</t>
  </si>
  <si>
    <t>unconventional myosin-IXb isoform 2</t>
  </si>
  <si>
    <t xml:space="preserve">myoferlin </t>
  </si>
  <si>
    <t xml:space="preserve">myocardial zonula adherens protein precursor </t>
  </si>
  <si>
    <t>mitotic-spindle organizing protein 1</t>
  </si>
  <si>
    <t>mitotic-spindle organizing protein 2</t>
  </si>
  <si>
    <t>Nedd4 binding protein 2</t>
  </si>
  <si>
    <t>NEDD4-binding protein 2-like 2</t>
  </si>
  <si>
    <t xml:space="preserve">N6-DNA methyltransferase A isoform 1 </t>
  </si>
  <si>
    <t>N(6)-adenine-specific DNA methyltransferase 2</t>
  </si>
  <si>
    <t>N-alpha-acetyltransferase 10 isoform 1</t>
  </si>
  <si>
    <t>N-alpha-acetyltransferase 10 isoform 2</t>
  </si>
  <si>
    <t>N-alpha-acetyltransferase 11</t>
  </si>
  <si>
    <t xml:space="preserve">N-alpha-acetyltransferase 15, NatA auxiliary subunit </t>
  </si>
  <si>
    <t xml:space="preserve">N-alpha-acetyltransferase 16, NatA auxiliary subunit </t>
  </si>
  <si>
    <t>N-alpha-acetyltransferase 20 isoform 2</t>
  </si>
  <si>
    <t>N-alpha-acetyltransferase 20 isoform 1</t>
  </si>
  <si>
    <t xml:space="preserve">N-alpha-acetyltransferase 25, NatB auxiliary subunit </t>
  </si>
  <si>
    <t>N-alpha-acetyltransferase 30</t>
  </si>
  <si>
    <t xml:space="preserve">N-alpha-acetyltransferase 35, NatC auxiliary subunit </t>
  </si>
  <si>
    <t xml:space="preserve">N-alpha-acetyltransferase 38, NatC auxiliary subunit </t>
  </si>
  <si>
    <t>N-alpha-acetyltransferase 40</t>
  </si>
  <si>
    <t>N-alpha-acetyltransferase 50</t>
  </si>
  <si>
    <t>N-acylethanolamine-hydrolyzing acid amidase isoform 1 precursor</t>
  </si>
  <si>
    <t>N-acylethanolamine-hydrolyzing acid amidase isoform 2 precursor</t>
  </si>
  <si>
    <t>PREDICTED: N-acetylated alpha-linked acidic dipeptidase-like 2 isoform 2</t>
  </si>
  <si>
    <t>SOSS complex subunit B1</t>
  </si>
  <si>
    <t xml:space="preserve">nascent polypeptide-associated complex subunit alpha isoform a </t>
  </si>
  <si>
    <t xml:space="preserve">nascent polypeptide-associated complex subunit alpha isoform b </t>
  </si>
  <si>
    <t xml:space="preserve">NAD kinase domain-containing protein 1 isoform 1 </t>
  </si>
  <si>
    <t xml:space="preserve">NAD kinase domain-containing protein 1 isoform 2 </t>
  </si>
  <si>
    <t xml:space="preserve">glutamine-dependent NAD(+) synthetase </t>
  </si>
  <si>
    <t xml:space="preserve">NEDD8-activating enzyme E1 regulatory subunit </t>
  </si>
  <si>
    <t>alpha-N-acetylgalactosaminidase precursor</t>
  </si>
  <si>
    <t>N-acetyl-D-glucosamine kinase isoform 2</t>
  </si>
  <si>
    <t>N-acetyl-D-glucosamine kinase isoform 1</t>
  </si>
  <si>
    <t>alpha-N-acetylglucosaminidase precursor</t>
  </si>
  <si>
    <t xml:space="preserve">baculoviral IAP repeat-containing protein 1b </t>
  </si>
  <si>
    <t>nicotinamide phosphoribosyltransferase</t>
  </si>
  <si>
    <t xml:space="preserve">N-acylneuraminate-9-phosphatase </t>
  </si>
  <si>
    <t xml:space="preserve">sialic acid synthase </t>
  </si>
  <si>
    <t xml:space="preserve">nucleosome assembly protein 1-like 1 isoform 1 </t>
  </si>
  <si>
    <t xml:space="preserve">nucleosome assembly protein 1-like 1 isoform 2 </t>
  </si>
  <si>
    <t xml:space="preserve">nucleosome assembly protein 1-like 4 </t>
  </si>
  <si>
    <t>alpha-soluble NSF attachment protein</t>
  </si>
  <si>
    <t>beta-soluble NSF attachment protein</t>
  </si>
  <si>
    <t>gamma-soluble NSF attachment protein</t>
  </si>
  <si>
    <t>napsin-A precursor</t>
  </si>
  <si>
    <t xml:space="preserve">nuclear prelamin A recognition factor </t>
  </si>
  <si>
    <t>cytosolic Fe-S cluster assembly factor NARFL</t>
  </si>
  <si>
    <t xml:space="preserve">asparagine--tRNA ligase, cytoplasmic isoform 2 </t>
  </si>
  <si>
    <t xml:space="preserve">asparagine--tRNA ligase, cytoplasmic isoform 1 </t>
  </si>
  <si>
    <t>nuclear autoantigenic sperm protein isoform 2</t>
  </si>
  <si>
    <t>nuclear autoantigenic sperm protein isoform 1</t>
  </si>
  <si>
    <t>N-acetyltransferase 10</t>
  </si>
  <si>
    <t xml:space="preserve">arylamine N-acetyltransferase 2 </t>
  </si>
  <si>
    <t>N-acetyltransferase 9</t>
  </si>
  <si>
    <t xml:space="preserve">neuron navigator 2 isoform 1 </t>
  </si>
  <si>
    <t xml:space="preserve">neuron navigator 2 isoform 2 </t>
  </si>
  <si>
    <t>neuroblastoma-amplified protein</t>
  </si>
  <si>
    <t xml:space="preserve">neurobeachin </t>
  </si>
  <si>
    <t xml:space="preserve">neurobeachin like 1 </t>
  </si>
  <si>
    <t xml:space="preserve">neurobeachin-like protein 2 </t>
  </si>
  <si>
    <t xml:space="preserve">neurocalcin-delta </t>
  </si>
  <si>
    <t>condensin complex subunit 1</t>
  </si>
  <si>
    <t>condensin-2 complex subunit D3</t>
  </si>
  <si>
    <t>condensin complex subunit 3</t>
  </si>
  <si>
    <t>condensin-2 complex subunit G2</t>
  </si>
  <si>
    <t>condensin complex subunit 2</t>
  </si>
  <si>
    <t>condensin-2 complex subunit H2 isoform a</t>
  </si>
  <si>
    <t>condensin-2 complex subunit H2 isoform d</t>
  </si>
  <si>
    <t>condensin-2 complex subunit H2 isoform c</t>
  </si>
  <si>
    <t xml:space="preserve">nuclear cap-binding protein subunit 1 </t>
  </si>
  <si>
    <t xml:space="preserve">nuclear cap-binding protein subunit 2 </t>
  </si>
  <si>
    <t xml:space="preserve">neurochondrin </t>
  </si>
  <si>
    <t xml:space="preserve">neutral cholesterol ester hydrolase 1 </t>
  </si>
  <si>
    <t xml:space="preserve">cytoplasmic protein NCK1 </t>
  </si>
  <si>
    <t xml:space="preserve">cytoplasmic protein NCK2 </t>
  </si>
  <si>
    <t xml:space="preserve">nck-associated protein 1 </t>
  </si>
  <si>
    <t xml:space="preserve">nck-associated protein 1-like </t>
  </si>
  <si>
    <t xml:space="preserve">NCK-interacting protein with SH3 domain </t>
  </si>
  <si>
    <t xml:space="preserve">nucleolin </t>
  </si>
  <si>
    <t>nicalin precursor</t>
  </si>
  <si>
    <t>nuclear receptor coactivator 2 isoform a</t>
  </si>
  <si>
    <t>nuclear receptor coactivator 2 isoform b</t>
  </si>
  <si>
    <t>nuclear receptor coactivator 3</t>
  </si>
  <si>
    <t>nuclear receptor coactivator 5</t>
  </si>
  <si>
    <t>nicastrin precursor</t>
  </si>
  <si>
    <t xml:space="preserve">NADH dehydrogenase subunit 1musculus castaneus] </t>
  </si>
  <si>
    <t>NADH dehydrogenase subunit 1musculus</t>
  </si>
  <si>
    <t>NADH dehydrogenase subunit 1</t>
  </si>
  <si>
    <t xml:space="preserve">NADH dehydrogenase subunit 1musculus molossinus] </t>
  </si>
  <si>
    <t>NADH dehydrogenase subunit 2musculus</t>
  </si>
  <si>
    <t xml:space="preserve">NADH dehydrogenase subunit 2musculus castaneus] </t>
  </si>
  <si>
    <t>NADH dehydrogenase subunit 2</t>
  </si>
  <si>
    <t xml:space="preserve">NADH dehydrogenase subunit 2musculus molossinus] </t>
  </si>
  <si>
    <t xml:space="preserve">NADH dehydrogenase subunit 3musculus castaneus] </t>
  </si>
  <si>
    <t>NADH dehydrogenase subunit 3</t>
  </si>
  <si>
    <t>NADH dehydrogenase subunit 4musculus</t>
  </si>
  <si>
    <t xml:space="preserve">NADH dehydrogenase subunit 4musculus castaneus] </t>
  </si>
  <si>
    <t>NADH dehydrogenase subunit 4</t>
  </si>
  <si>
    <t xml:space="preserve">NADH dehydrogenase subunit 4musculus molossinus] </t>
  </si>
  <si>
    <t>NADH dehydrogenase subunit 5musculus</t>
  </si>
  <si>
    <t xml:space="preserve">NADH dehydrogenase subunit 5musculus castaneus] </t>
  </si>
  <si>
    <t>NADH dehydrogenase subunit 5</t>
  </si>
  <si>
    <t xml:space="preserve">NADH dehydrogenase subunit 5musculus molossinus] </t>
  </si>
  <si>
    <t>nuclear distribution protein nudE homolog 1 isoform a</t>
  </si>
  <si>
    <t>nuclear distribution protein nudE homolog 1 isoform b</t>
  </si>
  <si>
    <t xml:space="preserve">nuclear distribution protein nudE-like 1 </t>
  </si>
  <si>
    <t xml:space="preserve">melanoma-associated antigen G1 </t>
  </si>
  <si>
    <t>protein NDRG1</t>
  </si>
  <si>
    <t>protein NDRG3 isoform 1</t>
  </si>
  <si>
    <t>protein NDRG3 isoform 2</t>
  </si>
  <si>
    <t>NADH dehydrogenase [ubiquinone] 1 alpha subcomplex subunit 1</t>
  </si>
  <si>
    <t>NADH dehydrogenase [ubiquinone] 1 alpha subcomplex subunit 10, mitochondrial precursor</t>
  </si>
  <si>
    <t>NADH dehydrogenase [ubiquinone] 1 alpha subcomplex subunit 11</t>
  </si>
  <si>
    <t>NADH dehydrogenase [ubiquinone] 1 alpha subcomplex subunit 12</t>
  </si>
  <si>
    <t>NADH dehydrogenase [ubiquinone] 1 alpha subcomplex subunit 13</t>
  </si>
  <si>
    <t>NADH dehydrogenase [ubiquinone] 1 alpha subcomplex subunit 2</t>
  </si>
  <si>
    <t>NADH dehydrogenase [ubiquinone] 1 alpha subcomplex subunit 3</t>
  </si>
  <si>
    <t>NADH dehydrogenase [ubiquinone] 1 alpha subcomplex subunit 4</t>
  </si>
  <si>
    <t>NADH dehydrogenase [ubiquinone] 1 alpha subcomplex subunit 5</t>
  </si>
  <si>
    <t>NADH dehydrogenase [ubiquinone] 1 alpha subcomplex subunit 6</t>
  </si>
  <si>
    <t>NADH dehydrogenase [ubiquinone] 1 alpha subcomplex subunit 7</t>
  </si>
  <si>
    <t>NADH dehydrogenase [ubiquinone] 1 alpha subcomplex subunit 8</t>
  </si>
  <si>
    <t>NADH dehydrogenase [ubiquinone] 1 alpha subcomplex subunit 9, mitochondrial precursor</t>
  </si>
  <si>
    <t xml:space="preserve">acyl carrier protein, mitochondrial precursor </t>
  </si>
  <si>
    <t>mimitin, mitochondrial</t>
  </si>
  <si>
    <t xml:space="preserve">NADH dehydrogenase [ubiquinone] 1 alpha subcomplex assembly factor 3 </t>
  </si>
  <si>
    <t xml:space="preserve">NADH dehydrogenase [ubiquinone] 1 alpha subcomplex assembly factor 4 </t>
  </si>
  <si>
    <t>NADH dehydrogenase [ubiquinone] 1 alpha subcomplex assembly factor 5 precursor</t>
  </si>
  <si>
    <t xml:space="preserve">protein midA homolog, mitochondrial precursor </t>
  </si>
  <si>
    <t>NADH dehydrogenase [ubiquinone] 1 beta subcomplex subunit 10</t>
  </si>
  <si>
    <t xml:space="preserve">NADH dehydrogenase [ubiquinone] 1 beta subcomplex subunit 11, mitochondrial </t>
  </si>
  <si>
    <t>NADH dehydrogenase [ubiquinone] 1 beta subcomplex subunit 3</t>
  </si>
  <si>
    <t>NADH dehydrogenase [ubiquinone] 1 beta subcomplex subunit 5, mitochondrial precursor</t>
  </si>
  <si>
    <t>NADH dehydrogenase [ubiquinone] 1 beta subcomplex subunit 6</t>
  </si>
  <si>
    <t>NADH dehydrogenase [ubiquinone] 1 beta subcomplex subunit 7</t>
  </si>
  <si>
    <t>NADH dehydrogenase [ubiquinone] 1 beta subcomplex subunit 8, mitochondrial precursor</t>
  </si>
  <si>
    <t>NADH dehydrogenase [ubiquinone] 1 beta subcomplex subunit 9</t>
  </si>
  <si>
    <t>NADH dehydrogenase [ubiquinone] 1 subunit C2</t>
  </si>
  <si>
    <t xml:space="preserve">NADH-ubiquinone oxidoreductase 75 kDa subunit, mitochondrial precursor </t>
  </si>
  <si>
    <t>NADH dehydrogenase [ubiquinone] iron-sulfur protein 2, mitochondrial precursor</t>
  </si>
  <si>
    <t>NADH dehydrogenase [ubiquinone] iron-sulfur protein 3, mitochondrial precursor</t>
  </si>
  <si>
    <t xml:space="preserve">NADH dehydrogenase [ubiquinone] iron-sulfur protein 4, mitochondrial </t>
  </si>
  <si>
    <t>NADH dehydrogenase [ubiquinone] iron-sulfur protein 6, mitochondrial precursor</t>
  </si>
  <si>
    <t>NADH dehydrogenase [ubiquinone] iron-sulfur protein 7, mitochondrial precursor</t>
  </si>
  <si>
    <t xml:space="preserve">NADH dehydrogenase [ubiquinone] iron-sulfur protein 8, mitochondrial </t>
  </si>
  <si>
    <t xml:space="preserve">NADH dehydrogenase [ubiquinone] flavoprotein 1, mitochondrial precursor </t>
  </si>
  <si>
    <t>NADH dehydrogenase [ubiquinone] flavoprotein 2, mitochondrial isoform 2</t>
  </si>
  <si>
    <t xml:space="preserve">NADH dehydrogenase [ubiquinone] flavoprotein 2, mitochondrial isoform 1 precursor </t>
  </si>
  <si>
    <t>NADH dehydrogenase [ubiquinone] flavoprotein 3, mitochondrial isoform 2</t>
  </si>
  <si>
    <t>NADH dehydrogenase [ubiquinone] flavoprotein 3, mitochondrial isoform 1</t>
  </si>
  <si>
    <t xml:space="preserve">nebulette </t>
  </si>
  <si>
    <t xml:space="preserve">adaptin ear-binding coat-associated protein 1 </t>
  </si>
  <si>
    <t xml:space="preserve">adaptin ear-binding coat-associated protein 2 </t>
  </si>
  <si>
    <t>protein NEDD1</t>
  </si>
  <si>
    <t>E3 ubiquitin-protein ligase NEDD4</t>
  </si>
  <si>
    <t>E3 ubiquitin-protein ligase NEDD4-like isoform 2</t>
  </si>
  <si>
    <t>E3 ubiquitin-protein ligase NEDD4-like isoform 1</t>
  </si>
  <si>
    <t>NEDD8 precursor</t>
  </si>
  <si>
    <t xml:space="preserve">endonuclease 8-like 1 </t>
  </si>
  <si>
    <t xml:space="preserve">serine/threonine-protein kinase Nek1 </t>
  </si>
  <si>
    <t xml:space="preserve">serine/threonine-protein kinase Nek6 </t>
  </si>
  <si>
    <t xml:space="preserve">serine/threonine-protein kinase Nek7 </t>
  </si>
  <si>
    <t xml:space="preserve">serine/threonine-protein kinase Nek9 </t>
  </si>
  <si>
    <t>negative elongation factor A</t>
  </si>
  <si>
    <t>negative elongation factor B</t>
  </si>
  <si>
    <t>negative elongation factor D</t>
  </si>
  <si>
    <t>negative elongation factor E</t>
  </si>
  <si>
    <t xml:space="preserve">nuclear export mediator factor Nemf </t>
  </si>
  <si>
    <t>neudesin precursor</t>
  </si>
  <si>
    <t>neogenin isoform 1 precursor</t>
  </si>
  <si>
    <t>neogenin isoform 2 precursor</t>
  </si>
  <si>
    <t xml:space="preserve">nestin </t>
  </si>
  <si>
    <t>sialidase-1 precursor</t>
  </si>
  <si>
    <t xml:space="preserve">nexilin </t>
  </si>
  <si>
    <t xml:space="preserve">neurofibromin </t>
  </si>
  <si>
    <t xml:space="preserve">nuclear factor NF-kappa-B p105 subunit </t>
  </si>
  <si>
    <t xml:space="preserve">nuclear factor NF-kappa-B p100 subunit isoform b </t>
  </si>
  <si>
    <t xml:space="preserve">nuclear factor NF-kappa-B p100 subunit isoform a </t>
  </si>
  <si>
    <t xml:space="preserve">NF-kappa-B inhibitor alpha </t>
  </si>
  <si>
    <t xml:space="preserve">NF-kappa-B inhibitor beta </t>
  </si>
  <si>
    <t xml:space="preserve">cysteine desulfurase, mitochondrial </t>
  </si>
  <si>
    <t xml:space="preserve">NFU1 iron-sulfur cluster scaffold homolog, mitochondrial isoform 2 precursor </t>
  </si>
  <si>
    <t xml:space="preserve">NFU1 iron-sulfur cluster scaffold homolog, mitochondrial isoform 1 precursor </t>
  </si>
  <si>
    <t>nuclear transcription factor, X-box binding-like 1</t>
  </si>
  <si>
    <t>nuclear transcription factor Y subunit alpha isoform a</t>
  </si>
  <si>
    <t>nuclear transcription factor Y subunit alpha isoform b</t>
  </si>
  <si>
    <t>nuclear transcription factor Y subunit gamma</t>
  </si>
  <si>
    <t xml:space="preserve">ephexin-1 isoform 1 </t>
  </si>
  <si>
    <t xml:space="preserve">ephexin-1 isoform 2 </t>
  </si>
  <si>
    <t>non-homologous end-joining factor 1</t>
  </si>
  <si>
    <t>NHL repeat-containing protein 2</t>
  </si>
  <si>
    <t xml:space="preserve">NHL repeat-containing protein 3 precursor </t>
  </si>
  <si>
    <t xml:space="preserve">H/ACA ribonucleoprotein complex subunit 2 </t>
  </si>
  <si>
    <t xml:space="preserve">Nance-Horan syndrome protein </t>
  </si>
  <si>
    <t xml:space="preserve">NIF3-like protein 1 </t>
  </si>
  <si>
    <t xml:space="preserve">MKI67 FHA domain-interacting nucleolar phosphoprotein </t>
  </si>
  <si>
    <t xml:space="preserve">ninjurin-1 </t>
  </si>
  <si>
    <t xml:space="preserve">60S ribosome subunit biogenesis protein NIP7 homolog isoform 2 </t>
  </si>
  <si>
    <t xml:space="preserve">60S ribosome subunit biogenesis protein NIP7 homolog isoform 1 </t>
  </si>
  <si>
    <t>nipped-B-like protein isoform A</t>
  </si>
  <si>
    <t>nipped-B-like protein isoform B</t>
  </si>
  <si>
    <t>protein NipSnap homolog 1</t>
  </si>
  <si>
    <t>protein NipSnap homolog 3B</t>
  </si>
  <si>
    <t xml:space="preserve">nischarin </t>
  </si>
  <si>
    <t xml:space="preserve">nitrilase homolog 1 isoform 2 </t>
  </si>
  <si>
    <t xml:space="preserve">nitrilase homolog 1 isoform 1 </t>
  </si>
  <si>
    <t>omega-amidase NIT2</t>
  </si>
  <si>
    <t>NF-kappa-B-activating protein</t>
  </si>
  <si>
    <t xml:space="preserve">NFKB activating protein-like </t>
  </si>
  <si>
    <t xml:space="preserve">NF-kappa-B inhibitor-interacting Ras-like protein 2 </t>
  </si>
  <si>
    <t xml:space="preserve">NK-tumor recognition protein </t>
  </si>
  <si>
    <t xml:space="preserve">homeobox protein Nkx-6.1 </t>
  </si>
  <si>
    <t>notchless protein homolog 1</t>
  </si>
  <si>
    <t xml:space="preserve">serine/threonine-protein kinase NLK </t>
  </si>
  <si>
    <t xml:space="preserve">neurolysin, mitochondrial precursor </t>
  </si>
  <si>
    <t>NLR family, pyrin domain containing 1A</t>
  </si>
  <si>
    <t xml:space="preserve">NACHT, LRR and PYD domains-containing protein 3 </t>
  </si>
  <si>
    <t xml:space="preserve">NACHT, LRR and PYD domains-containing protein 5 isoform a </t>
  </si>
  <si>
    <t xml:space="preserve">NACHT, LRR and PYD domains-containing protein 5 isoform b </t>
  </si>
  <si>
    <t>nucleoside diphosphate kinase A</t>
  </si>
  <si>
    <t>nucleoside diphosphate kinase B</t>
  </si>
  <si>
    <t>nucleoside diphosphate kinase 3</t>
  </si>
  <si>
    <t>nucleoside diphosphate kinase 6</t>
  </si>
  <si>
    <t>thioredoxin domain-containing protein 3 isoform 1</t>
  </si>
  <si>
    <t>thioredoxin domain-containing protein 3 isoform 2</t>
  </si>
  <si>
    <t xml:space="preserve">N-myc-interactor </t>
  </si>
  <si>
    <t>nicotinamide mononucleotide adenylyltransferase 1</t>
  </si>
  <si>
    <t>nicotinamide mononucleotide adenylyltransferase 3</t>
  </si>
  <si>
    <t xml:space="preserve">nmrA-like family domain-containing protein 1 </t>
  </si>
  <si>
    <t>nicotinamide riboside kinase 1</t>
  </si>
  <si>
    <t xml:space="preserve">glycylpeptide N-tetradecanoyltransferase 1 </t>
  </si>
  <si>
    <t xml:space="preserve">glycylpeptide N-tetradecanoyltransferase 2 </t>
  </si>
  <si>
    <t>nitric oxide-associated protein 1</t>
  </si>
  <si>
    <t xml:space="preserve">RNA-binding protein NOB1 </t>
  </si>
  <si>
    <t xml:space="preserve">nucleolar complex protein 2 homolog </t>
  </si>
  <si>
    <t xml:space="preserve">nucleotide-binding oligomerization domain-containing protein 2 </t>
  </si>
  <si>
    <t xml:space="preserve">polynucleotide 5'-hydroxyl-kinase NOL9 isoform 2 </t>
  </si>
  <si>
    <t xml:space="preserve">polynucleotide 5'-hydroxyl-kinase NOL9 isoform 1 </t>
  </si>
  <si>
    <t xml:space="preserve">nucleolar and coiled-body phosphoprotein 1 isoform B </t>
  </si>
  <si>
    <t xml:space="preserve">nucleolar and coiled-body phosphoprotein 1 isoform C </t>
  </si>
  <si>
    <t xml:space="preserve">nucleolar and coiled-body phosphoprotein 1 isoform A </t>
  </si>
  <si>
    <t xml:space="preserve">nucleolar and coiled-body phosphoprotein 1 isoform D </t>
  </si>
  <si>
    <t xml:space="preserve">nucleolar MIF4G domain-containing protein 1 </t>
  </si>
  <si>
    <t>nodal modulator 1 precursor</t>
  </si>
  <si>
    <t>non-POU domain-containing octamer-binding protein</t>
  </si>
  <si>
    <t xml:space="preserve">H/ACA ribonucleoprotein complex subunit 3 </t>
  </si>
  <si>
    <t xml:space="preserve">nucleolar protein 16 </t>
  </si>
  <si>
    <t xml:space="preserve">putative ribosomal RNA methyltransferase NOP2 </t>
  </si>
  <si>
    <t xml:space="preserve">nucleolar protein 56 </t>
  </si>
  <si>
    <t xml:space="preserve">nucleolar protein 58 </t>
  </si>
  <si>
    <t xml:space="preserve">nucleolar protein 9 </t>
  </si>
  <si>
    <t xml:space="preserve">carboxyl-terminal PDZ ligand of neuronal nitric oxide synthase protein isoform 2 </t>
  </si>
  <si>
    <t xml:space="preserve">carboxyl-terminal PDZ ligand of neuronal nitric oxide synthase protein isoform 1 </t>
  </si>
  <si>
    <t>nitric oxide synthase-interacting protein isoform 2</t>
  </si>
  <si>
    <t>nitric oxide synthase-interacting protein isoform 1</t>
  </si>
  <si>
    <t xml:space="preserve">neurogenic locus notch homolog protein 2 precursor </t>
  </si>
  <si>
    <t xml:space="preserve">neurogenic locus notch homolog protein 3 precursor </t>
  </si>
  <si>
    <t xml:space="preserve">neuronal PAS domain-containing protein 4 </t>
  </si>
  <si>
    <t>Niemann-Pick C1 protein precursor</t>
  </si>
  <si>
    <t xml:space="preserve">epididymal secretory protein E1 precursor </t>
  </si>
  <si>
    <t xml:space="preserve">probable aminopeptidase NPEPL1 </t>
  </si>
  <si>
    <t>puromycin-sensitive aminopeptidase</t>
  </si>
  <si>
    <t>nuclear protein localization protein 4 homolog isoform A</t>
  </si>
  <si>
    <t>nuclear protein localization protein 4 homolog isoform B</t>
  </si>
  <si>
    <t xml:space="preserve">nucleophosmin isoform 2 </t>
  </si>
  <si>
    <t xml:space="preserve">nucleophosmin isoform 3 </t>
  </si>
  <si>
    <t xml:space="preserve">nucleophosmin isoform 1 </t>
  </si>
  <si>
    <t xml:space="preserve">nucleoplasmin-3 </t>
  </si>
  <si>
    <t>nephronectin isoform b precursor</t>
  </si>
  <si>
    <t>nephronectin isoform a precursor</t>
  </si>
  <si>
    <t xml:space="preserve">nitrogen permease regulator 3-like protein </t>
  </si>
  <si>
    <t>neuroplastin precursor</t>
  </si>
  <si>
    <t>NAD(P)H dehydrogenase [quinone] 1</t>
  </si>
  <si>
    <t xml:space="preserve">ribosyldihydronicotinamide dehydrogenase [quinone] isoform 2 </t>
  </si>
  <si>
    <t xml:space="preserve">ribosyldihydronicotinamide dehydrogenase [quinone] isoform 1 </t>
  </si>
  <si>
    <t>nuclear receptor 2C2-associated protein isoform 1</t>
  </si>
  <si>
    <t>glucocorticoid receptor</t>
  </si>
  <si>
    <t xml:space="preserve">GTPase NRas precursor </t>
  </si>
  <si>
    <t xml:space="preserve">nuclear receptor-binding protein </t>
  </si>
  <si>
    <t>nuclear receptor-binding protein 2</t>
  </si>
  <si>
    <t>nardilysin precursor</t>
  </si>
  <si>
    <t xml:space="preserve">neural retina-specific leucine zipper protein </t>
  </si>
  <si>
    <t xml:space="preserve">nurim </t>
  </si>
  <si>
    <t>neuropilin-1 precursor</t>
  </si>
  <si>
    <t xml:space="preserve">sterol-4-alpha-carboxylate 3-dehydrogenase, decarboxylating </t>
  </si>
  <si>
    <t>vesicle-fusing ATPase</t>
  </si>
  <si>
    <t xml:space="preserve">NSFL1 cofactor p47 </t>
  </si>
  <si>
    <t>E3 SUMO-protein ligase NSE2 isoform 1</t>
  </si>
  <si>
    <t>E3 SUMO-protein ligase NSE2 isoform 2</t>
  </si>
  <si>
    <t xml:space="preserve">non-SMC element 4 homolog A </t>
  </si>
  <si>
    <t>tRNA (cytosine(34)-C(5))-methyltransferase</t>
  </si>
  <si>
    <t xml:space="preserve">putative methyltransferase NSUN5 </t>
  </si>
  <si>
    <t xml:space="preserve">putative methyltransferase NSUN6 isoform a </t>
  </si>
  <si>
    <t xml:space="preserve">putative methyltransferase NSUN6 isoform b </t>
  </si>
  <si>
    <t xml:space="preserve">putative methyltransferase NSUN6 isoform c </t>
  </si>
  <si>
    <t xml:space="preserve">5'(3')-deoxyribonucleotidase, cytosolic type </t>
  </si>
  <si>
    <t xml:space="preserve">cytosolic purine 5'-nucleotidase isoform 1 </t>
  </si>
  <si>
    <t xml:space="preserve">cytosolic purine 5'-nucleotidase isoform 2 </t>
  </si>
  <si>
    <t xml:space="preserve">cytosolic purine 5'-nucleotidase isoform 3 </t>
  </si>
  <si>
    <t xml:space="preserve">cytosolic 5'-nucleotidase 3 isoform 1 </t>
  </si>
  <si>
    <t xml:space="preserve">cytosolic 5'-nucleotidase 3 isoform 2 </t>
  </si>
  <si>
    <t>cytosolic 5'-nucleotidase III-like protein isoform 2</t>
  </si>
  <si>
    <t>cytosolic 5'-nucleotidase III-like protein isoform 1</t>
  </si>
  <si>
    <t>5'-nucleotidase domain-containing protein 1</t>
  </si>
  <si>
    <t>5'-nucleotidase domain containing 2</t>
  </si>
  <si>
    <t>5'-nucleotidase domain-containing protein 3</t>
  </si>
  <si>
    <t>protein N-terminal asparagine amidohydrolase</t>
  </si>
  <si>
    <t>N-terminal Xaa-Pro-Lys N-methyltransferase 1</t>
  </si>
  <si>
    <t xml:space="preserve">cancer-related nucleoside-triphosphatase homolog </t>
  </si>
  <si>
    <t>NEDD8 ultimate buster 1</t>
  </si>
  <si>
    <t>cytosolic Fe-S cluster assembly factor NUBP1</t>
  </si>
  <si>
    <t>cytosolic Fe-S cluster assembly factor NUBP2</t>
  </si>
  <si>
    <t>iron-sulfur protein NUBPL precursor</t>
  </si>
  <si>
    <t>nucleobindin-1 isoform 1 precursor</t>
  </si>
  <si>
    <t>nucleobindin-1 isoform 2 precursor</t>
  </si>
  <si>
    <t>nucleobindin-2 precursor</t>
  </si>
  <si>
    <t>nuclear ubiquitous casein and cyclin-dependent kinase substrate 1 isoform 1</t>
  </si>
  <si>
    <t>nuclear ubiquitous casein and cyclin-dependent kinase substrate 1 isoform 2</t>
  </si>
  <si>
    <t>nuclear migration protein nudC</t>
  </si>
  <si>
    <t>nudC domain-containing protein 1 isoform 1</t>
  </si>
  <si>
    <t>nudC domain-containing protein 1 isoform 2</t>
  </si>
  <si>
    <t>nudC domain-containing protein 2</t>
  </si>
  <si>
    <t>nudC domain-containing protein 3</t>
  </si>
  <si>
    <t xml:space="preserve">7,8-dihydro-8-oxoguanine triphosphatase precursor </t>
  </si>
  <si>
    <t>diphosphoinositol polyphosphate phosphohydrolase 3-alpha</t>
  </si>
  <si>
    <t>peroxisomal NADH pyrophosphatase NUDT12</t>
  </si>
  <si>
    <t>uridine diphosphate glucose pyrophosphatase</t>
  </si>
  <si>
    <t xml:space="preserve">U8 snoRNA-decapping enzyme </t>
  </si>
  <si>
    <t>protein syndesmos</t>
  </si>
  <si>
    <t>bis(5'-nucleosyl)-tetraphosphatase [asymmetrical]</t>
  </si>
  <si>
    <t xml:space="preserve">cleavage and polyadenylation specificity factor subunit 5 </t>
  </si>
  <si>
    <t>diphosphoinositol polyphosphate phosphohydrolase 1</t>
  </si>
  <si>
    <t>diphosphoinositol polyphosphate phosphohydrolase 2</t>
  </si>
  <si>
    <t>ADP-sugar pyrophosphatase</t>
  </si>
  <si>
    <t>nucleoside diphosphate-linked moiety X motif 8, mitochondrial precursor</t>
  </si>
  <si>
    <t xml:space="preserve">ADP-ribose pyrophosphatase, mitochondrial </t>
  </si>
  <si>
    <t xml:space="preserve">kinetochore protein Nuf2 </t>
  </si>
  <si>
    <t xml:space="preserve">nuclear fragile X mental retardation-interacting protein 2 </t>
  </si>
  <si>
    <t xml:space="preserve">nuclear mitotic apparatus protein 1 </t>
  </si>
  <si>
    <t xml:space="preserve">protein numb homolog isoform 1 </t>
  </si>
  <si>
    <t xml:space="preserve">protein numb homolog isoform 3 </t>
  </si>
  <si>
    <t xml:space="preserve">protein numb homolog isoform 4 </t>
  </si>
  <si>
    <t xml:space="preserve">protein numb homolog isoform 2 </t>
  </si>
  <si>
    <t xml:space="preserve">nuclear pore complex protein Nup107 </t>
  </si>
  <si>
    <t xml:space="preserve">nuclear pore complex protein Nup133 </t>
  </si>
  <si>
    <t xml:space="preserve">nuclear pore complex protein Nup155 </t>
  </si>
  <si>
    <t xml:space="preserve">nuclear pore complex protein Nup160 </t>
  </si>
  <si>
    <t xml:space="preserve">nucleoporin NUP188 homolog </t>
  </si>
  <si>
    <t>nucleoporin 205</t>
  </si>
  <si>
    <t>nuclear pore membrane glycoprotein 210 precursor</t>
  </si>
  <si>
    <t xml:space="preserve">nuclear pore complex protein Nup214 </t>
  </si>
  <si>
    <t>nucleoporin NUP53 isoform 2</t>
  </si>
  <si>
    <t>nucleoporin NUP53 isoform 1</t>
  </si>
  <si>
    <t>nucleoporin Nup37</t>
  </si>
  <si>
    <t>nucleoporin Nup43</t>
  </si>
  <si>
    <t xml:space="preserve">nuclear pore complex protein Nup50 </t>
  </si>
  <si>
    <t xml:space="preserve">nuclear pore complex protein Nup54 </t>
  </si>
  <si>
    <t xml:space="preserve">nuclear pore complex protein Nup85 </t>
  </si>
  <si>
    <t xml:space="preserve">nuclear pore complex protein Nup93 </t>
  </si>
  <si>
    <t xml:space="preserve">nogo-B receptor precursor </t>
  </si>
  <si>
    <t xml:space="preserve">nucleolar and spindle-associated protein 1 isoform b </t>
  </si>
  <si>
    <t xml:space="preserve">nucleolar and spindle-associated protein 1 isoform a </t>
  </si>
  <si>
    <t xml:space="preserve">nuclear valosin-containing protein-like </t>
  </si>
  <si>
    <t xml:space="preserve">nuclear RNA export factor 1 isoform 2 </t>
  </si>
  <si>
    <t xml:space="preserve">nuclear RNA export factor 1 isoform 1 </t>
  </si>
  <si>
    <t xml:space="preserve">nucleoredoxin </t>
  </si>
  <si>
    <t>NTF2-related export protein 1</t>
  </si>
  <si>
    <t>NTF2-related export protein 2</t>
  </si>
  <si>
    <t>protein NYNRIN</t>
  </si>
  <si>
    <t xml:space="preserve">O-acetyl-ADP-ribose deacetylase 1 </t>
  </si>
  <si>
    <t xml:space="preserve">2'-5'-oligoadenylate synthase 1A </t>
  </si>
  <si>
    <t>2'-5' oligoadenylate synthetase 1G</t>
  </si>
  <si>
    <t>CST complex subunit STN1</t>
  </si>
  <si>
    <t>obscurin-like 1</t>
  </si>
  <si>
    <t>OCIA domain-containing protein 1 isoform 1</t>
  </si>
  <si>
    <t>OCIA domain-containing protein 1 isoform 2</t>
  </si>
  <si>
    <t>OCIA domain-containing protein 1 isoform 3</t>
  </si>
  <si>
    <t xml:space="preserve">outer dense fiber protein 3-like protein 1 </t>
  </si>
  <si>
    <t xml:space="preserve">oral-facial-digital syndrome 1 protein homolog </t>
  </si>
  <si>
    <t>2-oxoglutarate dehydrogenase, mitochondrial isoform 3 precursor</t>
  </si>
  <si>
    <t xml:space="preserve">2-oxoglutarate dehydrogenase, mitochondrial isoform 3 </t>
  </si>
  <si>
    <t xml:space="preserve">2-oxoglutarate dehydrogenase, mitochondrial isoform 1 </t>
  </si>
  <si>
    <t xml:space="preserve">2-oxoglutarate dehydrogenase, mitochondrial isoform 2 </t>
  </si>
  <si>
    <t xml:space="preserve">2-oxoglutarate dehydrogenase, mitochondrial isoform 4 </t>
  </si>
  <si>
    <t xml:space="preserve">2-oxoglutarate dehydrogenase-like, mitochondrial </t>
  </si>
  <si>
    <t xml:space="preserve">2-oxoglutarate and iron-dependent oxygenase domain-containing protein 1 isoform 1 </t>
  </si>
  <si>
    <t xml:space="preserve">2-oxoglutarate and iron-dependent oxygenase domain-containing protein 1 isoform 2 </t>
  </si>
  <si>
    <t>opioid growth factor receptor</t>
  </si>
  <si>
    <t xml:space="preserve">UDP-N-acetylglucosamine--peptide N-acetylglucosaminyltransferase 110 kDa subunit </t>
  </si>
  <si>
    <t xml:space="preserve">protein FAM3D precursor </t>
  </si>
  <si>
    <t xml:space="preserve">obg-like ATPase 1 isoform a </t>
  </si>
  <si>
    <t xml:space="preserve">obg-like ATPase 1 isoform b </t>
  </si>
  <si>
    <t xml:space="preserve">olfactory receptor 1126 </t>
  </si>
  <si>
    <t xml:space="preserve">olfactory receptor 516 </t>
  </si>
  <si>
    <t xml:space="preserve">olfactory receptor 518 </t>
  </si>
  <si>
    <t xml:space="preserve">olfactory receptor 554 </t>
  </si>
  <si>
    <t xml:space="preserve">olfactory receptor 643 </t>
  </si>
  <si>
    <t xml:space="preserve">olfactory receptor 67 </t>
  </si>
  <si>
    <t xml:space="preserve">olfactory receptor 810 </t>
  </si>
  <si>
    <t xml:space="preserve">olfactory receptor 816 </t>
  </si>
  <si>
    <t xml:space="preserve">olfactory receptor 822 </t>
  </si>
  <si>
    <t xml:space="preserve">olfactory receptor 870 </t>
  </si>
  <si>
    <t xml:space="preserve">olfactory receptor 871 </t>
  </si>
  <si>
    <t xml:space="preserve">olfactory receptor 923 </t>
  </si>
  <si>
    <t>dynamin-like 120 kDa protein, mitochondrial isoform 2 precursor</t>
  </si>
  <si>
    <t>dynamin-like 120 kDa protein, mitochondrial isoform 1 precursor</t>
  </si>
  <si>
    <t xml:space="preserve">optic atrophy 3 protein homolog </t>
  </si>
  <si>
    <t xml:space="preserve">optineurin </t>
  </si>
  <si>
    <t xml:space="preserve">ORM1-like protein 2 </t>
  </si>
  <si>
    <t xml:space="preserve">ORM1-like protein 3 </t>
  </si>
  <si>
    <t xml:space="preserve">protein OS-9 isoform 2 precursor </t>
  </si>
  <si>
    <t xml:space="preserve">protein OS-9 isoform 1 precursor </t>
  </si>
  <si>
    <t xml:space="preserve">oxysterol-binding protein 1 </t>
  </si>
  <si>
    <t xml:space="preserve">oxysterol-binding protein 2 </t>
  </si>
  <si>
    <t>oxysterol-binding protein-related protein 10</t>
  </si>
  <si>
    <t>oxysterol-binding protein-related protein 11</t>
  </si>
  <si>
    <t>oxysterol-binding protein-related protein 2</t>
  </si>
  <si>
    <t>oxysterol-binding protein-related protein 3 isoform 1</t>
  </si>
  <si>
    <t>oxysterol-binding protein-related protein 3 isoform 2</t>
  </si>
  <si>
    <t>oxysterol-binding protein-like protein 8 isoform a</t>
  </si>
  <si>
    <t>oxysterol-binding protein-like protein 8 isoform b</t>
  </si>
  <si>
    <t>oxysterol-binding protein-related protein 9 isoform b</t>
  </si>
  <si>
    <t>oxysterol-binding protein-related protein 9 isoform c</t>
  </si>
  <si>
    <t>oxysterol-binding protein-related protein 9 isoform a</t>
  </si>
  <si>
    <t>probable tRNA threonylcarbamoyladenosine biosynthesis protein Osgep</t>
  </si>
  <si>
    <t>oligosaccharyltransferase complex subunit OSTC</t>
  </si>
  <si>
    <t xml:space="preserve">osteoclast-stimulating factor 1 </t>
  </si>
  <si>
    <t xml:space="preserve">ubiquitin thioesterase OTUB1 </t>
  </si>
  <si>
    <t>OTU domain-containing protein 4 isoform 2</t>
  </si>
  <si>
    <t>OTU domain-containing protein 4 isoform 1</t>
  </si>
  <si>
    <t>OTU domain-containing protein 5</t>
  </si>
  <si>
    <t>OTU domain-containing protein 6B</t>
  </si>
  <si>
    <t>OTU domain-containing protein 7A</t>
  </si>
  <si>
    <t>zinc finger, A20 domain containing 1</t>
  </si>
  <si>
    <t>ovarian cancer-associated gene 2 protein homolog</t>
  </si>
  <si>
    <t>transcription factor Ovo-like 2 isoform A</t>
  </si>
  <si>
    <t xml:space="preserve">succinyl-CoA:3-ketoacid coenzyme A transferase 1, mitochondrial precursor </t>
  </si>
  <si>
    <t>oxidoreductase NAD-binding domain-containing protein 1 precursor</t>
  </si>
  <si>
    <t>oxidation resistance protein 1 isoform C</t>
  </si>
  <si>
    <t>oxidation resistance protein 1 isoform A</t>
  </si>
  <si>
    <t>oxidation resistance protein 1 isoform B</t>
  </si>
  <si>
    <t>oxidation resistance protein 1 isoform D</t>
  </si>
  <si>
    <t>oxidation resistance protein 1 isoform E</t>
  </si>
  <si>
    <t>3-oxoacyl-[acyl-carrier-protein] synthase, mitochondrial precursor</t>
  </si>
  <si>
    <t xml:space="preserve">serine/threonine-protein kinase OSR1 </t>
  </si>
  <si>
    <t xml:space="preserve">P2X purinoceptor 4 </t>
  </si>
  <si>
    <t xml:space="preserve">purinergic receptor P2X5 </t>
  </si>
  <si>
    <t xml:space="preserve">prolyl 4-hydroxylase subunit alpha-1 precursor </t>
  </si>
  <si>
    <t xml:space="preserve">protein disulfide-isomerase precursor </t>
  </si>
  <si>
    <t xml:space="preserve">proliferation-associated protein 2G4 </t>
  </si>
  <si>
    <t xml:space="preserve">polyadenylate-binding protein 1 </t>
  </si>
  <si>
    <t xml:space="preserve">polyadenylate-binding protein 1-like </t>
  </si>
  <si>
    <t xml:space="preserve">PREDICTED: polyadenylate-binding protein 1-like 2-like </t>
  </si>
  <si>
    <t>poly A binding protein, cytoplasmic 2</t>
  </si>
  <si>
    <t xml:space="preserve">polyadenylate-binding protein 4 isoform 2 </t>
  </si>
  <si>
    <t xml:space="preserve">polyadenylate-binding protein 4 isoform 1 </t>
  </si>
  <si>
    <t xml:space="preserve">poly(A) binding protein, cytoplasmic 4-like </t>
  </si>
  <si>
    <t xml:space="preserve">polyadenylate-binding protein 5 </t>
  </si>
  <si>
    <t xml:space="preserve">poly(A) binding protein, cytoplasmic 3 </t>
  </si>
  <si>
    <t xml:space="preserve">polyadenylate-binding protein 2 </t>
  </si>
  <si>
    <t>phosphofurin acidic cluster sorting protein 1</t>
  </si>
  <si>
    <t xml:space="preserve">protein kinase C and casein kinase substrate in neurons protein 2 </t>
  </si>
  <si>
    <t>protein kinase C and casein kinase II substrate protein 3</t>
  </si>
  <si>
    <t xml:space="preserve">protein-arginine deiminase type-2 </t>
  </si>
  <si>
    <t>RNA polymerase II-associated factor 1 homolog</t>
  </si>
  <si>
    <t>platelet-activating factor acetylhydrolase IB subunit alpha</t>
  </si>
  <si>
    <t>platelet-activating factor acetylhydrolase IB subunit beta</t>
  </si>
  <si>
    <t>platelet-activating factor acetylhydrolase IB subunit gamma</t>
  </si>
  <si>
    <t xml:space="preserve">platelet-activating factor acetylhydrolase 2, cytoplasmic </t>
  </si>
  <si>
    <t xml:space="preserve">multifunctional protein ADE2 </t>
  </si>
  <si>
    <t>polyadenylate-binding protein-interacting protein 1 isoform 2</t>
  </si>
  <si>
    <t>polyadenylate-binding protein-interacting protein 1 isoform 1</t>
  </si>
  <si>
    <t>serine/threonine-protein kinase PAK 1</t>
  </si>
  <si>
    <t xml:space="preserve">p21-activated protein kinase-interacting protein 1 </t>
  </si>
  <si>
    <t>serine/threonine-protein kinase PAK 2</t>
  </si>
  <si>
    <t>serine/threonine-protein kinase PAK 3 isoform A</t>
  </si>
  <si>
    <t>serine/threonine-protein kinase PAK 3 isoform B</t>
  </si>
  <si>
    <t>serine/threonine-protein kinase PAK 3 isoform C</t>
  </si>
  <si>
    <t>serine/threonine-protein kinase PAK 3 isoform D</t>
  </si>
  <si>
    <t>serine/threonine-protein kinase PAK 4</t>
  </si>
  <si>
    <t xml:space="preserve">paladin </t>
  </si>
  <si>
    <t xml:space="preserve">palladin </t>
  </si>
  <si>
    <t xml:space="preserve">paralemmin-1 isoform 1 </t>
  </si>
  <si>
    <t xml:space="preserve">paralemmin-1 isoform 2 </t>
  </si>
  <si>
    <t xml:space="preserve">paralemmin-3 </t>
  </si>
  <si>
    <t>peptidyl-glycine alpha-amidating monooxygenase precursor</t>
  </si>
  <si>
    <t xml:space="preserve">mitochondrial import inner membrane translocase subunit TIM16 </t>
  </si>
  <si>
    <t xml:space="preserve">PAB-dependent poly(A)-specific ribonuclease subunit 2 isoform 1 </t>
  </si>
  <si>
    <t xml:space="preserve">PAB-dependent poly(A)-specific ribonuclease subunit 2 isoform 2 </t>
  </si>
  <si>
    <t xml:space="preserve">PAB-dependent poly(A)-specific ribonuclease subunit 2 isoform 3 </t>
  </si>
  <si>
    <t xml:space="preserve">PAB-dependent poly(A)-specific ribonuclease subunit 3 </t>
  </si>
  <si>
    <t xml:space="preserve">pantothenate kinase 1 isoform 2 </t>
  </si>
  <si>
    <t xml:space="preserve">pantothenate kinase 1 isoform 1 </t>
  </si>
  <si>
    <t xml:space="preserve">pantothenate kinase 2 </t>
  </si>
  <si>
    <t xml:space="preserve">pantothenate kinase 3 </t>
  </si>
  <si>
    <t xml:space="preserve">pantothenate kinase 4 </t>
  </si>
  <si>
    <t xml:space="preserve">peroxisomal N(1)-acetyl-spermine/spermidine oxidase </t>
  </si>
  <si>
    <t xml:space="preserve">poly(A) polymerase alpha </t>
  </si>
  <si>
    <t xml:space="preserve">poly(A) polymerase beta </t>
  </si>
  <si>
    <t xml:space="preserve">poly(A) polymerase gamma </t>
  </si>
  <si>
    <t xml:space="preserve">bifunctional 3'-phosphoadenosine 5'-phosphosulfate synthase 1 </t>
  </si>
  <si>
    <t xml:space="preserve">bifunctional 3'-phosphoadenosine 5'-phosphosulfate synthase 2 isoform 2 </t>
  </si>
  <si>
    <t xml:space="preserve">bifunctional 3'-phosphoadenosine 5'-phosphosulfate synthase 2 isoform 1 </t>
  </si>
  <si>
    <t xml:space="preserve">progestin and adipoQ receptor family member 4 </t>
  </si>
  <si>
    <t>partitioning defective 3 homolog isoform 3</t>
  </si>
  <si>
    <t>partitioning defective 3 homolog isoform 4</t>
  </si>
  <si>
    <t>partitioning defective 3 homolog isoform 2</t>
  </si>
  <si>
    <t>partitioning defective 3 homolog isoform 1</t>
  </si>
  <si>
    <t xml:space="preserve">partitioning defective 3 homolog B </t>
  </si>
  <si>
    <t xml:space="preserve">partitioning defective 6 homolog alpha isoform 1 </t>
  </si>
  <si>
    <t xml:space="preserve">partitioning defective 6 homolog alpha isoform 2 </t>
  </si>
  <si>
    <t xml:space="preserve">partitioning defective 6 homolog alpha isoform 3 </t>
  </si>
  <si>
    <t xml:space="preserve">partitioning defective 6 homolog beta </t>
  </si>
  <si>
    <t xml:space="preserve">partitioning defective 6 homolog gamma </t>
  </si>
  <si>
    <t>poly(ADP-ribose) glycohydrolase</t>
  </si>
  <si>
    <t>protein DJ-1</t>
  </si>
  <si>
    <t xml:space="preserve">poly(A)-specific ribonuclease PARN </t>
  </si>
  <si>
    <t>poly [ADP-ribose] polymerase 1</t>
  </si>
  <si>
    <t>poly (ADP-ribose) polymerase family, member 10</t>
  </si>
  <si>
    <t>poly [ADP-ribose] polymerase 12</t>
  </si>
  <si>
    <t>poly [ADP-ribose] polymerase 3</t>
  </si>
  <si>
    <t>poly (ADP-ribose) polymerase family, member 4</t>
  </si>
  <si>
    <t>poly [ADP-ribose] polymerase 9</t>
  </si>
  <si>
    <t>probable proline--tRNA ligase, mitochondrial isoform 1</t>
  </si>
  <si>
    <t>probable proline--tRNA ligase, mitochondrial isoform 2</t>
  </si>
  <si>
    <t xml:space="preserve">alpha-parvin </t>
  </si>
  <si>
    <t xml:space="preserve">beta-parvin </t>
  </si>
  <si>
    <t>PAS domain-containing serine/threonine-protein kinase</t>
  </si>
  <si>
    <t>protein PAT1 homolog 1</t>
  </si>
  <si>
    <t xml:space="preserve">PRKC apoptosis WT1 regulator protein </t>
  </si>
  <si>
    <t xml:space="preserve">PAX3- and PAX7-binding protein 1 </t>
  </si>
  <si>
    <t>protein PBDC1</t>
  </si>
  <si>
    <t xml:space="preserve">lymphokine-activated killer T-cell-originated protein kinase </t>
  </si>
  <si>
    <t xml:space="preserve">phenazine biosynthesis-like domain-containing protein 1 </t>
  </si>
  <si>
    <t xml:space="preserve">phenazine biosynthesis-like domain-containing protein 2 </t>
  </si>
  <si>
    <t>pre-B-cell leukemia transcription factor-interacting protein 1</t>
  </si>
  <si>
    <t>pterin-4-alpha-carbinolamine dehydratase</t>
  </si>
  <si>
    <t xml:space="preserve">pterin-4-alpha-carbinolamine dehydratase 2 </t>
  </si>
  <si>
    <t xml:space="preserve">poly(rC)-binding protein 1 </t>
  </si>
  <si>
    <t xml:space="preserve">poly(rC)-binding protein 2 isoform 1 </t>
  </si>
  <si>
    <t xml:space="preserve">poly(rC)-binding protein 2 isoform 3 </t>
  </si>
  <si>
    <t xml:space="preserve">poly(rC)-binding protein 2 isoform 2 </t>
  </si>
  <si>
    <t xml:space="preserve">poly(rC)-binding protein 2 isoform 4 </t>
  </si>
  <si>
    <t xml:space="preserve">poly(rC)-binding protein 3 </t>
  </si>
  <si>
    <t xml:space="preserve">poly(rC)-binding protein 4 </t>
  </si>
  <si>
    <t>propionyl-CoA carboxylase alpha chain, mitochondrial precursor</t>
  </si>
  <si>
    <t>propionyl-CoA carboxylase beta chain, mitochondrial precursor</t>
  </si>
  <si>
    <t>protocadherin-1 precursor</t>
  </si>
  <si>
    <t xml:space="preserve">protocadherin alpha-4 precursor </t>
  </si>
  <si>
    <t>protocadherin alpha 4-gamma precursor</t>
  </si>
  <si>
    <t>PCI domain-containing protein 2</t>
  </si>
  <si>
    <t>phosphorylated CTD-interacting factor 1</t>
  </si>
  <si>
    <t>phosphoenolpyruvate carboxykinase [GTP], mitochondrial</t>
  </si>
  <si>
    <t>pericentriolar material 1 protein</t>
  </si>
  <si>
    <t>protein-L-isoaspartate(D-aspartate) O-methyltransferase</t>
  </si>
  <si>
    <t xml:space="preserve">protein-L-isoaspartate O-methyltransferase domain-containing protein 1 </t>
  </si>
  <si>
    <t xml:space="preserve">protein-L-isoaspartate O-methyltransferase domain-containing protein 2 </t>
  </si>
  <si>
    <t>proliferating cell nuclear antigen</t>
  </si>
  <si>
    <t xml:space="preserve">PEST proteolytic signal-containing nuclear protein </t>
  </si>
  <si>
    <t xml:space="preserve">pericentrin </t>
  </si>
  <si>
    <t xml:space="preserve">pecanex-like protein 2 isoform 2 </t>
  </si>
  <si>
    <t xml:space="preserve">pecanex-like protein 3 </t>
  </si>
  <si>
    <t>proprotein convertase subtilisin/kexin type 5 isoform 2 preproprotein</t>
  </si>
  <si>
    <t>proprotein convertase subtilisin/kexin type 5 isoform 1 preproprotein</t>
  </si>
  <si>
    <t xml:space="preserve">phosphatidylcholine transfer protein </t>
  </si>
  <si>
    <t xml:space="preserve">pyruvate carboxylase, mitochondrial isoform 2 </t>
  </si>
  <si>
    <t xml:space="preserve">pyruvate carboxylase, mitochondrial isoform 1 </t>
  </si>
  <si>
    <t xml:space="preserve">prenylcysteine oxidase precursor </t>
  </si>
  <si>
    <t xml:space="preserve">prenylcysteine oxidase-like precursor </t>
  </si>
  <si>
    <t xml:space="preserve">choline-phosphate cytidylyltransferase A </t>
  </si>
  <si>
    <t xml:space="preserve">choline-phosphate cytidylyltransferase B isoform 2 </t>
  </si>
  <si>
    <t xml:space="preserve">choline-phosphate cytidylyltransferase B isoform 1 </t>
  </si>
  <si>
    <t>ethanolamine-phosphate cytidylyltransferase</t>
  </si>
  <si>
    <t>28 kDa heat- and acid-stable phosphoprotein</t>
  </si>
  <si>
    <t xml:space="preserve">programmed cell death protein 10 </t>
  </si>
  <si>
    <t xml:space="preserve">protein RRP5 homolog </t>
  </si>
  <si>
    <t xml:space="preserve">programmed cell death protein 2 </t>
  </si>
  <si>
    <t xml:space="preserve">programmed cell death protein 4 </t>
  </si>
  <si>
    <t xml:space="preserve">programmed cell death protein 6 </t>
  </si>
  <si>
    <t xml:space="preserve">programmed cell death 6-interacting protein isoform 1 </t>
  </si>
  <si>
    <t xml:space="preserve">programmed cell death 6-interacting protein isoform 2 </t>
  </si>
  <si>
    <t xml:space="preserve">programmed cell death 6-interacting protein isoform 3 </t>
  </si>
  <si>
    <t>phosducin-like protein</t>
  </si>
  <si>
    <t xml:space="preserve">phosducin-like protein 3 </t>
  </si>
  <si>
    <t xml:space="preserve">Parkinson disease 7 domain-containing protein 1 precursor </t>
  </si>
  <si>
    <t>2',5'-phosphodiesterase 12</t>
  </si>
  <si>
    <t>cAMP-specific 3',5'-cyclic phosphodiesterase 4C</t>
  </si>
  <si>
    <t xml:space="preserve">myomegalin isoform 1 </t>
  </si>
  <si>
    <t xml:space="preserve">myomegalin isoform 4 </t>
  </si>
  <si>
    <t xml:space="preserve">myomegalin isoform 2 </t>
  </si>
  <si>
    <t>retinal rod rhodopsin-sensitive cGMP 3',5'-cyclic phosphodiesterase subunit delta</t>
  </si>
  <si>
    <t xml:space="preserve">high affinity cAMP-specific 3',5'-cyclic phosphodiesterase 7A isoform 1 precursor </t>
  </si>
  <si>
    <t>high affinity cAMP-specific 3',5'-cyclic phosphodiesterase 7A isoform 2</t>
  </si>
  <si>
    <t xml:space="preserve">peptide deformylase-like protein </t>
  </si>
  <si>
    <t>platelet-derived growth factor receptor alpha precursor</t>
  </si>
  <si>
    <t>platelet-derived growth factor receptor beta isoform 1 precursor</t>
  </si>
  <si>
    <t>platelet-derived growth factor receptor beta isoform 2 precursor</t>
  </si>
  <si>
    <t>pyruvate dehydrogenase E1 component subunit alpha, somatic form, mitochondrial precursor</t>
  </si>
  <si>
    <t>pyruvate dehydrogenase E1 component subunit alpha, testis-specific form, mitochondrial precursor</t>
  </si>
  <si>
    <t>pyruvate dehydrogenase E1 component subunit beta, mitochondrial precursor</t>
  </si>
  <si>
    <t>pyruvate dehydrogenase protein X component, mitochondrial</t>
  </si>
  <si>
    <t>protein disulfide-isomerase A3 precursor</t>
  </si>
  <si>
    <t>protein disulfide-isomerase A4 precursor</t>
  </si>
  <si>
    <t>protein disulfide-isomerase A5 precursor</t>
  </si>
  <si>
    <t>PREDICTED: protein disulfide-isomerase A6</t>
  </si>
  <si>
    <t>protein disulfide-isomerase A6 precursor</t>
  </si>
  <si>
    <t>pyruvate dehydrogenase kinase, isozyme 1 precursor</t>
  </si>
  <si>
    <t xml:space="preserve">pyruvate dehydrogenase kinase, isoenzyme 2 </t>
  </si>
  <si>
    <t xml:space="preserve">pyruvate dehydrogenase kinase, isozyme 3 </t>
  </si>
  <si>
    <t>PDZ and LIM domain protein 1</t>
  </si>
  <si>
    <t>PDZ and LIM domain protein 2</t>
  </si>
  <si>
    <t>PDZ and LIM domain protein 5 isoform ENH3b</t>
  </si>
  <si>
    <t>PDZ and LIM domain protein 5 isoform ENH2</t>
  </si>
  <si>
    <t>PDZ and LIM domain protein 5 isoform ENH4</t>
  </si>
  <si>
    <t>PDZ and LIM domain protein 5 isoform ENH3a</t>
  </si>
  <si>
    <t>PDZ and LIM domain protein 5 isoform ENH1</t>
  </si>
  <si>
    <t>PDZ and LIM domain protein 5 isoform ENH1e</t>
  </si>
  <si>
    <t>PDZ and LIM domain protein 5 isoform ENH1b</t>
  </si>
  <si>
    <t>PDZ and LIM domain protein 5 isoform ENH1c</t>
  </si>
  <si>
    <t>PDZ and LIM domain protein 5 isoform ENH1d</t>
  </si>
  <si>
    <t>PDZ and LIM domain protein 7 isoform c</t>
  </si>
  <si>
    <t>PDZ and LIM domain protein 7 isoform b</t>
  </si>
  <si>
    <t>PDZ and LIM domain protein 7 isoform a</t>
  </si>
  <si>
    <t xml:space="preserve">[Pyruvate dehydrogenase [acetyl-transferring]]-phosphatase 1, mitochondrial isoform b </t>
  </si>
  <si>
    <t xml:space="preserve">[Pyruvate dehydrogenase [acetyl-transferring]]-phosphatase 1, mitochondrial isoform a </t>
  </si>
  <si>
    <t xml:space="preserve">[Pyruvate dehydrogenase [acetyl-transferring]]-phosphatase 1, mitochondrial isoform c </t>
  </si>
  <si>
    <t>3-phosphoinositide-dependent protein kinase 1 isoform A</t>
  </si>
  <si>
    <t>3-phosphoinositide-dependent protein kinase 1 isoform B</t>
  </si>
  <si>
    <t xml:space="preserve">pyruvate dehydrogenase phosphatase regulatory subunit, mitochondrial precursor </t>
  </si>
  <si>
    <t>p53 and DNA damage-regulated protein 1</t>
  </si>
  <si>
    <t xml:space="preserve">sister chromatid cohesion protein PDS5 homolog A </t>
  </si>
  <si>
    <t xml:space="preserve">sister chromatid cohesion protein PDS5 homolog B </t>
  </si>
  <si>
    <t xml:space="preserve">pyridoxal-dependent decarboxylase domain-containing protein 1 isoform 1 </t>
  </si>
  <si>
    <t xml:space="preserve">pyridoxal-dependent decarboxylase domain-containing protein 1 isoform 3 </t>
  </si>
  <si>
    <t>pyridoxal kinase</t>
  </si>
  <si>
    <t>PDZ domain-containing protein 11</t>
  </si>
  <si>
    <t>PDZ domain-containing protein 7</t>
  </si>
  <si>
    <t>PDZ domain containing 8</t>
  </si>
  <si>
    <t>PDZK1-interacting protein 1 isoform 2 precursor</t>
  </si>
  <si>
    <t xml:space="preserve">PDZK1-interacting protein 1 isoform 1 </t>
  </si>
  <si>
    <t xml:space="preserve">astrocytic phosphoprotein PEA-15 isoform 2 </t>
  </si>
  <si>
    <t xml:space="preserve">phosphatidylethanolamine-binding protein 1 </t>
  </si>
  <si>
    <t xml:space="preserve">peroxisomal trans-2-enoyl-CoA reductase </t>
  </si>
  <si>
    <t xml:space="preserve">peflin </t>
  </si>
  <si>
    <t xml:space="preserve">protein pelota homolog </t>
  </si>
  <si>
    <t xml:space="preserve">proline-, glutamic acid- and leucine-rich protein 1 </t>
  </si>
  <si>
    <t>xaa-Pro dipeptidase</t>
  </si>
  <si>
    <t>pescadillo homolog</t>
  </si>
  <si>
    <t>glutamyl-tRNA(Gln) amidotransferase subunit B, mitochondrial precursor</t>
  </si>
  <si>
    <t xml:space="preserve">protein PET117 homolog, mitochondrial precursor </t>
  </si>
  <si>
    <t>peroxisome biogenesis factor 1</t>
  </si>
  <si>
    <t>peroxisome biogenesis factor 10</t>
  </si>
  <si>
    <t>peroxisomal membrane protein 11B isoform 1</t>
  </si>
  <si>
    <t>peroxisomal membrane protein 11B isoform 2</t>
  </si>
  <si>
    <t>peroxisomal membrane protein 11C</t>
  </si>
  <si>
    <t>peroxisomal membrane protein PEX14</t>
  </si>
  <si>
    <t>peroxisomal biogenesis factor 16</t>
  </si>
  <si>
    <t>peroxisomal biogenesis factor 19 isoform b</t>
  </si>
  <si>
    <t>peroxisomal biogenesis factor 19 isoform a</t>
  </si>
  <si>
    <t>peroxisomal biogenesis factor 3 isoform 2</t>
  </si>
  <si>
    <t>peroxisomal biogenesis factor 3 isoform 1</t>
  </si>
  <si>
    <t>peroxisome assembly factor 2</t>
  </si>
  <si>
    <t>peroxisomal biogenesis factor 7 isoform 2</t>
  </si>
  <si>
    <t>peroxisomal biogenesis factor 7 isoform 1</t>
  </si>
  <si>
    <t>phosphoribosylformylglycinamidine synthase</t>
  </si>
  <si>
    <t xml:space="preserve">prefoldin subunit 1 </t>
  </si>
  <si>
    <t xml:space="preserve">prefoldin subunit 2 </t>
  </si>
  <si>
    <t>prefoldin 4 isoform 1</t>
  </si>
  <si>
    <t>prefoldin 4 isoform 3</t>
  </si>
  <si>
    <t>prefoldin 4 isoform 2</t>
  </si>
  <si>
    <t xml:space="preserve">prefoldin subunit 5 </t>
  </si>
  <si>
    <t>6-phosphofructo-2-kinase/fructose-2,6-biphosphatase 3 isoform 1</t>
  </si>
  <si>
    <t>6-phosphofructo-2-kinase/fructose-2,6-biphosphatase 3 isoform 2</t>
  </si>
  <si>
    <t>6-phosphofructo-2-kinase/fructose-2,6-biphosphatase 3 isoform 4</t>
  </si>
  <si>
    <t>6-phosphofructo-2-kinase/fructose-2,6-biphosphatase 3 isoform 3</t>
  </si>
  <si>
    <t>6-phosphofructo-2-kinase/fructose-2,6-biphosphatase 3 isoform 5</t>
  </si>
  <si>
    <t>6-phosphofructo-2-kinase/fructose-2,6-biphosphatase 3 isoform 7</t>
  </si>
  <si>
    <t>6-phosphofructo-2-kinase/fructose-2,6-biphosphatase 3 isoform 8</t>
  </si>
  <si>
    <t>6-phosphofructo-2-kinase/fructose-2,6-biphosphatase 3 isoform 6</t>
  </si>
  <si>
    <t xml:space="preserve">6-phosphofructokinase, liver type </t>
  </si>
  <si>
    <t xml:space="preserve">6-phosphofructokinase, muscle type </t>
  </si>
  <si>
    <t xml:space="preserve">6-phosphofructokinase type C </t>
  </si>
  <si>
    <t xml:space="preserve">profilin-1 </t>
  </si>
  <si>
    <t xml:space="preserve">profilin-2 </t>
  </si>
  <si>
    <t xml:space="preserve">phosphoglycerate mutase 1 </t>
  </si>
  <si>
    <t xml:space="preserve">phosphoglycerate mutase 2 </t>
  </si>
  <si>
    <t>serine/threonine-protein phosphatase PGAM5, mitochondrial isoform 2</t>
  </si>
  <si>
    <t>serine/threonine-protein phosphatase PGAM5, mitochondrial isoform 1</t>
  </si>
  <si>
    <t>GPI inositol-deacylase</t>
  </si>
  <si>
    <t xml:space="preserve">post-GPI attachment to proteins factor 3 precursor </t>
  </si>
  <si>
    <t xml:space="preserve">6-phosphogluconate dehydrogenase, decarboxylating </t>
  </si>
  <si>
    <t xml:space="preserve">geranylgeranyl transferase type-1 subunit beta </t>
  </si>
  <si>
    <t xml:space="preserve">phosphoglycerate kinase 1 </t>
  </si>
  <si>
    <t xml:space="preserve">phosphoglycerate kinase 2 </t>
  </si>
  <si>
    <t xml:space="preserve">6-phosphogluconolactonase </t>
  </si>
  <si>
    <t xml:space="preserve">phosphoglucomutase-1 </t>
  </si>
  <si>
    <t xml:space="preserve">phosphoglucomutase-2 </t>
  </si>
  <si>
    <t xml:space="preserve">glucose 1,6-bisphosphate synthase </t>
  </si>
  <si>
    <t>phosphoacetylglucosamine mutase isoform 1</t>
  </si>
  <si>
    <t>phosphoacetylglucosamine mutase isoform 2</t>
  </si>
  <si>
    <t>phosphoglycolate phosphatase</t>
  </si>
  <si>
    <t xml:space="preserve">membrane-associated progesterone receptor component 1 </t>
  </si>
  <si>
    <t xml:space="preserve">membrane-associated progesterone receptor component 2 </t>
  </si>
  <si>
    <t xml:space="preserve">CDP-diacylglycerol--glycerol-3-phosphate 3-phosphatidyltransferase, mitochondrial </t>
  </si>
  <si>
    <t xml:space="preserve">phosphatase and actin regulator 1 isoform 1 </t>
  </si>
  <si>
    <t xml:space="preserve">phosphatase and actin regulator 1 isoform 2 </t>
  </si>
  <si>
    <t xml:space="preserve">phosphatase and actin regulator 1 isoform 3 </t>
  </si>
  <si>
    <t xml:space="preserve">phosphatase and actin regulator 2 isoform A </t>
  </si>
  <si>
    <t xml:space="preserve">phosphatase and actin regulator 2 isoform B </t>
  </si>
  <si>
    <t xml:space="preserve">phosphatase and actin regulator 2 isoform C </t>
  </si>
  <si>
    <t xml:space="preserve">phosphatase and actin regulator 2 isoform D </t>
  </si>
  <si>
    <t xml:space="preserve">phosphatase and actin regulator 4 isoform 1 </t>
  </si>
  <si>
    <t xml:space="preserve">phosphatase and actin regulator 4 isoform 2 </t>
  </si>
  <si>
    <t xml:space="preserve">phosphorylated adapter RNA export protein isoform 1 </t>
  </si>
  <si>
    <t xml:space="preserve">phosphorylated adapter RNA export protein isoform 2 </t>
  </si>
  <si>
    <t xml:space="preserve">prohibitin </t>
  </si>
  <si>
    <t xml:space="preserve">prohibitin-2 </t>
  </si>
  <si>
    <t>PHD finger protein 14 isoform 1</t>
  </si>
  <si>
    <t>PHD finger protein 14 isoform 2</t>
  </si>
  <si>
    <t xml:space="preserve">PHD finger-like domain-containing protein 5A </t>
  </si>
  <si>
    <t>PHD finger protein 6</t>
  </si>
  <si>
    <t>histone lysine demethylase PHF8 isoform b</t>
  </si>
  <si>
    <t>D-3-phosphoglycerate dehydrogenase</t>
  </si>
  <si>
    <t>phosphorylase b kinase regulatory subunit beta</t>
  </si>
  <si>
    <t xml:space="preserve">pleckstrin homology-like domain family A member 1 </t>
  </si>
  <si>
    <t xml:space="preserve">pleckstrin homology-like domain family A member 3 </t>
  </si>
  <si>
    <t xml:space="preserve">pleckstrin homology-like domain family B member 2 isoform 2 </t>
  </si>
  <si>
    <t xml:space="preserve">pleckstrin homology-like domain family B member 2 isoform 1 </t>
  </si>
  <si>
    <t xml:space="preserve">pleckstrin homology-like domain family B member 3 </t>
  </si>
  <si>
    <t>pyridoxal phosphate phosphatase PHOSPHO2</t>
  </si>
  <si>
    <t>14 kDa phosphohistidine phosphatase</t>
  </si>
  <si>
    <t xml:space="preserve">phytanoyl-CoA dioxygenase domain-containing protein 1 isoform 1 </t>
  </si>
  <si>
    <t xml:space="preserve">phytanoyl-CoA dioxygenase domain-containing protein 1 isoform 3 </t>
  </si>
  <si>
    <t xml:space="preserve">phytanoyl-CoA dioxygenase domain-containing protein 1 isoform 2 </t>
  </si>
  <si>
    <t xml:space="preserve">phytanoyl-CoA dioxygenase domain-containing protein 1 isoform 4 </t>
  </si>
  <si>
    <t>5-phosphohydroxy-L-lysine phospho-lyase</t>
  </si>
  <si>
    <t>phosphatidylinositol 4-kinase type 2-alpha</t>
  </si>
  <si>
    <t>phosphatidylinositol 4-kinase type 2-beta isoform 2</t>
  </si>
  <si>
    <t>phosphatidylinositol 4-kinase type 2-beta isoform 1</t>
  </si>
  <si>
    <t xml:space="preserve">phosphatidylinositol 4-kinase type 3 alpha </t>
  </si>
  <si>
    <t xml:space="preserve">phosphatidylinositol 4-kinase beta </t>
  </si>
  <si>
    <t>phosphatidylinositol-binding clathrin assembly protein isoform 1</t>
  </si>
  <si>
    <t>phosphatidylinositol-binding clathrin assembly protein isoform 2</t>
  </si>
  <si>
    <t>phosphatidylinositol-binding clathrin assembly protein isoform 3</t>
  </si>
  <si>
    <t>phosphatidylinositol-binding clathrin assembly protein isoform 4</t>
  </si>
  <si>
    <t>phosphatidylinositol-binding clathrin assembly protein isoform 5</t>
  </si>
  <si>
    <t>phosphatidylinositol-binding clathrin assembly protein isoform 6</t>
  </si>
  <si>
    <t>piezo-type mechanosensitive ion channel component 1</t>
  </si>
  <si>
    <t xml:space="preserve">GPI ethanolamine phosphate transferase 2 </t>
  </si>
  <si>
    <t>phosphatidylinositol N-acetylglucosaminyltransferase subunit H</t>
  </si>
  <si>
    <t xml:space="preserve">GPI-anchor transamidase isoform 1 precursor </t>
  </si>
  <si>
    <t xml:space="preserve">GPI-anchor transamidase isoform 2 precursor </t>
  </si>
  <si>
    <t xml:space="preserve">GPI mannosyltransferase 1 </t>
  </si>
  <si>
    <t>GPI transamidase component PIG-S</t>
  </si>
  <si>
    <t xml:space="preserve">GPI transamidase component PIG-T precursor </t>
  </si>
  <si>
    <t>phosphatidylinositol glycan anchor biosynthesis class U protein precursor</t>
  </si>
  <si>
    <t>PIH1 domain-containing protein 1</t>
  </si>
  <si>
    <t xml:space="preserve">phosphatidylinositol 4-phosphate 3-kinase C2 domain-containing subunit alpha </t>
  </si>
  <si>
    <t>phosphatidylinositol 3-kinase catalytic subunit type 3</t>
  </si>
  <si>
    <t xml:space="preserve">phosphatidylinositol 4,5-bisphosphate 3-kinase catalytic subunit beta isoform </t>
  </si>
  <si>
    <t xml:space="preserve">phosphatidylinositol 4,5-bisphosphate 3-kinase catalytic subunit delta isoform isoform b </t>
  </si>
  <si>
    <t xml:space="preserve">phosphatidylinositol 4,5-bisphosphate 3-kinase catalytic subunit delta isoform isoform d </t>
  </si>
  <si>
    <t xml:space="preserve">phosphatidylinositol 4,5-bisphosphate 3-kinase catalytic subunit delta isoform isoform e </t>
  </si>
  <si>
    <t xml:space="preserve">phosphatidylinositol 4,5-bisphosphate 3-kinase catalytic subunit delta isoform isoform a </t>
  </si>
  <si>
    <t xml:space="preserve">phosphatidylinositol 4,5-bisphosphate 3-kinase catalytic subunit delta isoform isoform c </t>
  </si>
  <si>
    <t xml:space="preserve">phosphatidylinositol 3-kinase regulatory subunit beta </t>
  </si>
  <si>
    <t xml:space="preserve">phosphoinositide 3-kinase regulatory subunit 4 </t>
  </si>
  <si>
    <t xml:space="preserve">phosphoinositide 3-kinase regulatory subunit 6 isoform 1 </t>
  </si>
  <si>
    <t xml:space="preserve">phosphoinositide 3-kinase regulatory subunit 6 isoform 2 </t>
  </si>
  <si>
    <t xml:space="preserve">1-phosphatidylinositol 3-phosphate 5-kinase </t>
  </si>
  <si>
    <t xml:space="preserve">peptidyl-prolyl cis-trans isomerase NIMA-interacting 1 </t>
  </si>
  <si>
    <t xml:space="preserve">peptidylprolyl cis/trans isomerase, NIMA-interacting 1 </t>
  </si>
  <si>
    <t xml:space="preserve">phosphatidylinositol 5-phosphate 4-kinase type-2 alpha </t>
  </si>
  <si>
    <t xml:space="preserve">phosphatidylinositol 5-phosphate 4-kinase type-2 beta </t>
  </si>
  <si>
    <t xml:space="preserve">phosphatidylinositol 5-phosphate 4-kinase type-2 gamma </t>
  </si>
  <si>
    <t xml:space="preserve">phosphatidylinositol 4-phosphate 5-kinase type-1 alpha </t>
  </si>
  <si>
    <t xml:space="preserve">phosphatidylinositol 4-phosphate 5-kinase type-1 gamma isoform 1 </t>
  </si>
  <si>
    <t xml:space="preserve">phosphatidylinositol 4-phosphate 5-kinase type-1 gamma isoform 2 </t>
  </si>
  <si>
    <t xml:space="preserve">phosphatidylserine decarboxylase proenzyme </t>
  </si>
  <si>
    <t xml:space="preserve">phosphatidylinositol transfer protein alpha isoform </t>
  </si>
  <si>
    <t xml:space="preserve">phosphatidylinositol transfer protein beta isoform </t>
  </si>
  <si>
    <t>presequence protease, mitochondrial precursor</t>
  </si>
  <si>
    <t xml:space="preserve">piwi-like protein 2 </t>
  </si>
  <si>
    <t>E3 ubiquitin-protein ligase Praja-2 isoform b</t>
  </si>
  <si>
    <t>E3 ubiquitin-protein ligase Praja-2 isoform a</t>
  </si>
  <si>
    <t xml:space="preserve">polycystin-2 </t>
  </si>
  <si>
    <t>polyductin precursor</t>
  </si>
  <si>
    <t xml:space="preserve">cAMP-dependent protein kinase inhibitor gamma </t>
  </si>
  <si>
    <t>pyruvate kinase isozymes R/L isoform 1</t>
  </si>
  <si>
    <t>pyruvate kinase isozymes R/L isoform 2</t>
  </si>
  <si>
    <t xml:space="preserve">pyruvate kinase, muscle isoform M2 </t>
  </si>
  <si>
    <t xml:space="preserve">pyruvate kinase, muscle isoform M1 </t>
  </si>
  <si>
    <t xml:space="preserve">serine/threonine-protein kinase N1 isoform 1 </t>
  </si>
  <si>
    <t xml:space="preserve">serine/threonine-protein kinase N1 isoform 2 </t>
  </si>
  <si>
    <t xml:space="preserve">serine/threonine-protein kinase N2 </t>
  </si>
  <si>
    <t xml:space="preserve">serine/threonine-protein kinase N3 </t>
  </si>
  <si>
    <t xml:space="preserve">plakophilin-2 </t>
  </si>
  <si>
    <t xml:space="preserve">plakophilin-3 isoform 1 </t>
  </si>
  <si>
    <t xml:space="preserve">plakophilin-3 isoform 2 </t>
  </si>
  <si>
    <t xml:space="preserve">group XV phospholipase A2 precursor </t>
  </si>
  <si>
    <t>group XVI phospholipase A1/A2</t>
  </si>
  <si>
    <t xml:space="preserve">cytosolic phospholipase A2 </t>
  </si>
  <si>
    <t>cytosolic phospholipase A2 beta</t>
  </si>
  <si>
    <t xml:space="preserve">85/88 kDa calcium-independent phospholipase A2 isoform 2 </t>
  </si>
  <si>
    <t xml:space="preserve">85/88 kDa calcium-independent phospholipase A2 isoform 1 </t>
  </si>
  <si>
    <t>platelet-activating factor acetylhydrolase precursor</t>
  </si>
  <si>
    <t xml:space="preserve">phospholipase A-2-activating protein </t>
  </si>
  <si>
    <t>placenta-specific gene 8 protein</t>
  </si>
  <si>
    <t>urokinase-type plasminogen activator precursor</t>
  </si>
  <si>
    <t xml:space="preserve">putative phospholipase B-like 2 precursor </t>
  </si>
  <si>
    <t>1-phosphatidylinositol 4,5-bisphosphate phosphodiesterase beta-3</t>
  </si>
  <si>
    <t>1-phosphatidylinositol 4,5-bisphosphate phosphodiesterase delta-1</t>
  </si>
  <si>
    <t>1-phosphatidylinositol 4,5-bisphosphate phosphodiesterase delta-3</t>
  </si>
  <si>
    <t>1-phosphatidylinositol 4,5-bisphosphate phosphodiesterase gamma-1</t>
  </si>
  <si>
    <t>1-phosphatidylinositol 4,5-bisphosphate phosphodiesterase gamma-2</t>
  </si>
  <si>
    <t>1-phosphatidylinositol 4,5-bisphosphate phosphodiesterase eta-1 isoform 1</t>
  </si>
  <si>
    <t>1-phosphatidylinositol 4,5-bisphosphate phosphodiesterase eta-1 isoform 3</t>
  </si>
  <si>
    <t>1-phosphatidylinositol 4,5-bisphosphate phosphodiesterase eta-1 isoform 2</t>
  </si>
  <si>
    <t xml:space="preserve">phosphatidylinositol-specific phospholipase C, X domain containing 2 </t>
  </si>
  <si>
    <t>phospholipase D2</t>
  </si>
  <si>
    <t>phospholipase D3</t>
  </si>
  <si>
    <t xml:space="preserve">plectin isoform 1hij </t>
  </si>
  <si>
    <t xml:space="preserve">plectin isoform 12alpha </t>
  </si>
  <si>
    <t xml:space="preserve">plectin isoform 1c2alpha3alpha </t>
  </si>
  <si>
    <t xml:space="preserve">plectin isoform 1b2alpha </t>
  </si>
  <si>
    <t xml:space="preserve">plectin isoform 1c </t>
  </si>
  <si>
    <t xml:space="preserve">plectin isoform 1f </t>
  </si>
  <si>
    <t xml:space="preserve">plectin isoform 1 </t>
  </si>
  <si>
    <t xml:space="preserve">plectin isoform 1d </t>
  </si>
  <si>
    <t xml:space="preserve">plectin isoform 1b </t>
  </si>
  <si>
    <t xml:space="preserve">plectin isoform 1g </t>
  </si>
  <si>
    <t xml:space="preserve">plectin isoform 1a </t>
  </si>
  <si>
    <t xml:space="preserve">plectin isoform 1e </t>
  </si>
  <si>
    <t xml:space="preserve">pleckstrin homology domain-containing family A member 1 </t>
  </si>
  <si>
    <t xml:space="preserve">pleckstrin homology domain-containing family A member 2 </t>
  </si>
  <si>
    <t xml:space="preserve">pleckstrin homology domain-containing family A member 6 isoform 2 </t>
  </si>
  <si>
    <t xml:space="preserve">pleckstrin homology domain-containing family A member 6 isoform 1 </t>
  </si>
  <si>
    <t xml:space="preserve">pleckstrin homology domain-containing family F member 1 </t>
  </si>
  <si>
    <t xml:space="preserve">pleckstrin homology domain-containing family F member 2 </t>
  </si>
  <si>
    <t xml:space="preserve">pleckstrin homology domain containing, family G (with RhoGef domain) member 1 </t>
  </si>
  <si>
    <t xml:space="preserve">pleckstrin homology domain-containing family G member 3 </t>
  </si>
  <si>
    <t xml:space="preserve">pleckstrin homology domain-containing family H member 2 </t>
  </si>
  <si>
    <t xml:space="preserve">placenta-expressed transcript 1 protein precursor </t>
  </si>
  <si>
    <t>plasminogen precursor</t>
  </si>
  <si>
    <t xml:space="preserve">plasminogen receptor (KT) </t>
  </si>
  <si>
    <t xml:space="preserve">perilipin-2 </t>
  </si>
  <si>
    <t xml:space="preserve">perilipin-3 </t>
  </si>
  <si>
    <t xml:space="preserve">serine/threonine-protein kinase PLK1 </t>
  </si>
  <si>
    <t xml:space="preserve">serine/threonine-protein kinase PLK2 </t>
  </si>
  <si>
    <t>procollagen-lysine,2-oxoglutarate 5-dioxygenase 3 precursor</t>
  </si>
  <si>
    <t xml:space="preserve">proteolipid protein 2 </t>
  </si>
  <si>
    <t xml:space="preserve">pleiotropic regulator 1 </t>
  </si>
  <si>
    <t xml:space="preserve">plastin-1 </t>
  </si>
  <si>
    <t xml:space="preserve">plastin-3 </t>
  </si>
  <si>
    <t xml:space="preserve">phospholipid scramblase 1 </t>
  </si>
  <si>
    <t xml:space="preserve">phospholipid scramblase 3 </t>
  </si>
  <si>
    <t xml:space="preserve">plasmalemma vesicle-associated protein </t>
  </si>
  <si>
    <t>plexin-A1 precursor</t>
  </si>
  <si>
    <t>plexin-A2 precursor</t>
  </si>
  <si>
    <t>plexin-A3 precursor</t>
  </si>
  <si>
    <t>plexin-A4 precursor</t>
  </si>
  <si>
    <t>plexin-B1 precursor</t>
  </si>
  <si>
    <t>plexin-B2 precursor</t>
  </si>
  <si>
    <t xml:space="preserve">polyamine-modulated factor 1 </t>
  </si>
  <si>
    <t xml:space="preserve">polyamine-modulated factor 1-binding protein 1 </t>
  </si>
  <si>
    <t>protein PML isoform 2</t>
  </si>
  <si>
    <t>protein PML isoform 1</t>
  </si>
  <si>
    <t>phosphomannomutase 1</t>
  </si>
  <si>
    <t>phosphomannomutase 2</t>
  </si>
  <si>
    <t xml:space="preserve">mitochondrial-processing peptidase subunit alpha precursor </t>
  </si>
  <si>
    <t xml:space="preserve">mitochondrial-processing peptidase subunit beta precursor </t>
  </si>
  <si>
    <t>mismatch repair endonuclease PMS2</t>
  </si>
  <si>
    <t>phosphomevalonate kinase isoform 1</t>
  </si>
  <si>
    <t>phosphomevalonate kinase isoform 2</t>
  </si>
  <si>
    <t xml:space="preserve">probable hydrolase PNKD isoform 3 </t>
  </si>
  <si>
    <t xml:space="preserve">probable hydrolase PNKD isoform 2 </t>
  </si>
  <si>
    <t xml:space="preserve">bifunctional polynucleotide phosphatase/kinase </t>
  </si>
  <si>
    <t xml:space="preserve">pinin </t>
  </si>
  <si>
    <t xml:space="preserve">RNA-binding protein PNO1 </t>
  </si>
  <si>
    <t xml:space="preserve">purine nucleoside phosphorylase </t>
  </si>
  <si>
    <t xml:space="preserve">purine-nucleoside phosphorylase 2 </t>
  </si>
  <si>
    <t xml:space="preserve">neuropathy target esterase isoform 2 </t>
  </si>
  <si>
    <t xml:space="preserve">neuropathy target esterase isoform 1 </t>
  </si>
  <si>
    <t xml:space="preserve">calcium-independent phospholipase A2-gamma </t>
  </si>
  <si>
    <t>pyridoxine-5'-phosphate oxidase</t>
  </si>
  <si>
    <t xml:space="preserve">PREDICTED: polyribonucleotide nucleotidyltransferase 1, mitochondrial isoform 1 </t>
  </si>
  <si>
    <t xml:space="preserve">PREDICTED: polyribonucleotide nucleotidyltransferase 1, mitochondrial </t>
  </si>
  <si>
    <t>protein POF1B</t>
  </si>
  <si>
    <t xml:space="preserve">GDP-fucose protein O-fucosyltransferase 2 precursor </t>
  </si>
  <si>
    <t>protein O-glucosyltransferase 1 precursor</t>
  </si>
  <si>
    <t xml:space="preserve">DNA polymerase alpha catalytic subunit </t>
  </si>
  <si>
    <t xml:space="preserve">DNA polymerase alpha subunit B isoform 2 </t>
  </si>
  <si>
    <t xml:space="preserve">DNA polymerase alpha subunit B isoform 1 </t>
  </si>
  <si>
    <t xml:space="preserve">DNA polymerase beta </t>
  </si>
  <si>
    <t xml:space="preserve">DNA polymerase delta catalytic subunit </t>
  </si>
  <si>
    <t xml:space="preserve">DNA polymerase delta subunit 2 </t>
  </si>
  <si>
    <t xml:space="preserve">DNA polymerase delta subunit 3 </t>
  </si>
  <si>
    <t xml:space="preserve">DNA polymerase delta subunit 4 </t>
  </si>
  <si>
    <t>polymerase delta-interacting protein 2</t>
  </si>
  <si>
    <t>polymerase delta-interacting protein 3</t>
  </si>
  <si>
    <t>DNA polymerase epsilon catalytic subunit A</t>
  </si>
  <si>
    <t xml:space="preserve">DNA polymerase epsilon subunit 2 </t>
  </si>
  <si>
    <t xml:space="preserve">DNA polymerase epsilon subunit 3 </t>
  </si>
  <si>
    <t xml:space="preserve">DNA polymerase epsilon subunit 4 </t>
  </si>
  <si>
    <t>DNA-directed RNA polymerase I subunit RPA1</t>
  </si>
  <si>
    <t>DNA-directed RNA polymerase I subunit RPA2</t>
  </si>
  <si>
    <t>DNA-directed RNA polymerases I and III subunit RPAC1</t>
  </si>
  <si>
    <t>DNA-directed RNA polymerases I and III subunit RPAC2 isoform 1</t>
  </si>
  <si>
    <t>DNA-directed RNA polymerase II subunit RPB1</t>
  </si>
  <si>
    <t>DNA-directed RNA polymerase II subunit RPB2</t>
  </si>
  <si>
    <t>DNA-directed RNA polymerase II subunit RPB3</t>
  </si>
  <si>
    <t>DNA-directed RNA polymerase II subunit RPB4 isoform 2</t>
  </si>
  <si>
    <t>DNA-directed RNA polymerase II subunit RPB4 isoform 1</t>
  </si>
  <si>
    <t xml:space="preserve">DNA-directed RNA polymerases I, II, and III subunit RPABC1 </t>
  </si>
  <si>
    <t>DNA-directed RNA polymerase II subunit RPB7</t>
  </si>
  <si>
    <t xml:space="preserve">DNA-directed RNA polymerases I, II, and III subunit RPABC3 </t>
  </si>
  <si>
    <t>DNA-directed RNA polymerase II subunit RPB9</t>
  </si>
  <si>
    <t>DNA-directed RNA polymerase II subunit RPB11</t>
  </si>
  <si>
    <t xml:space="preserve">DNA-directed RNA polymerases I, II, and III subunit RPABC5 </t>
  </si>
  <si>
    <t>DNA-directed RNA polymerase II subunit GRINL1A isoform 2</t>
  </si>
  <si>
    <t>DNA-directed RNA polymerase II subunit GRINL1A isoform 1</t>
  </si>
  <si>
    <t>DNA-directed RNA polymerase III subunit RPC2</t>
  </si>
  <si>
    <t>DNA-directed RNA polymerase III subunit RPC3</t>
  </si>
  <si>
    <t>DNA-directed RNA polymerase III subunit RPC6</t>
  </si>
  <si>
    <t xml:space="preserve">DNA-directed RNA polymerase, mitochondrial precursor </t>
  </si>
  <si>
    <t xml:space="preserve">proteasome maturation protein </t>
  </si>
  <si>
    <t>serum paraoxonase/lactonase 3 precursor</t>
  </si>
  <si>
    <t>processing of precursor 1 isoform 2</t>
  </si>
  <si>
    <t>processing of precursor 1 isoform 1</t>
  </si>
  <si>
    <t xml:space="preserve">ribonuclease P protein subunit p29 </t>
  </si>
  <si>
    <t xml:space="preserve">ribonuclease P/MRP protein subunit POP5 </t>
  </si>
  <si>
    <t xml:space="preserve">ribonuclease P protein subunit p20 </t>
  </si>
  <si>
    <t xml:space="preserve">NADPH--cytochrome P450 reductase </t>
  </si>
  <si>
    <t>inorganic pyrophosphatase</t>
  </si>
  <si>
    <t xml:space="preserve">inorganic pyrophosphatase 2, mitochondrial precursor </t>
  </si>
  <si>
    <t>lipid phosphate phosphohydrolase 2</t>
  </si>
  <si>
    <t xml:space="preserve">presqualene diphosphate phosphatase </t>
  </si>
  <si>
    <t xml:space="preserve">phosphoribosyl pyrophosphate amidotransferase </t>
  </si>
  <si>
    <t>phosphopantothenoylcysteine decarboxylase</t>
  </si>
  <si>
    <t>phosphopantothenate--cysteine ligase</t>
  </si>
  <si>
    <t xml:space="preserve">liprin-alpha-1 isoform B </t>
  </si>
  <si>
    <t xml:space="preserve">liprin-alpha-1 isoform A </t>
  </si>
  <si>
    <t xml:space="preserve">liprin-beta-1 isoform 1 </t>
  </si>
  <si>
    <t xml:space="preserve">liprin-beta-1 isoform 2 </t>
  </si>
  <si>
    <t>peptidyl-prolyl cis-trans isomerase A</t>
  </si>
  <si>
    <t xml:space="preserve">peptidyl-prolyl cis-trans isomerase B precursor </t>
  </si>
  <si>
    <t xml:space="preserve">peptidyl-prolyl cis-trans isomerase C precursor </t>
  </si>
  <si>
    <t>peptidyl-prolyl cis-trans isomerase D</t>
  </si>
  <si>
    <t>peptidyl-prolyl cis-trans isomerase E</t>
  </si>
  <si>
    <t>peptidyl-prolyl cis-trans isomerase F, mitochondrial precursor</t>
  </si>
  <si>
    <t>peptidyl-prolyl cis-trans isomerase G</t>
  </si>
  <si>
    <t>peptidyl-prolyl cis-trans isomerase H isoform 2</t>
  </si>
  <si>
    <t>peptidyl-prolyl cis-trans isomerase H isoform 1</t>
  </si>
  <si>
    <t>peptidyl-prolyl cis-trans isomerase-like 1</t>
  </si>
  <si>
    <t>peptidyl-prolyl cis-trans isomerase-like 2</t>
  </si>
  <si>
    <t>peptidyl-prolyl cis-trans isomerase-like 3 isoform 2</t>
  </si>
  <si>
    <t>peptidyl-prolyl cis-trans isomerase-like 3 isoform 1</t>
  </si>
  <si>
    <t>peptidyl-prolyl cis-trans isomerase-like 4</t>
  </si>
  <si>
    <t>inositol hexakisphosphate and diphosphoinositol-pentakisphosphate kinase 1</t>
  </si>
  <si>
    <t>inositol hexakisphosphate and diphosphoinositol-pentakisphosphate kinase 2</t>
  </si>
  <si>
    <t xml:space="preserve">periplakin </t>
  </si>
  <si>
    <t xml:space="preserve">protein phosphatase 1A </t>
  </si>
  <si>
    <t xml:space="preserve">protein phosphatase 1B isoform 3 </t>
  </si>
  <si>
    <t xml:space="preserve">protein phosphatase 1B isoform 4 </t>
  </si>
  <si>
    <t xml:space="preserve">protein phosphatase 1B isoform 2 </t>
  </si>
  <si>
    <t xml:space="preserve">protein phosphatase 1B isoform 1 </t>
  </si>
  <si>
    <t xml:space="preserve">protein phosphatase 1F </t>
  </si>
  <si>
    <t xml:space="preserve">protein phosphatase 1G </t>
  </si>
  <si>
    <t xml:space="preserve">protein phosphatase 1H isoform 2 </t>
  </si>
  <si>
    <t xml:space="preserve">protein phosphatase 1H isoform 1 </t>
  </si>
  <si>
    <t xml:space="preserve">protein phosphatase 1L </t>
  </si>
  <si>
    <t>protein phosphatase methylesterase 1</t>
  </si>
  <si>
    <t>protoporphyrinogen oxidase</t>
  </si>
  <si>
    <t xml:space="preserve">serine/threonine-protein phosphatase PP1-alpha catalytic subunit </t>
  </si>
  <si>
    <t xml:space="preserve">serine/threonine-protein phosphatase PP1-beta catalytic subunit </t>
  </si>
  <si>
    <t xml:space="preserve">serine/threonine-protein phosphatase PP1-gamma catalytic subunit </t>
  </si>
  <si>
    <t>serine/threonine-protein phosphatase 1 regulatory subunit 10</t>
  </si>
  <si>
    <t>protein phosphatase 1 regulatory subunit 11</t>
  </si>
  <si>
    <t>protein phosphatase 1 regulatory subunit 12A</t>
  </si>
  <si>
    <t>protein phosphatase 1 regulatory subunit 12B</t>
  </si>
  <si>
    <t xml:space="preserve">apoptosis-stimulating of p53 protein 1 </t>
  </si>
  <si>
    <t>relA-associated inhibitor</t>
  </si>
  <si>
    <t>protein phosphatase 1 regulatory subunit 14B</t>
  </si>
  <si>
    <t xml:space="preserve">phostensin </t>
  </si>
  <si>
    <t>protein phosphatase 1 regulatory subunit 1B</t>
  </si>
  <si>
    <t>protein phosphatase inhibitor 2</t>
  </si>
  <si>
    <t>protein phosphatase 1 regulatory subunit 21</t>
  </si>
  <si>
    <t>protein phosphatase 1 regulatory subunit 7</t>
  </si>
  <si>
    <t>nuclear inhibitor of protein phosphatase 1</t>
  </si>
  <si>
    <t xml:space="preserve">neurabin-1 </t>
  </si>
  <si>
    <t xml:space="preserve">neurabin-2 </t>
  </si>
  <si>
    <t xml:space="preserve">serine/threonine-protein phosphatase 2A catalytic subunit alpha isoform </t>
  </si>
  <si>
    <t xml:space="preserve">serine/threonine-protein phosphatase 2A catalytic subunit beta isoform </t>
  </si>
  <si>
    <t>serine/threonine-protein phosphatase 2A 65 kDa regulatory subunit A alpha isoform</t>
  </si>
  <si>
    <t>serine/threonine-protein phosphatase 2A 65 kDa regulatory subunit A beta isoform isoform c</t>
  </si>
  <si>
    <t>serine/threonine-protein phosphatase 2A 65 kDa regulatory subunit A beta isoform isoform a</t>
  </si>
  <si>
    <t>serine/threonine-protein phosphatase 2A 65 kDa regulatory subunit A beta isoform isoform b</t>
  </si>
  <si>
    <t>serine/threonine-protein phosphatase 2A 55 kDa regulatory subunit B alpha isoform isoform 1</t>
  </si>
  <si>
    <t>serine/threonine-protein phosphatase 2A 55 kDa regulatory subunit B alpha isoform isoform 2</t>
  </si>
  <si>
    <t>serine/threonine-protein phosphatase 2A 55 kDa regulatory subunit B beta isoform isoform 2</t>
  </si>
  <si>
    <t>serine/threonine-protein phosphatase 2A 55 kDa regulatory subunit B gamma isoform</t>
  </si>
  <si>
    <t>serine/threonine-protein phosphatase 2A 55 kDa regulatory subunit B delta isoform</t>
  </si>
  <si>
    <t>serine/threonine-protein phosphatase 2A activator</t>
  </si>
  <si>
    <t xml:space="preserve">serine/threonine-protein phosphatase 2A 56 kDa regulatory subunit alpha isoform </t>
  </si>
  <si>
    <t xml:space="preserve">serine/threonine-protein phosphatase 2A 56 kDa regulatory subunit beta isoform </t>
  </si>
  <si>
    <t xml:space="preserve">serine/threonine-protein phosphatase 2A 56 kDa regulatory subunit gamma isoform isoform b </t>
  </si>
  <si>
    <t xml:space="preserve">serine/threonine-protein phosphatase 2A 56 kDa regulatory subunit gamma isoform isoform a </t>
  </si>
  <si>
    <t xml:space="preserve">serine/threonine-protein phosphatase 2A 56 kDa regulatory subunit gamma isoform isoform c </t>
  </si>
  <si>
    <t xml:space="preserve">serine/threonine-protein phosphatase 2A 56 kDa regulatory subunit gamma isoform isoform d </t>
  </si>
  <si>
    <t xml:space="preserve">delta isoform of regulatory subunit B56, protein phosphatase 2A </t>
  </si>
  <si>
    <t xml:space="preserve">serine/threonine-protein phosphatase 2A 56 kDa regulatory subunit epsilon isoform </t>
  </si>
  <si>
    <t xml:space="preserve">serine/threonine-protein phosphatase 2B catalytic subunit alpha isoform </t>
  </si>
  <si>
    <t xml:space="preserve">serine/threonine-protein phosphatase 2B catalytic subunit beta isoform </t>
  </si>
  <si>
    <t xml:space="preserve">serine/threonine-protein phosphatase 2B catalytic subunit gamma isoform </t>
  </si>
  <si>
    <t xml:space="preserve">calcineurin subunit B type 1 </t>
  </si>
  <si>
    <t xml:space="preserve">serine/threonine-protein phosphatase 4 catalytic subunit </t>
  </si>
  <si>
    <t>serine/threonine-protein phosphatase 4 regulatory subunit 1 isoform a</t>
  </si>
  <si>
    <t>serine/threonine-protein phosphatase 4 regulatory subunit 1 isoform b</t>
  </si>
  <si>
    <t>serine/threonine-protein phosphatase 4 regulatory subunit 2</t>
  </si>
  <si>
    <t xml:space="preserve">serine/threonine-protein phosphatase 5 </t>
  </si>
  <si>
    <t xml:space="preserve">serine/threonine-protein phosphatase 6 catalytic subunit </t>
  </si>
  <si>
    <t>serine/threonine-protein phosphatase 6 regulatory subunit 1</t>
  </si>
  <si>
    <t>serine/threonine-protein phosphatase 6 regulatory subunit 2 isoform 2</t>
  </si>
  <si>
    <t>serine/threonine-protein phosphatase 6 regulatory subunit 2 isoform 1</t>
  </si>
  <si>
    <t>serine/threonine-protein phosphatase 6 regulatory subunit 3 isoform 2</t>
  </si>
  <si>
    <t>serine/threonine-protein phosphatase 6 regulatory subunit 3 isoform 3</t>
  </si>
  <si>
    <t>serine/threonine-protein phosphatase 6 regulatory subunit 3 isoform 1</t>
  </si>
  <si>
    <t>palmitoyl-protein thioesterase 1 precursor</t>
  </si>
  <si>
    <t>lysosomal thioesterase PPT2 precursor</t>
  </si>
  <si>
    <t>protein phosphatase PTC7 homolog</t>
  </si>
  <si>
    <t>peptidylprolyl isomerase domain and WD repeat-containing protein 1</t>
  </si>
  <si>
    <t xml:space="preserve">PQ-loop repeat-containing protein 3 isoform 1 precursor </t>
  </si>
  <si>
    <t xml:space="preserve">PQ-loop repeat-containing protein 3 isoform 2 precursor </t>
  </si>
  <si>
    <t xml:space="preserve">protease-associated domain-containing protein 1 isoform b precursor </t>
  </si>
  <si>
    <t>PRA1 family protein 2</t>
  </si>
  <si>
    <t>PML-RARA-regulated adapter molecule 1</t>
  </si>
  <si>
    <t xml:space="preserve">protein regulator of cytokinesis 1 </t>
  </si>
  <si>
    <t>lysosomal Pro-X carboxypeptidase precursor</t>
  </si>
  <si>
    <t>PR domain zinc finger protein 1</t>
  </si>
  <si>
    <t>PR domain-containing protein 11</t>
  </si>
  <si>
    <t xml:space="preserve">peroxiredoxin-1 </t>
  </si>
  <si>
    <t xml:space="preserve">peroxiredoxin-2 </t>
  </si>
  <si>
    <t xml:space="preserve">thioredoxin-dependent peroxide reductase, mitochondrial precursor </t>
  </si>
  <si>
    <t>peroxiredoxin-4 precursor</t>
  </si>
  <si>
    <t xml:space="preserve">peroxiredoxin-5, mitochondrial precursor </t>
  </si>
  <si>
    <t xml:space="preserve">peroxiredoxin-6 </t>
  </si>
  <si>
    <t xml:space="preserve">peroxiredoxin 6, related sequence 1 </t>
  </si>
  <si>
    <t>prolactin regulatory element-binding protein</t>
  </si>
  <si>
    <t>prolyl endopeptidase</t>
  </si>
  <si>
    <t>DNA primase small subunit</t>
  </si>
  <si>
    <t>DNA primase large subunit</t>
  </si>
  <si>
    <t>5'-AMP-activated protein kinase catalytic subunit alpha-1</t>
  </si>
  <si>
    <t>5'-AMP-activated protein kinase catalytic subunit alpha-2</t>
  </si>
  <si>
    <t xml:space="preserve">5'-AMP-activated protein kinase subunit beta-1 </t>
  </si>
  <si>
    <t xml:space="preserve">5'-AMP-activated protein kinase subunit beta-2 </t>
  </si>
  <si>
    <t>cAMP-dependent protein kinase catalytic subunit alpha isoform 2</t>
  </si>
  <si>
    <t>cAMP-dependent protein kinase catalytic subunit alpha isoform 1</t>
  </si>
  <si>
    <t>cAMP-dependent protein kinase catalytic subunit beta isoform 4</t>
  </si>
  <si>
    <t>cAMP-dependent protein kinase catalytic subunit beta isoform 2</t>
  </si>
  <si>
    <t>cAMP-dependent protein kinase catalytic subunit beta isoform 3</t>
  </si>
  <si>
    <t>cAMP-dependent protein kinase catalytic subunit beta isoform 1</t>
  </si>
  <si>
    <t xml:space="preserve">5'-AMP-activated protein kinase subunit gamma-1 </t>
  </si>
  <si>
    <t xml:space="preserve">5'-AMP-activated protein kinase subunit gamma-2 isoform 1 </t>
  </si>
  <si>
    <t xml:space="preserve">5'-AMP-activated protein kinase subunit gamma-2 isoform 2 </t>
  </si>
  <si>
    <t xml:space="preserve">5'-AMP-activated protein kinase subunit gamma-2 isoform 3 </t>
  </si>
  <si>
    <t xml:space="preserve">cAMP-dependent protein kinase type I-alpha regulatory subunit </t>
  </si>
  <si>
    <t xml:space="preserve">cAMP-dependent protein kinase type I-beta regulatory subunit </t>
  </si>
  <si>
    <t xml:space="preserve">cAMP-dependent protein kinase type II-alpha regulatory subunit </t>
  </si>
  <si>
    <t xml:space="preserve">cAMP-dependent protein kinase type II-beta regulatory subunit </t>
  </si>
  <si>
    <t xml:space="preserve">protein kinase C alpha type </t>
  </si>
  <si>
    <t xml:space="preserve">protein kinase C beta type </t>
  </si>
  <si>
    <t xml:space="preserve">protein kinase C delta type </t>
  </si>
  <si>
    <t xml:space="preserve">protein kinase C epsilon type </t>
  </si>
  <si>
    <t xml:space="preserve">protein kinase C gamma type </t>
  </si>
  <si>
    <t xml:space="preserve">protein kinase C eta type </t>
  </si>
  <si>
    <t xml:space="preserve">protein kinase C iota type </t>
  </si>
  <si>
    <t xml:space="preserve">protein kinase C theta type </t>
  </si>
  <si>
    <t xml:space="preserve">glucosidase 2 subunit beta precursor </t>
  </si>
  <si>
    <t xml:space="preserve">protein kinase C zeta type isoform a </t>
  </si>
  <si>
    <t xml:space="preserve">protein kinase C zeta type isoform b </t>
  </si>
  <si>
    <t xml:space="preserve">serine/threonine-protein kinase D2 </t>
  </si>
  <si>
    <t xml:space="preserve">DNA-dependent protein kinase catalytic subunit </t>
  </si>
  <si>
    <t>interferon-inducible double stranded RNA-dependent protein kinase activator A</t>
  </si>
  <si>
    <t>protein arginine N-methyltransferase 1 isoform 3</t>
  </si>
  <si>
    <t>protein arginine N-methyltransferase 1 isoform 2</t>
  </si>
  <si>
    <t>protein arginine N-methyltransferase 1 isoform 1</t>
  </si>
  <si>
    <t>protein arginine N-methyltransferase 2</t>
  </si>
  <si>
    <t>protein arginine N-methyltransferase 3</t>
  </si>
  <si>
    <t>protein arginine N-methyltransferase 5</t>
  </si>
  <si>
    <t>protein arginine N-methyltransferase 6</t>
  </si>
  <si>
    <t>protein arginine N-methyltransferase 7</t>
  </si>
  <si>
    <t>protein arginine N-methyltransferase 8</t>
  </si>
  <si>
    <t xml:space="preserve">proline dehydrogenase 1, mitochondrial precursor </t>
  </si>
  <si>
    <t>prominin-1 isoform s1 precursor</t>
  </si>
  <si>
    <t>prominin-1 isoform s2 precursor</t>
  </si>
  <si>
    <t>prominin-1 isoform s3 precursor</t>
  </si>
  <si>
    <t xml:space="preserve">prominin-1 isoform s4 </t>
  </si>
  <si>
    <t xml:space="preserve">prominin-1 isoform s5 </t>
  </si>
  <si>
    <t>prominin-1 isoform s6 precursor</t>
  </si>
  <si>
    <t>prominin-1 isoform s7 precursor</t>
  </si>
  <si>
    <t>prominin-1 isoform s8 precursor</t>
  </si>
  <si>
    <t>prominin-2 isoform 1 precursor</t>
  </si>
  <si>
    <t>prominin-2 isoform 2 precursor</t>
  </si>
  <si>
    <t>prolyl-tRNA synthetase associated domain-containing protein 1 isoform 1</t>
  </si>
  <si>
    <t>prolyl-tRNA synthetase associated domain-containing protein 1 isoform 2</t>
  </si>
  <si>
    <t>proline synthase co-transcribed bacterial homolog protein isoform c</t>
  </si>
  <si>
    <t>proline synthase co-transcribed bacterial homolog protein isoform a</t>
  </si>
  <si>
    <t>proline synthase co-transcribed bacterial homolog protein isoform b</t>
  </si>
  <si>
    <t xml:space="preserve">proline and serine-rich protein 2 </t>
  </si>
  <si>
    <t xml:space="preserve">pre-mRNA-splicing factor 18 </t>
  </si>
  <si>
    <t xml:space="preserve">pre-mRNA-processing factor 19 isoform 2 </t>
  </si>
  <si>
    <t xml:space="preserve">pre-mRNA-processing factor 19 isoform 1 </t>
  </si>
  <si>
    <t xml:space="preserve">pre-mRNA-processing factor 19 isoform 3 </t>
  </si>
  <si>
    <t xml:space="preserve">U4/U6 small nuclear ribonucleoprotein Prp3 </t>
  </si>
  <si>
    <t xml:space="preserve">U4/U6 small nuclear ribonucleoprotein Prp31 isoform 1 </t>
  </si>
  <si>
    <t xml:space="preserve">U4/U6 small nuclear ribonucleoprotein Prp31 isoform 2 </t>
  </si>
  <si>
    <t xml:space="preserve">pre-mRNA-splicing factor 38A </t>
  </si>
  <si>
    <t xml:space="preserve">pre-mRNA-splicing factor 38B </t>
  </si>
  <si>
    <t xml:space="preserve">pre-mRNA-processing factor 39 </t>
  </si>
  <si>
    <t xml:space="preserve">U4/U6 small nuclear ribonucleoprotein Prp4 </t>
  </si>
  <si>
    <t xml:space="preserve">pre-mRNA-processing factor 40 homolog A </t>
  </si>
  <si>
    <t xml:space="preserve">pre-mRNA-processing factor 40 homolog B </t>
  </si>
  <si>
    <t>serine/threonine-protein kinase PRP4 homolog</t>
  </si>
  <si>
    <t xml:space="preserve">pre-mRNA-processing factor 6 </t>
  </si>
  <si>
    <t xml:space="preserve">pre-mRNA-processing-splicing factor 8 </t>
  </si>
  <si>
    <t xml:space="preserve">peripherin isoform 1 </t>
  </si>
  <si>
    <t xml:space="preserve">peripherin isoform 2 </t>
  </si>
  <si>
    <t xml:space="preserve">peripherin isoform 3 </t>
  </si>
  <si>
    <t xml:space="preserve">ribose-phosphate pyrophosphokinase 1 </t>
  </si>
  <si>
    <t xml:space="preserve">phosphoribosyl pyrophosphate synthetase 1-like 1 </t>
  </si>
  <si>
    <t>ribose-phosphate pyrophosphokinase</t>
  </si>
  <si>
    <t xml:space="preserve">ribose-phosphate pyrophosphokinase 2 </t>
  </si>
  <si>
    <t xml:space="preserve">phosphoribosyl pyrophosphate synthase-associated protein 1 </t>
  </si>
  <si>
    <t xml:space="preserve">phosphoribosyl pyrophosphate synthase-associated protein 2 isoform a </t>
  </si>
  <si>
    <t xml:space="preserve">phosphoribosyl pyrophosphate synthase-associated protein 2 isoform b </t>
  </si>
  <si>
    <t>protein PRRC1</t>
  </si>
  <si>
    <t>protein PRRC2A isoform 2</t>
  </si>
  <si>
    <t>protein PRRC2A isoform 1</t>
  </si>
  <si>
    <t>protein PRRC2B isoform 1</t>
  </si>
  <si>
    <t>protein PRRC2B isoform 2</t>
  </si>
  <si>
    <t>protein PRRC2C</t>
  </si>
  <si>
    <t>protease, serine, 1 precursor</t>
  </si>
  <si>
    <t>prostasin precursor</t>
  </si>
  <si>
    <t xml:space="preserve">protein prune homolog </t>
  </si>
  <si>
    <t>sulfated glycoprotein 1 isoform B preproprotein</t>
  </si>
  <si>
    <t>sulfated glycoprotein 1 isoform A preproprotein</t>
  </si>
  <si>
    <t>sulfated glycoprotein 1 isoform C preproprotein</t>
  </si>
  <si>
    <t>sulfated glycoprotein 1 isoform D preproprotein</t>
  </si>
  <si>
    <t>sulfated glycoprotein 1 isoform E preproprotein</t>
  </si>
  <si>
    <t>sulfated glycoprotein 1 isoform F preproprotein</t>
  </si>
  <si>
    <t>phosphoserine aminotransferase isoform 2</t>
  </si>
  <si>
    <t>phosphoserine aminotransferase isoform 1</t>
  </si>
  <si>
    <t xml:space="preserve">presenilin-1 </t>
  </si>
  <si>
    <t xml:space="preserve">presenilin-2 </t>
  </si>
  <si>
    <t xml:space="preserve">gamma-secretase subunit PEN-2 </t>
  </si>
  <si>
    <t>PC4 and SFRS1-interacting protein</t>
  </si>
  <si>
    <t>proteasome subunit alpha type-1</t>
  </si>
  <si>
    <t>proteasome subunit alpha type-2</t>
  </si>
  <si>
    <t>proteasome subunit alpha type-3</t>
  </si>
  <si>
    <t>proteasome subunit alpha type-4</t>
  </si>
  <si>
    <t>proteasome subunit alpha type-5</t>
  </si>
  <si>
    <t>proteasome subunit alpha type-6</t>
  </si>
  <si>
    <t>proteasome subunit alpha type-7</t>
  </si>
  <si>
    <t>proteasome subunit alpha type-7-like</t>
  </si>
  <si>
    <t xml:space="preserve">proteasome subunit beta type-1 precursor </t>
  </si>
  <si>
    <t>proteasome subunit beta type-2</t>
  </si>
  <si>
    <t>proteasome subunit beta type-3</t>
  </si>
  <si>
    <t xml:space="preserve">proteasome subunit beta type-4 precursor </t>
  </si>
  <si>
    <t>proteasome subunit beta type-5</t>
  </si>
  <si>
    <t xml:space="preserve">proteasome subunit beta type-6 precursor </t>
  </si>
  <si>
    <t xml:space="preserve">proteasome subunit beta type-7 precursor </t>
  </si>
  <si>
    <t xml:space="preserve">proteasome subunit beta type-8 precursor </t>
  </si>
  <si>
    <t xml:space="preserve">26S protease regulatory subunit 4 </t>
  </si>
  <si>
    <t xml:space="preserve">26S protease regulatory subunit 7 </t>
  </si>
  <si>
    <t xml:space="preserve">26S protease regulatory subunit 6A </t>
  </si>
  <si>
    <t xml:space="preserve">26S protease regulatory subunit 6B </t>
  </si>
  <si>
    <t xml:space="preserve">26S protease regulatory subunit 8 </t>
  </si>
  <si>
    <t xml:space="preserve">26S protease regulatory subunit 10B </t>
  </si>
  <si>
    <t>26S proteasome non-ATPase regulatory subunit 1</t>
  </si>
  <si>
    <t>26S proteasome non-ATPase regulatory subunit 10 isoform 2</t>
  </si>
  <si>
    <t>26S proteasome non-ATPase regulatory subunit 10 isoform 1</t>
  </si>
  <si>
    <t>26S proteasome non-ATPase regulatory subunit 11</t>
  </si>
  <si>
    <t>26S proteasome non-ATPase regulatory subunit 12</t>
  </si>
  <si>
    <t>26S proteasome non-ATPase regulatory subunit 13</t>
  </si>
  <si>
    <t>26S proteasome non-ATPase regulatory subunit 14</t>
  </si>
  <si>
    <t>26S proteasome non-ATPase regulatory subunit 2</t>
  </si>
  <si>
    <t>26S proteasome non-ATPase regulatory subunit 3</t>
  </si>
  <si>
    <t>26S proteasome non-ATPase regulatory subunit 4</t>
  </si>
  <si>
    <t>26S proteasome non-ATPase regulatory subunit 5</t>
  </si>
  <si>
    <t>26S proteasome non-ATPase regulatory subunit 6</t>
  </si>
  <si>
    <t>26S proteasome non-ATPase regulatory subunit 7</t>
  </si>
  <si>
    <t>26S proteasome non-ATPase regulatory subunit 8</t>
  </si>
  <si>
    <t>26S proteasome non-ATPase regulatory subunit 9</t>
  </si>
  <si>
    <t xml:space="preserve">proteasome activator complex subunit 1 </t>
  </si>
  <si>
    <t xml:space="preserve">proteasome activator complex subunit 2 isoform 1 </t>
  </si>
  <si>
    <t xml:space="preserve">proteasome activator complex subunit 2 isoform 2 </t>
  </si>
  <si>
    <t xml:space="preserve">protease (prosome, macropain) 28 subunit beta B </t>
  </si>
  <si>
    <t xml:space="preserve">proteasome activator complex subunit 3 </t>
  </si>
  <si>
    <t xml:space="preserve">proteasome activator complex subunit 4 </t>
  </si>
  <si>
    <t>proteasome inhibitor PI31 subunit</t>
  </si>
  <si>
    <t>proteasome assembly chaperone 1</t>
  </si>
  <si>
    <t>proteasome assembly chaperone 2</t>
  </si>
  <si>
    <t>proteasome assembly chaperone 3</t>
  </si>
  <si>
    <t>proteasome assembly chaperone 4 isoform a</t>
  </si>
  <si>
    <t>proteasome assembly chaperone 4 isoform b</t>
  </si>
  <si>
    <t xml:space="preserve">paraspeckle component 1 </t>
  </si>
  <si>
    <t>phosphoserine phosphatase</t>
  </si>
  <si>
    <t>proline-serine-threonine phosphatase-interacting protein 1</t>
  </si>
  <si>
    <t xml:space="preserve">protein prenyltransferase alpha subunit repeat containing 1 </t>
  </si>
  <si>
    <t>polypyrimidine tract-binding protein 1 isoform 3</t>
  </si>
  <si>
    <t>polypyrimidine tract-binding protein 1 isoform 1</t>
  </si>
  <si>
    <t>polypyrimidine tract-binding protein 1 isoform 2</t>
  </si>
  <si>
    <t>polypyrimidine tract-binding protein 2</t>
  </si>
  <si>
    <t>polypyrimidine tract-binding protein 3 isoform 1</t>
  </si>
  <si>
    <t>polypyrimidine tract-binding protein 3 isoform 2</t>
  </si>
  <si>
    <t xml:space="preserve">pentatricopeptide repeat-containing protein 2, mitochondrial </t>
  </si>
  <si>
    <t xml:space="preserve">pentatricopeptide repeat domain-containing protein 3, mitochondrial precursor </t>
  </si>
  <si>
    <t>pre T-cell antigen receptor alpha precursor</t>
  </si>
  <si>
    <t xml:space="preserve">phosphatidylserine synthase 1 </t>
  </si>
  <si>
    <t>phosphatidylinositol 3,4,5-trisphosphate 3-phosphatase and dual-specificity protein phosphatase PTEN</t>
  </si>
  <si>
    <t>phosphotriesterase-related protein</t>
  </si>
  <si>
    <t>prostaglandin E synthase 2</t>
  </si>
  <si>
    <t>prostaglandin F2 receptor negative regulator precursor</t>
  </si>
  <si>
    <t xml:space="preserve">prostaglandin reductase 1 </t>
  </si>
  <si>
    <t xml:space="preserve">prostaglandin reductase 2 isoform 2 </t>
  </si>
  <si>
    <t xml:space="preserve">prostaglandin reductase 2 isoform 1 </t>
  </si>
  <si>
    <t xml:space="preserve">prostaglandin G/H synthase 1 precursor </t>
  </si>
  <si>
    <t xml:space="preserve">prostaglandin G/H synthase 2 precursor </t>
  </si>
  <si>
    <t>focal adhesion kinase 1 isoform 2</t>
  </si>
  <si>
    <t>focal adhesion kinase 1 isoform 1</t>
  </si>
  <si>
    <t xml:space="preserve">protein-tyrosine kinase 2-beta isoform 3 </t>
  </si>
  <si>
    <t xml:space="preserve">protein-tyrosine kinase 2-beta isoform 2 </t>
  </si>
  <si>
    <t xml:space="preserve">protein-tyrosine kinase 2-beta isoform 1 </t>
  </si>
  <si>
    <t xml:space="preserve">inactive tyrosine-protein kinase 7 precursor </t>
  </si>
  <si>
    <t>prothymosin alpha</t>
  </si>
  <si>
    <t xml:space="preserve">parathymosin </t>
  </si>
  <si>
    <t>protein tyrosine phosphatase type IVA 2</t>
  </si>
  <si>
    <t xml:space="preserve">3-hydroxyacyl-CoA dehydratase 3 </t>
  </si>
  <si>
    <t xml:space="preserve">3-hydroxyacyl-CoA dehydratase 2 </t>
  </si>
  <si>
    <t xml:space="preserve">phosphatidylglycerophosphatase and protein-tyrosine phosphatase 1 </t>
  </si>
  <si>
    <t xml:space="preserve">tyrosine-protein phosphatase non-receptor type 1 </t>
  </si>
  <si>
    <t xml:space="preserve">tyrosine-protein phosphatase non-receptor type 11 isoform b </t>
  </si>
  <si>
    <t xml:space="preserve">tyrosine-protein phosphatase non-receptor type 11 isoform a </t>
  </si>
  <si>
    <t xml:space="preserve">tyrosine-protein phosphatase non-receptor type 12 </t>
  </si>
  <si>
    <t xml:space="preserve">tyrosine-protein phosphatase non-receptor type 13 </t>
  </si>
  <si>
    <t xml:space="preserve">tyrosine-protein phosphatase non-receptor type 14 </t>
  </si>
  <si>
    <t xml:space="preserve">tyrosine-protein phosphatase non-receptor type 2 isoform b </t>
  </si>
  <si>
    <t xml:space="preserve">tyrosine-protein phosphatase non-receptor type 2 isoform a </t>
  </si>
  <si>
    <t xml:space="preserve">tyrosine-protein phosphatase non-receptor type 21 </t>
  </si>
  <si>
    <t xml:space="preserve">tyrosine-protein phosphatase non-receptor type 23 </t>
  </si>
  <si>
    <t xml:space="preserve">tyrosine-protein phosphatase non-receptor type 3 </t>
  </si>
  <si>
    <t xml:space="preserve">tyrosine-protein phosphatase non-receptor type 6 isoform a </t>
  </si>
  <si>
    <t xml:space="preserve">tyrosine-protein phosphatase non-receptor type 6 isoform b </t>
  </si>
  <si>
    <t xml:space="preserve">tyrosine-protein phosphatase non-receptor type 9 </t>
  </si>
  <si>
    <t xml:space="preserve">receptor-type tyrosine-protein phosphatase alpha isoform 1 precursor </t>
  </si>
  <si>
    <t xml:space="preserve">receptor-type tyrosine-protein phosphatase alpha isoform 2 precursor </t>
  </si>
  <si>
    <t xml:space="preserve">receptor-type tyrosine-protein phosphatase delta isoform B precursor </t>
  </si>
  <si>
    <t xml:space="preserve">receptor-type tyrosine-protein phosphatase F precursor </t>
  </si>
  <si>
    <t>receptor-type tyrosine-protein phosphatase eta isoform 1</t>
  </si>
  <si>
    <t>receptor-type tyrosine-protein phosphatase eta isoform 2</t>
  </si>
  <si>
    <t xml:space="preserve">receptor-type tyrosine-protein phosphatase kappa precursor </t>
  </si>
  <si>
    <t xml:space="preserve">receptor-type tyrosine-protein phosphatase mu precursor </t>
  </si>
  <si>
    <t xml:space="preserve">receptor-type tyrosine-protein phosphatase O isoform 1 precursor </t>
  </si>
  <si>
    <t xml:space="preserve">receptor-type tyrosine-protein phosphatase O isoform 2 precursor </t>
  </si>
  <si>
    <t>receptor-type tyrosine-protein phosphatase O isoform 3</t>
  </si>
  <si>
    <t>receptor-type tyrosine-protein phosphatase O isoform 4</t>
  </si>
  <si>
    <t>polymerase I and transcript release factor</t>
  </si>
  <si>
    <t>peptidyl-tRNA hydrolase 2, mitochondrial isoform b</t>
  </si>
  <si>
    <t>peptidyl-tRNA hydrolase 2, mitochondrial isoform a</t>
  </si>
  <si>
    <t>putative peptidyl-tRNA hydrolase PTRHD1</t>
  </si>
  <si>
    <t xml:space="preserve">6-pyruvoyl tetrahydrobiopterin synthase </t>
  </si>
  <si>
    <t xml:space="preserve">pituitary tumor-transforming gene 1 protein-interacting protein precursor </t>
  </si>
  <si>
    <t xml:space="preserve">poly(U)-binding-splicing factor PUF60 isoform a </t>
  </si>
  <si>
    <t xml:space="preserve">poly(U)-binding-splicing factor PUF60 isoform c </t>
  </si>
  <si>
    <t xml:space="preserve">poly(U)-binding-splicing factor PUF60 isoform b </t>
  </si>
  <si>
    <t xml:space="preserve">pumilio homolog 1 isoform 1 </t>
  </si>
  <si>
    <t xml:space="preserve">pumilio homolog 1 isoform 2 </t>
  </si>
  <si>
    <t xml:space="preserve">pumilio homolog 1 isoform 3 </t>
  </si>
  <si>
    <t xml:space="preserve">pumilio homolog 1 isoform 4 </t>
  </si>
  <si>
    <t xml:space="preserve">pumilio homolog 1 isoform 5 </t>
  </si>
  <si>
    <t xml:space="preserve">pumilio homolog 2 isoform 1 </t>
  </si>
  <si>
    <t xml:space="preserve">pumilio homolog 2 isoform 2 </t>
  </si>
  <si>
    <t xml:space="preserve">pumilio homolog 2 isoform 3 </t>
  </si>
  <si>
    <t>transcriptional activator protein Pur-alpha</t>
  </si>
  <si>
    <t>transcriptional activator protein Pur-beta</t>
  </si>
  <si>
    <t xml:space="preserve">tRNA pseudouridine synthase A, mitochondrial isoform 1 </t>
  </si>
  <si>
    <t xml:space="preserve">tRNA pseudouridine synthase A, mitochondrial isoform 2 </t>
  </si>
  <si>
    <t xml:space="preserve">tRNA pseudouridine synthase A, mitochondrial isoform 3 </t>
  </si>
  <si>
    <t xml:space="preserve">putative tRNA pseudouridine synthase Pus10 </t>
  </si>
  <si>
    <t>pseudouridylate synthase 7 homolog</t>
  </si>
  <si>
    <t xml:space="preserve">pseudouridylate synthase 7 homolog-like protein </t>
  </si>
  <si>
    <t>tRNA pseudouridine synthase-like 1</t>
  </si>
  <si>
    <t xml:space="preserve">poliovirus receptor-related protein 2 isoform 1 precursor </t>
  </si>
  <si>
    <t xml:space="preserve">poliovirus receptor-related protein 4 isoform a precursor </t>
  </si>
  <si>
    <t xml:space="preserve">poliovirus receptor-related protein 4 isoform b precursor </t>
  </si>
  <si>
    <t xml:space="preserve">periodic tryptophan protein 1 homolog </t>
  </si>
  <si>
    <t>PREDICTED: periodic tryptophan protein 2 homolog isoform 1</t>
  </si>
  <si>
    <t>PREDICTED: periodic tryptophan protein 2 homolog isoform 2</t>
  </si>
  <si>
    <t xml:space="preserve">peroxidasin homolog precursor </t>
  </si>
  <si>
    <t xml:space="preserve">PX domain-containing protein kinase-like protein long isoform </t>
  </si>
  <si>
    <t xml:space="preserve">PX domain-containing protein kinase-like protein short isoform </t>
  </si>
  <si>
    <t>peroxisomal membrane protein 4</t>
  </si>
  <si>
    <t xml:space="preserve">paxillin isoform beta </t>
  </si>
  <si>
    <t xml:space="preserve">paxillin isoform alpha </t>
  </si>
  <si>
    <t>pyrroline-5-carboxylate reductase 1, mitochondrial</t>
  </si>
  <si>
    <t xml:space="preserve">pyrroline-5-carboxylate reductase 2 </t>
  </si>
  <si>
    <t xml:space="preserve">pyrroline-5-carboxylate reductase 3 </t>
  </si>
  <si>
    <t>glycogen phosphorylase, brain form</t>
  </si>
  <si>
    <t>glycogen phosphorylase, liver form</t>
  </si>
  <si>
    <t>glycogen phosphorylase, muscle form</t>
  </si>
  <si>
    <t>glutaminyl-tRNA synthetase isoform 1</t>
  </si>
  <si>
    <t>glutaminyl-tRNA synthetase isoform 2</t>
  </si>
  <si>
    <t>dihydropteridine reductase</t>
  </si>
  <si>
    <t>protein quaking isoform 3</t>
  </si>
  <si>
    <t>protein quaking isoform 2</t>
  </si>
  <si>
    <t>protein quaking isoform 1</t>
  </si>
  <si>
    <t xml:space="preserve">glutamine-rich protein 1 </t>
  </si>
  <si>
    <t xml:space="preserve">glutamyl-tRNA(Gln) amidotransferase subunit A, mitochondrial </t>
  </si>
  <si>
    <t>queuine tRNA-ribosyltransferase</t>
  </si>
  <si>
    <t>queuine tRNA-ribosyltransferase subunit QTRTD1</t>
  </si>
  <si>
    <t>R3H and coiled-coil domain-containing protein 1</t>
  </si>
  <si>
    <t>R3H domain (binds single-stranded nucleic acids)</t>
  </si>
  <si>
    <t>peptidase inhibitor R3HDML precursor</t>
  </si>
  <si>
    <t xml:space="preserve">ras-related protein Rab-1A </t>
  </si>
  <si>
    <t xml:space="preserve">ras-related protein Rab-10 </t>
  </si>
  <si>
    <t xml:space="preserve">ras-related protein Rab-11A </t>
  </si>
  <si>
    <t xml:space="preserve">ras-related protein Rab-11B </t>
  </si>
  <si>
    <t>rab11 family-interacting protein 1 isoform 1</t>
  </si>
  <si>
    <t>rab11 family-interacting protein 1 isoform 2</t>
  </si>
  <si>
    <t>Rab11-family interacting protein 2 isoform 1</t>
  </si>
  <si>
    <t>Rab11-family interacting protein 2 isoform 2</t>
  </si>
  <si>
    <t xml:space="preserve">ras-related protein Rab-12 </t>
  </si>
  <si>
    <t xml:space="preserve">ras-related protein Rab-13 </t>
  </si>
  <si>
    <t xml:space="preserve">ras-related protein Rab-14 </t>
  </si>
  <si>
    <t xml:space="preserve">ras-related protein Rab-15 </t>
  </si>
  <si>
    <t xml:space="preserve">ras-related protein Rab-17 </t>
  </si>
  <si>
    <t xml:space="preserve">ras-related protein Rab-18 isoform 1 </t>
  </si>
  <si>
    <t>ras-related protein Rab-18 isoform 2 precursor</t>
  </si>
  <si>
    <t xml:space="preserve">ras-related protein Rab-19 </t>
  </si>
  <si>
    <t xml:space="preserve">ras-related protein Rab-1B </t>
  </si>
  <si>
    <t xml:space="preserve">ras-related protein Rab-20 </t>
  </si>
  <si>
    <t xml:space="preserve">ras-related protein Rab-21 </t>
  </si>
  <si>
    <t xml:space="preserve">ras-related protein Rab-22A </t>
  </si>
  <si>
    <t xml:space="preserve">ras-related protein Rab-23 </t>
  </si>
  <si>
    <t xml:space="preserve">ras-related protein Rab-24 </t>
  </si>
  <si>
    <t xml:space="preserve">ras-related protein Rab-25 </t>
  </si>
  <si>
    <t xml:space="preserve">ras-related protein Rab-26 </t>
  </si>
  <si>
    <t xml:space="preserve">ras-related protein Rab-27A </t>
  </si>
  <si>
    <t xml:space="preserve">ras-related protein Rab-27B </t>
  </si>
  <si>
    <t xml:space="preserve">ras-related protein Rab-28 </t>
  </si>
  <si>
    <t xml:space="preserve">ras-related protein Rab-2A </t>
  </si>
  <si>
    <t xml:space="preserve">ras-related protein Rab-2B </t>
  </si>
  <si>
    <t xml:space="preserve">ras-related protein Rab-30 </t>
  </si>
  <si>
    <t xml:space="preserve">ras-related protein Rab-31 </t>
  </si>
  <si>
    <t xml:space="preserve">ras-related protein Rab-32 </t>
  </si>
  <si>
    <t xml:space="preserve">ras-related protein Rab-33A </t>
  </si>
  <si>
    <t xml:space="preserve">ras-related protein Rab-33B </t>
  </si>
  <si>
    <t xml:space="preserve">ras-related protein Rab-34 </t>
  </si>
  <si>
    <t xml:space="preserve">ras-related protein Rab-35 </t>
  </si>
  <si>
    <t xml:space="preserve">ras-related protein Rab-37 isoform 1 </t>
  </si>
  <si>
    <t xml:space="preserve">ras-related protein Rab-37 isoform 2 </t>
  </si>
  <si>
    <t xml:space="preserve">ras-related protein Rab-38 </t>
  </si>
  <si>
    <t xml:space="preserve">ras-related protein Rab-39A </t>
  </si>
  <si>
    <t xml:space="preserve">ras-related protein Rab-39B </t>
  </si>
  <si>
    <t xml:space="preserve">ras-related protein Rab-3A </t>
  </si>
  <si>
    <t xml:space="preserve">ras-related protein Rab-3B </t>
  </si>
  <si>
    <t xml:space="preserve">ras-related protein Rab-3C </t>
  </si>
  <si>
    <t xml:space="preserve">ras-related protein Rab-3D </t>
  </si>
  <si>
    <t xml:space="preserve">rab3 GTPase-activating protein catalytic subunit </t>
  </si>
  <si>
    <t xml:space="preserve">rab3 GTPase-activating protein non-catalytic subunit </t>
  </si>
  <si>
    <t>rab-3A-interacting protein</t>
  </si>
  <si>
    <t xml:space="preserve">ras-related protein Rab-40B </t>
  </si>
  <si>
    <t xml:space="preserve">ras-related protein Rab-43 isoform a </t>
  </si>
  <si>
    <t xml:space="preserve">ras-related protein Rab-4A </t>
  </si>
  <si>
    <t xml:space="preserve">ras-related protein Rab-4B </t>
  </si>
  <si>
    <t xml:space="preserve">ras-related protein Rab-5A </t>
  </si>
  <si>
    <t xml:space="preserve">ras-related protein Rab-5B isoform 1 </t>
  </si>
  <si>
    <t xml:space="preserve">ras-related protein Rab-5C </t>
  </si>
  <si>
    <t xml:space="preserve">ras-related protein Rab-6A isoform 2 </t>
  </si>
  <si>
    <t xml:space="preserve">ras-related protein Rab-6A isoform 1 </t>
  </si>
  <si>
    <t xml:space="preserve">ras-related protein Rab-6B </t>
  </si>
  <si>
    <t xml:space="preserve">ras-related protein Rab-7a </t>
  </si>
  <si>
    <t xml:space="preserve">ras-related protein Rab-7L1 </t>
  </si>
  <si>
    <t xml:space="preserve">ras-related protein Rab-8A </t>
  </si>
  <si>
    <t xml:space="preserve">ras-related protein Rab-8B </t>
  </si>
  <si>
    <t xml:space="preserve">ras-related protein Rab-9A </t>
  </si>
  <si>
    <t xml:space="preserve">ras-related protein Rab-9B </t>
  </si>
  <si>
    <t xml:space="preserve">prenylated Rab acceptor protein 1 </t>
  </si>
  <si>
    <t xml:space="preserve">rab GTPase-binding effector protein 1 </t>
  </si>
  <si>
    <t xml:space="preserve">rab GTPase-binding effector protein 2 </t>
  </si>
  <si>
    <t>rab GTPase-activating protein 1 isoform a</t>
  </si>
  <si>
    <t>rab GTPase-activating protein 1 isoform b</t>
  </si>
  <si>
    <t>rab GTPase-activating protein 1-like isoform a</t>
  </si>
  <si>
    <t>rab GTPase-activating protein 1-like isoform b</t>
  </si>
  <si>
    <t>rab5 GDP/GTP exchange factor</t>
  </si>
  <si>
    <t xml:space="preserve">geranylgeranyl transferase type-2 subunit alpha </t>
  </si>
  <si>
    <t xml:space="preserve">geranylgeranyl transferase type-2 subunit beta isoform 1 </t>
  </si>
  <si>
    <t xml:space="preserve">geranylgeranyl transferase type-2 subunit beta isoform 2 </t>
  </si>
  <si>
    <t xml:space="preserve">geranylgeranyl transferase type-2 subunit beta isoform 3 </t>
  </si>
  <si>
    <t xml:space="preserve">guanine nucleotide exchange factor MSS4 </t>
  </si>
  <si>
    <t xml:space="preserve">RAB, member of RAS oncogene family-like 2A </t>
  </si>
  <si>
    <t xml:space="preserve">rab-like protein 5 </t>
  </si>
  <si>
    <t xml:space="preserve">rab-like protein 6 </t>
  </si>
  <si>
    <t xml:space="preserve">ras-related C3 botulinum toxin substrate 1 precursor </t>
  </si>
  <si>
    <t xml:space="preserve">ras-related C3 botulinum toxin substrate 2 precursor </t>
  </si>
  <si>
    <t xml:space="preserve">ras-related C3 botulinum toxin substrate 3 precursor </t>
  </si>
  <si>
    <t>rac GTPase-activating protein 1</t>
  </si>
  <si>
    <t xml:space="preserve">cell cycle checkpoint protein RAD1 </t>
  </si>
  <si>
    <t xml:space="preserve">double-strand-break repair protein rad21 homolog </t>
  </si>
  <si>
    <t xml:space="preserve">UV excision repair protein RAD23 homolog A </t>
  </si>
  <si>
    <t xml:space="preserve">UV excision repair protein RAD23 homolog B </t>
  </si>
  <si>
    <t>DNA repair protein RAD50</t>
  </si>
  <si>
    <t>DNA repair protein RAD51 homolog 1</t>
  </si>
  <si>
    <t xml:space="preserve">RAD51-associated protein 1 </t>
  </si>
  <si>
    <t>DNA repair protein RAD51 homolog 2 isoform 1</t>
  </si>
  <si>
    <t>DNA repair protein RAD51 homolog 3</t>
  </si>
  <si>
    <t>DNA repair protein RAD51 homolog 4</t>
  </si>
  <si>
    <t>helicase ARIP4</t>
  </si>
  <si>
    <t xml:space="preserve">mRNA export factor </t>
  </si>
  <si>
    <t>retinoic acid early-inducible protein 1-alpha precursor</t>
  </si>
  <si>
    <t>retinoic acid early-inducible protein 1-beta precursor</t>
  </si>
  <si>
    <t>retinoic acid early-inducible protein 1-gamma precursor</t>
  </si>
  <si>
    <t>retinoic acid early-inducible protein 1-delta precursor</t>
  </si>
  <si>
    <t>retinoic acid early-inducible protein 1-epsilon precursor</t>
  </si>
  <si>
    <t>RAF proto-oncogene serine/threonine-protein kinase</t>
  </si>
  <si>
    <t xml:space="preserve">ankycorbin </t>
  </si>
  <si>
    <t>ras-related protein Ral-A precursor</t>
  </si>
  <si>
    <t>ras-related protein Ral-B precursor</t>
  </si>
  <si>
    <t xml:space="preserve">ral GTPase-activating protein subunit alpha-1 isoform 2 </t>
  </si>
  <si>
    <t xml:space="preserve">ral GTPase-activating protein subunit alpha-1 isoform 3 </t>
  </si>
  <si>
    <t xml:space="preserve">ral GTPase-activating protein subunit alpha-2 </t>
  </si>
  <si>
    <t xml:space="preserve">ral GTPase-activating protein subunit beta </t>
  </si>
  <si>
    <t xml:space="preserve">RNA-binding protein Raly short isoform </t>
  </si>
  <si>
    <t xml:space="preserve">RNA-binding protein Raly long isoform </t>
  </si>
  <si>
    <t xml:space="preserve">ran-specific GTPase-activating protein </t>
  </si>
  <si>
    <t xml:space="preserve">ran-binding protein 10 </t>
  </si>
  <si>
    <t>E3 SUMO-protein ligase RanBP2</t>
  </si>
  <si>
    <t xml:space="preserve">ran-binding protein 3 isoform 1 </t>
  </si>
  <si>
    <t xml:space="preserve">ran-binding protein 3 isoform 3 </t>
  </si>
  <si>
    <t xml:space="preserve">ran-binding protein 3 isoform 2 </t>
  </si>
  <si>
    <t xml:space="preserve">ran-binding protein 6 </t>
  </si>
  <si>
    <t xml:space="preserve">ran-binding protein 9 </t>
  </si>
  <si>
    <t>ran GTPase-activating protein 1</t>
  </si>
  <si>
    <t>ras-related protein Rap-1A precursor</t>
  </si>
  <si>
    <t>ras-related protein Rap-1b precursor</t>
  </si>
  <si>
    <t xml:space="preserve">RAP1, GTP-GDP dissociation stimulator 1 isoform a </t>
  </si>
  <si>
    <t xml:space="preserve">RAP1, GTP-GDP dissociation stimulator 1 isoform b </t>
  </si>
  <si>
    <t>ras-related protein Rap-2a precursor</t>
  </si>
  <si>
    <t>ras-related protein Rap-2b precursor</t>
  </si>
  <si>
    <t>ras-related protein Rap-2c precursor</t>
  </si>
  <si>
    <t>rap guanine nucleotide exchange factor 4 isoform 1</t>
  </si>
  <si>
    <t>rap guanine nucleotide exchange factor 4 isoform 3</t>
  </si>
  <si>
    <t>rap guanine nucleotide exchange factor 4 isoform 2</t>
  </si>
  <si>
    <t>rap guanine nucleotide exchange factor-like 1</t>
  </si>
  <si>
    <t xml:space="preserve">arginine--tRNA ligase, cytoplasmic </t>
  </si>
  <si>
    <t xml:space="preserve">probable arginine--tRNA ligase, mitochondrial precursor </t>
  </si>
  <si>
    <t xml:space="preserve">RAS p21 protein activator 1 </t>
  </si>
  <si>
    <t xml:space="preserve">rasGAP-activating-like protein 1 isoform 1 </t>
  </si>
  <si>
    <t xml:space="preserve">rasGAP-activating-like protein 1 isoform 2 </t>
  </si>
  <si>
    <t>GTP-binding nuclear protein Ran, testis-specific isoform</t>
  </si>
  <si>
    <t xml:space="preserve">ras association domain-containing protein 6 </t>
  </si>
  <si>
    <t xml:space="preserve">ribonucleoprotein PTB-binding 1 </t>
  </si>
  <si>
    <t>RB1-inducible coiled-coil protein 1</t>
  </si>
  <si>
    <t xml:space="preserve">histone-binding protein RBBP4 </t>
  </si>
  <si>
    <t xml:space="preserve">retinoblastoma-binding protein 5 </t>
  </si>
  <si>
    <t>E3 ubiquitin-protein ligase RBBP6 isoform 1</t>
  </si>
  <si>
    <t xml:space="preserve">histone-binding protein RBBP7 </t>
  </si>
  <si>
    <t xml:space="preserve">putative hydrolase RBBP9 </t>
  </si>
  <si>
    <t xml:space="preserve">ranBP-type and C3HC4-type zinc finger-containing protein 1 </t>
  </si>
  <si>
    <t xml:space="preserve">retinoblastoma-like protein 1 isoform 1 </t>
  </si>
  <si>
    <t xml:space="preserve">retinoblastoma-like protein 1 isoform 2 </t>
  </si>
  <si>
    <t xml:space="preserve">RNA-binding protein 10 isoform 1 </t>
  </si>
  <si>
    <t xml:space="preserve">RNA-binding protein 10 isoform 2 </t>
  </si>
  <si>
    <t xml:space="preserve">RNA-binding protein 10 isoform 3 </t>
  </si>
  <si>
    <t xml:space="preserve">RNA-binding protein 12 </t>
  </si>
  <si>
    <t xml:space="preserve">RNA-binding protein 14 </t>
  </si>
  <si>
    <t xml:space="preserve">RNA binding motif protein 15 </t>
  </si>
  <si>
    <t xml:space="preserve">splicing factor 45 </t>
  </si>
  <si>
    <t>probable RNA-binding protein 19</t>
  </si>
  <si>
    <t xml:space="preserve">pre-mRNA-splicing factor RBM22 </t>
  </si>
  <si>
    <t xml:space="preserve">RNA-binding protein 25 </t>
  </si>
  <si>
    <t xml:space="preserve">RNA-binding protein 26 </t>
  </si>
  <si>
    <t xml:space="preserve">RNA-binding protein 28 </t>
  </si>
  <si>
    <t>putative RNA-binding protein 3 isoform 2</t>
  </si>
  <si>
    <t>putative RNA-binding protein 3 isoform 1</t>
  </si>
  <si>
    <t xml:space="preserve">RNA binding motif 31, Y-linked </t>
  </si>
  <si>
    <t xml:space="preserve">RNA-binding protein 33 </t>
  </si>
  <si>
    <t xml:space="preserve">RNA-binding protein 34 </t>
  </si>
  <si>
    <t xml:space="preserve">RNA-binding protein 39 </t>
  </si>
  <si>
    <t xml:space="preserve">RNA-binding protein 4 </t>
  </si>
  <si>
    <t xml:space="preserve">RNA-binding protein 42 </t>
  </si>
  <si>
    <t>probable RNA-binding protein 46</t>
  </si>
  <si>
    <t xml:space="preserve">RNA-binding protein 47 </t>
  </si>
  <si>
    <t xml:space="preserve">RNA-binding protein 4B </t>
  </si>
  <si>
    <t xml:space="preserve">RNA-binding protein 5 </t>
  </si>
  <si>
    <t xml:space="preserve">RNA-binding protein 7 </t>
  </si>
  <si>
    <t xml:space="preserve">RNA-binding protein 8A isoform b </t>
  </si>
  <si>
    <t xml:space="preserve">RNA-binding protein 8A isoform a </t>
  </si>
  <si>
    <t xml:space="preserve">RNA-binding motif, single-stranded-interacting protein 1 isoform 3 </t>
  </si>
  <si>
    <t xml:space="preserve">RNA-binding motif, single-stranded-interacting protein 1 isoform 2 </t>
  </si>
  <si>
    <t xml:space="preserve">RNA-binding motif, single-stranded-interacting protein 1 isoform 1 </t>
  </si>
  <si>
    <t xml:space="preserve">RNA-binding motif, single-stranded-interacting protein 2 isoform a </t>
  </si>
  <si>
    <t xml:space="preserve">RNA-binding motif, single-stranded-interacting protein 2 isoform b </t>
  </si>
  <si>
    <t xml:space="preserve">RNA-binding motif, single-stranded-interacting protein 3 isoform 3 </t>
  </si>
  <si>
    <t xml:space="preserve">RNA-binding motif, single-stranded-interacting protein 3 isoform 4 </t>
  </si>
  <si>
    <t xml:space="preserve">RNA-binding motif, single-stranded-interacting protein 3 isoform 2 </t>
  </si>
  <si>
    <t xml:space="preserve">RNA-binding motif, single-stranded-interacting protein 3 isoform 1 </t>
  </si>
  <si>
    <t xml:space="preserve">RNA-binding motif, single-stranded-interacting protein 3 isoform 5 </t>
  </si>
  <si>
    <t xml:space="preserve">RNA-binding motif, single-stranded-interacting protein 3 isoform 6 </t>
  </si>
  <si>
    <t xml:space="preserve">RNA-binding motif protein, X chromosome </t>
  </si>
  <si>
    <t xml:space="preserve">RNA-binding motif protein, X-linked 2 </t>
  </si>
  <si>
    <t xml:space="preserve">RNA binding motif protein, X-linked-like-1 </t>
  </si>
  <si>
    <t xml:space="preserve">retinol-binding protein 1 </t>
  </si>
  <si>
    <t xml:space="preserve">RNA-binding protein with multiple splicing isoform 4 </t>
  </si>
  <si>
    <t xml:space="preserve">RNA-binding protein with multiple splicing isoform 2 </t>
  </si>
  <si>
    <t xml:space="preserve">RNA-binding protein with multiple splicing isoform 1 </t>
  </si>
  <si>
    <t xml:space="preserve">RNA-binding protein with multiple splicing isoform 3 </t>
  </si>
  <si>
    <t xml:space="preserve">RING finger and CCCH-type zinc finger domain-containing protein 2 </t>
  </si>
  <si>
    <t>RCC1 and BTB domain-containing protein 1</t>
  </si>
  <si>
    <t>protein RCC2</t>
  </si>
  <si>
    <t>CAAX prenyl protease 2</t>
  </si>
  <si>
    <t xml:space="preserve">RING finger and CHY zinc finger domain-containing protein 1 isoform 1 </t>
  </si>
  <si>
    <t xml:space="preserve">RING finger and CHY zinc finger domain-containing protein 1 isoform 2 </t>
  </si>
  <si>
    <t>reticulocalbin-2 isoform 2 precursor</t>
  </si>
  <si>
    <t>reticulocalbin-2 isoform 1 precursor</t>
  </si>
  <si>
    <t xml:space="preserve">REST corepressor 1 </t>
  </si>
  <si>
    <t xml:space="preserve">REST corepressor 3 </t>
  </si>
  <si>
    <t xml:space="preserve">retinol dehydrogenase 10 </t>
  </si>
  <si>
    <t>retinol dehydrogenase 11 precursor</t>
  </si>
  <si>
    <t>retinol dehydrogenase 12 precursor</t>
  </si>
  <si>
    <t>retinol dehydrogenase 13 precursor</t>
  </si>
  <si>
    <t xml:space="preserve">retinol dehydrogenase 14 </t>
  </si>
  <si>
    <t xml:space="preserve">radixin isoform a </t>
  </si>
  <si>
    <t xml:space="preserve">radixin isoform b </t>
  </si>
  <si>
    <t>ATP-dependent DNA helicase Q1 isoform 1</t>
  </si>
  <si>
    <t>ATP-dependent DNA helicase Q1 isoform 2</t>
  </si>
  <si>
    <t>ATP-dependent DNA helicase Q1 isoform 3</t>
  </si>
  <si>
    <t>receptor expression-enhancing protein 3 isoform 2</t>
  </si>
  <si>
    <t>receptor expression-enhancing protein 3 isoform 1</t>
  </si>
  <si>
    <t>receptor expression-enhancing protein 5</t>
  </si>
  <si>
    <t>receptor expression-enhancing protein 6 isoform 1</t>
  </si>
  <si>
    <t>receptor expression-enhancing protein 6 isoform 2</t>
  </si>
  <si>
    <t xml:space="preserve">transcription factor p65 </t>
  </si>
  <si>
    <t>RELT-like protein 1 precursor</t>
  </si>
  <si>
    <t>N-acylglucosamine 2-epimerase isoform 2</t>
  </si>
  <si>
    <t>N-acylglucosamine 2-epimerase isoform 1</t>
  </si>
  <si>
    <t xml:space="preserve">ralBP1-associated Eps domain-containing protein 1 isoform 1 </t>
  </si>
  <si>
    <t xml:space="preserve">ralBP1-associated Eps domain-containing protein 1 isoform 2 </t>
  </si>
  <si>
    <t xml:space="preserve">ralBP1-associated Eps domain-containing protein 2 </t>
  </si>
  <si>
    <t>protein RER1</t>
  </si>
  <si>
    <t xml:space="preserve">arginine-glutamic acid dipeptide repeats protein </t>
  </si>
  <si>
    <t xml:space="preserve">oligoribonuclease, mitochondrial precursor </t>
  </si>
  <si>
    <t xml:space="preserve">RNA exonuclease 4 </t>
  </si>
  <si>
    <t xml:space="preserve">replication factor C subunit 1 </t>
  </si>
  <si>
    <t xml:space="preserve">replication factor C subunit 2 </t>
  </si>
  <si>
    <t xml:space="preserve">replication factor C subunit 3 </t>
  </si>
  <si>
    <t xml:space="preserve">replication factor C subunit 4 </t>
  </si>
  <si>
    <t xml:space="preserve">replication factor C subunit 5 </t>
  </si>
  <si>
    <t>riboflavin kinase</t>
  </si>
  <si>
    <t>MHC class II regulatory factor RFX1</t>
  </si>
  <si>
    <t>regulatory factor X domain containing 2</t>
  </si>
  <si>
    <t>ral guanine nucleotide dissociation stimulator-like 3</t>
  </si>
  <si>
    <t xml:space="preserve">rhomboid-related protein 4 </t>
  </si>
  <si>
    <t>rhomboid domain-containing protein 2</t>
  </si>
  <si>
    <t>GTP-binding protein Rheb precursor</t>
  </si>
  <si>
    <t>transforming protein RhoA precursor</t>
  </si>
  <si>
    <t xml:space="preserve">rho-related GTP-binding protein RhoB precursor </t>
  </si>
  <si>
    <t xml:space="preserve">rho-related GTP-binding protein RhoC precursor </t>
  </si>
  <si>
    <t xml:space="preserve">rho-related GTP-binding protein RhoD precursor </t>
  </si>
  <si>
    <t xml:space="preserve">rho-related GTP-binding protein RhoF precursor </t>
  </si>
  <si>
    <t xml:space="preserve">rho-related GTP-binding protein RhoG precursor </t>
  </si>
  <si>
    <t xml:space="preserve">rho-related GTP-binding protein RhoJ precursor </t>
  </si>
  <si>
    <t xml:space="preserve">rho-related GTP-binding protein RhoQ precursor </t>
  </si>
  <si>
    <t>mitochondrial Rho GTPase 1 isoform 2</t>
  </si>
  <si>
    <t>mitochondrial Rho GTPase 1 isoform 3</t>
  </si>
  <si>
    <t>mitochondrial Rho GTPase 1 isoform 1</t>
  </si>
  <si>
    <t>mitochondrial Rho GTPase 2</t>
  </si>
  <si>
    <t xml:space="preserve">rhophilin-2 </t>
  </si>
  <si>
    <t xml:space="preserve">RIB43A-like with coiled-coils protein 1 </t>
  </si>
  <si>
    <t xml:space="preserve">synembryn-A </t>
  </si>
  <si>
    <t xml:space="preserve">synembryn-B isoform 2 </t>
  </si>
  <si>
    <t xml:space="preserve">synembryn-B isoform 1 </t>
  </si>
  <si>
    <t>rapamycin-insensitive companion of mTOR</t>
  </si>
  <si>
    <t xml:space="preserve">rab-interacting lysosomal protein </t>
  </si>
  <si>
    <t xml:space="preserve">RILP-like protein 1 </t>
  </si>
  <si>
    <t xml:space="preserve">ras and Rab interactor 1 </t>
  </si>
  <si>
    <t xml:space="preserve">ras and Rab interactor 2 </t>
  </si>
  <si>
    <t xml:space="preserve">ras and Rab interactor 3 isoform 1 </t>
  </si>
  <si>
    <t xml:space="preserve">ras and Rab interactor 3 isoform 2 </t>
  </si>
  <si>
    <t>E3 ubiquitin-protein ligase RING1</t>
  </si>
  <si>
    <t xml:space="preserve">RAD50-interacting protein 1 </t>
  </si>
  <si>
    <t xml:space="preserve">serine/threonine-protein kinase RIO1 </t>
  </si>
  <si>
    <t>receptor-interacting serine/threonine-protein kinase 1</t>
  </si>
  <si>
    <t>regulator of microtubule dynamics protein 1</t>
  </si>
  <si>
    <t>regulator of microtubule dynamics protein 2</t>
  </si>
  <si>
    <t>regulator of microtubule dynamics protein 3</t>
  </si>
  <si>
    <t>protein RMD5 homolog A</t>
  </si>
  <si>
    <t>ribonuclease H1</t>
  </si>
  <si>
    <t>ribonuclease H2 subunit A</t>
  </si>
  <si>
    <t>ribonuclease H2 subunit B</t>
  </si>
  <si>
    <t>ribonuclease H2 subunit C</t>
  </si>
  <si>
    <t>ribonuclease kappa</t>
  </si>
  <si>
    <t xml:space="preserve">ribonuclease T2B precursor </t>
  </si>
  <si>
    <t>RING finger protein 11</t>
  </si>
  <si>
    <t>RING finger protein 112</t>
  </si>
  <si>
    <t>RING finger protein 113A</t>
  </si>
  <si>
    <t>ring finger protein 113A2</t>
  </si>
  <si>
    <t>RING finger protein 114</t>
  </si>
  <si>
    <t>RING finger protein 121</t>
  </si>
  <si>
    <t>RING finger protein 126</t>
  </si>
  <si>
    <t xml:space="preserve">E3 ubiquitin-protein ligase RNF130 precursor </t>
  </si>
  <si>
    <t>E3 ubiquitin-protein ligase RNF138 isoform 2</t>
  </si>
  <si>
    <t>E3 ubiquitin-protein ligase RNF138 isoform 1</t>
  </si>
  <si>
    <t>E3 ubiquitin-protein ligase RNF14 isoform a</t>
  </si>
  <si>
    <t>RING finger protein 157</t>
  </si>
  <si>
    <t>E3 ubiquitin-protein ligase RNF181</t>
  </si>
  <si>
    <t>E3 ubiquitin-protein ligase RING2</t>
  </si>
  <si>
    <t>E3 ubiquitin-protein ligase BRE1A</t>
  </si>
  <si>
    <t>PREDICTED: LOW QUALITY PROTEIN: E3 ubiquitin-protein ligase RNF213</t>
  </si>
  <si>
    <t>RING finger protein 214</t>
  </si>
  <si>
    <t>E3 ubiquitin-protein ligase RNF31</t>
  </si>
  <si>
    <t>E3 ubiquitin-protein ligase BRE1B</t>
  </si>
  <si>
    <t xml:space="preserve">RING-box protein 2 </t>
  </si>
  <si>
    <t xml:space="preserve">RING finger and transmembrane domain-containing protein 2 isoform 2 </t>
  </si>
  <si>
    <t xml:space="preserve">RING finger and transmembrane domain-containing protein 2 isoform 1 </t>
  </si>
  <si>
    <t>mRNA-capping enzyme</t>
  </si>
  <si>
    <t>ribonuclease inhibitor isoform b</t>
  </si>
  <si>
    <t>ribonuclease inhibitor isoform a</t>
  </si>
  <si>
    <t>mRNA cap guanine-N7 methyltransferase isoform 1</t>
  </si>
  <si>
    <t>mRNA cap guanine-N7 methyltransferase isoform 2</t>
  </si>
  <si>
    <t>RNA methyltransferase-like protein 1</t>
  </si>
  <si>
    <t>aminopeptidase B isoform 2</t>
  </si>
  <si>
    <t>aminopeptidase B isoform 1</t>
  </si>
  <si>
    <t xml:space="preserve">arginyl aminopeptidase-like 1 </t>
  </si>
  <si>
    <t>RNA-binding protein with serine-rich domain 1 isoform 1</t>
  </si>
  <si>
    <t>RNA-binding protein with serine-rich domain 1 isoform 2</t>
  </si>
  <si>
    <t>rho-associated protein kinase 1</t>
  </si>
  <si>
    <t>rho-associated protein kinase 2</t>
  </si>
  <si>
    <t xml:space="preserve">protein rogdi homolog </t>
  </si>
  <si>
    <t xml:space="preserve">reactive oxygen species modulator 1 </t>
  </si>
  <si>
    <t>protein XRP2</t>
  </si>
  <si>
    <t xml:space="preserve">retinitis pigmentosa 9 protein homolog </t>
  </si>
  <si>
    <t xml:space="preserve">replication protein A 70 kDa DNA-binding subunit isoform 2 </t>
  </si>
  <si>
    <t xml:space="preserve">replication protein A 70 kDa DNA-binding subunit isoform 1 </t>
  </si>
  <si>
    <t>replication protein A 32 kDa subunit</t>
  </si>
  <si>
    <t>replication protein A 14 kDa subunit</t>
  </si>
  <si>
    <t xml:space="preserve">putative RNA polymerase II subunit B1 CTD phosphatase Rpap2 isoform A </t>
  </si>
  <si>
    <t xml:space="preserve">putative RNA polymerase II subunit B1 CTD phosphatase Rpap2 isoform B </t>
  </si>
  <si>
    <t xml:space="preserve">RNA polymerase II-associated protein 3 </t>
  </si>
  <si>
    <t>ribulose-phosphate 3-epimerase</t>
  </si>
  <si>
    <t>ribose-5-phosphate isomerase</t>
  </si>
  <si>
    <t>60S ribosomal protein L10</t>
  </si>
  <si>
    <t>60S ribosomal protein L10a</t>
  </si>
  <si>
    <t>60S ribosomal protein L10-like</t>
  </si>
  <si>
    <t>60S ribosomal protein L11</t>
  </si>
  <si>
    <t>60S ribosomal protein L12</t>
  </si>
  <si>
    <t>60S ribosomal protein L13</t>
  </si>
  <si>
    <t>60S ribosomal protein L13a</t>
  </si>
  <si>
    <t>60S ribosomal protein L14</t>
  </si>
  <si>
    <t>60S ribosomal protein L15</t>
  </si>
  <si>
    <t>60S ribosomal protein L17</t>
  </si>
  <si>
    <t>60S ribosomal protein L18</t>
  </si>
  <si>
    <t>60S ribosomal protein L18a</t>
  </si>
  <si>
    <t>60S ribosomal protein L19 isoform 1</t>
  </si>
  <si>
    <t>60S ribosomal protein L19 isoform 2</t>
  </si>
  <si>
    <t>60S ribosomal protein L21</t>
  </si>
  <si>
    <t>60S ribosomal protein L22 isoform b</t>
  </si>
  <si>
    <t>60S ribosomal protein L22 isoform c</t>
  </si>
  <si>
    <t xml:space="preserve">60S ribosomal protein L22-like 1 </t>
  </si>
  <si>
    <t>60S ribosomal protein L23a</t>
  </si>
  <si>
    <t>60S ribosomal protein L24</t>
  </si>
  <si>
    <t>60S ribosomal protein L26</t>
  </si>
  <si>
    <t>60S ribosomal protein L27</t>
  </si>
  <si>
    <t>60S ribosomal protein L27a</t>
  </si>
  <si>
    <t>60S ribosomal protein L28</t>
  </si>
  <si>
    <t>60S ribosomal protein L3</t>
  </si>
  <si>
    <t>60S ribosomal protein L30</t>
  </si>
  <si>
    <t>60S ribosomal protein L31</t>
  </si>
  <si>
    <t xml:space="preserve">predicted gene, EG665562 </t>
  </si>
  <si>
    <t>60S ribosomal protein L32</t>
  </si>
  <si>
    <t>60S ribosomal protein L34 isoform 2</t>
  </si>
  <si>
    <t>60S ribosomal protein L35</t>
  </si>
  <si>
    <t>60S ribosomal protein L36</t>
  </si>
  <si>
    <t>60S ribosomal protein L36a</t>
  </si>
  <si>
    <t xml:space="preserve">ribosomal protein L36A-like </t>
  </si>
  <si>
    <t>60S ribosomal protein L37a</t>
  </si>
  <si>
    <t>60S ribosomal protein L38</t>
  </si>
  <si>
    <t xml:space="preserve">ribosomal protein L3-like isoform 2 </t>
  </si>
  <si>
    <t xml:space="preserve">ribosomal protein L3-like isoform 1 </t>
  </si>
  <si>
    <t>60S ribosomal protein L4</t>
  </si>
  <si>
    <t>60S ribosomal protein L5</t>
  </si>
  <si>
    <t>60S ribosomal protein L6</t>
  </si>
  <si>
    <t>60S ribosomal protein L7</t>
  </si>
  <si>
    <t>60S ribosomal protein L7a</t>
  </si>
  <si>
    <t xml:space="preserve">60S ribosomal protein L7-like 1 </t>
  </si>
  <si>
    <t>60S ribosomal protein L8</t>
  </si>
  <si>
    <t>60S ribosomal protein L9</t>
  </si>
  <si>
    <t xml:space="preserve">60S acidic ribosomal protein P0 </t>
  </si>
  <si>
    <t xml:space="preserve">60S acidic ribosomal protein P1 </t>
  </si>
  <si>
    <t xml:space="preserve">60S acidic ribosomal protein P2 </t>
  </si>
  <si>
    <t xml:space="preserve">dolichyl-diphosphooligosaccharide--protein glycosyltransferase subunit 1 precursor </t>
  </si>
  <si>
    <t xml:space="preserve">dolichyl-diphosphooligosaccharide--protein glycosyltransferase subunit 2 precursor </t>
  </si>
  <si>
    <t xml:space="preserve">ribonuclease P protein subunit p14 </t>
  </si>
  <si>
    <t xml:space="preserve">ribonuclease P protein subunit p21 </t>
  </si>
  <si>
    <t>ribonuclease P protein subunit p25-like protein</t>
  </si>
  <si>
    <t xml:space="preserve">ribonuclease P protein subunit p30 </t>
  </si>
  <si>
    <t xml:space="preserve">ribonuclease P protein subunit p38 </t>
  </si>
  <si>
    <t xml:space="preserve">ribonuclease P protein subunit p40 </t>
  </si>
  <si>
    <t xml:space="preserve">regulation of nuclear pre-mRNA domain-containing protein 1A </t>
  </si>
  <si>
    <t xml:space="preserve">regulation of nuclear pre-mRNA domain-containing protein 1B </t>
  </si>
  <si>
    <t xml:space="preserve">regulation of nuclear pre-mRNA domain-containing protein 2 </t>
  </si>
  <si>
    <t>40S ribosomal protein S10</t>
  </si>
  <si>
    <t>40S ribosomal protein S11</t>
  </si>
  <si>
    <t>40S ribosomal protein S12</t>
  </si>
  <si>
    <t xml:space="preserve">PREDICTED: 40S ribosomal protein S12-like isoform 1 </t>
  </si>
  <si>
    <t>40S ribosomal protein S13</t>
  </si>
  <si>
    <t>40S ribosomal protein S14</t>
  </si>
  <si>
    <t>40S ribosomal protein S15</t>
  </si>
  <si>
    <t>40S ribosomal protein S15a</t>
  </si>
  <si>
    <t xml:space="preserve">PREDICTED: 40S ribosomal protein S15a-like </t>
  </si>
  <si>
    <t>40S ribosomal protein S16</t>
  </si>
  <si>
    <t>40S ribosomal protein S17</t>
  </si>
  <si>
    <t>40S ribosomal protein S18</t>
  </si>
  <si>
    <t>40S ribosomal protein S19</t>
  </si>
  <si>
    <t>active regulator of SIRT1</t>
  </si>
  <si>
    <t>40S ribosomal protein S2</t>
  </si>
  <si>
    <t>40S ribosomal protein S20</t>
  </si>
  <si>
    <t>40S ribosomal protein S21</t>
  </si>
  <si>
    <t>40S ribosomal protein S23</t>
  </si>
  <si>
    <t>40S ribosomal protein S24 isoform 1</t>
  </si>
  <si>
    <t>40S ribosomal protein S24 isoform 3</t>
  </si>
  <si>
    <t>40S ribosomal protein S25</t>
  </si>
  <si>
    <t>40S ribosomal protein S26</t>
  </si>
  <si>
    <t>40S ribosomal protein S27</t>
  </si>
  <si>
    <t xml:space="preserve">ubiquitin-40S ribosomal protein S27a precursor </t>
  </si>
  <si>
    <t>40S ribosomal protein S27-like</t>
  </si>
  <si>
    <t xml:space="preserve">ribosomal protein S27-like </t>
  </si>
  <si>
    <t>40S ribosomal protein S28</t>
  </si>
  <si>
    <t>40S ribosomal protein S29</t>
  </si>
  <si>
    <t>40S ribosomal protein S3</t>
  </si>
  <si>
    <t>40S ribosomal protein S3a</t>
  </si>
  <si>
    <t>40S ribosomal protein S4, X isoform</t>
  </si>
  <si>
    <t>40S ribosomal protein S5</t>
  </si>
  <si>
    <t xml:space="preserve">ribosomal protein S6 kinase alpha-1 </t>
  </si>
  <si>
    <t xml:space="preserve">ribosomal protein S6 kinase alpha-2 </t>
  </si>
  <si>
    <t xml:space="preserve">ribosomal protein S6 kinase alpha-3 </t>
  </si>
  <si>
    <t xml:space="preserve">ribosomal protein S6 kinase alpha-4 </t>
  </si>
  <si>
    <t xml:space="preserve">ribosomal protein S6 kinase alpha-5 </t>
  </si>
  <si>
    <t xml:space="preserve">ribosomal protein S6 kinase alpha-6 </t>
  </si>
  <si>
    <t xml:space="preserve">ribosomal protein S6 kinase beta-1 isoform 1 </t>
  </si>
  <si>
    <t xml:space="preserve">ribosomal protein S6 kinase beta-1 isoform 2 </t>
  </si>
  <si>
    <t xml:space="preserve">ribosomal protein S6 kinase beta-2 </t>
  </si>
  <si>
    <t xml:space="preserve">PREDICTED: 40S ribosomal protein S6-like isoform 2 </t>
  </si>
  <si>
    <t>40S ribosomal protein S7</t>
  </si>
  <si>
    <t>40S ribosomal protein S9</t>
  </si>
  <si>
    <t>regulatory-associated protein of mTOR</t>
  </si>
  <si>
    <t>RNA pseudouridylate synthase domain-containing protein 2</t>
  </si>
  <si>
    <t xml:space="preserve">cell differentiation protein RCD1 homolog </t>
  </si>
  <si>
    <t>ras-related GTP-binding protein A</t>
  </si>
  <si>
    <t>ras-related GTP-binding protein B</t>
  </si>
  <si>
    <t>ras-related GTP-binding protein C</t>
  </si>
  <si>
    <t>ras-related GTP-binding protein D</t>
  </si>
  <si>
    <t>ras-related protein R-Ras precursor</t>
  </si>
  <si>
    <t>ras-related protein R-Ras2 precursor</t>
  </si>
  <si>
    <t xml:space="preserve">ribosome-binding protein 1 isoform b </t>
  </si>
  <si>
    <t xml:space="preserve">ribosome-binding protein 1 isoform a </t>
  </si>
  <si>
    <t>ras-responsive element-binding protein 1 isoform 1</t>
  </si>
  <si>
    <t>ras-responsive element-binding protein 1 isoform 2</t>
  </si>
  <si>
    <t>ribonucleoside-diphosphate reductase large subunit</t>
  </si>
  <si>
    <t>ribonucleoside-diphosphate reductase subunit M2</t>
  </si>
  <si>
    <t xml:space="preserve">ribonucleoside-diphosphate reductase subunit M2 B </t>
  </si>
  <si>
    <t xml:space="preserve">ribosomal RNA processing protein 1 homolog A </t>
  </si>
  <si>
    <t>RRP12-like protein</t>
  </si>
  <si>
    <t>U3 small nucleolar RNA-interacting protein 2</t>
  </si>
  <si>
    <t xml:space="preserve">ribosome biogenesis regulatory protein homolog </t>
  </si>
  <si>
    <t xml:space="preserve">round spermatid basic protein 1 </t>
  </si>
  <si>
    <t xml:space="preserve">round spermatid basic protein 1-like </t>
  </si>
  <si>
    <t xml:space="preserve">ribosomal L1 domain-containing protein 1 </t>
  </si>
  <si>
    <t xml:space="preserve">serine/Arginine-related protein 53 </t>
  </si>
  <si>
    <t>arginine/serine-rich coiled-coil protein 2 isoform 3</t>
  </si>
  <si>
    <t>arginine/serine-rich coiled-coil protein 2 isoform 2</t>
  </si>
  <si>
    <t>arginine/serine-rich coiled-coil protein 2</t>
  </si>
  <si>
    <t>ras suppressor protein 1</t>
  </si>
  <si>
    <t>RNA 3'-terminal phosphate cyclase</t>
  </si>
  <si>
    <t>tRNA-splicing ligase RtcB homolog</t>
  </si>
  <si>
    <t>RNA polymerase-associated protein RTF1 homolog precursor</t>
  </si>
  <si>
    <t xml:space="preserve">protein RTF2 homolog </t>
  </si>
  <si>
    <t xml:space="preserve">reticulon-1 isoform A2 </t>
  </si>
  <si>
    <t xml:space="preserve">reticulon-1 isoform RTN1-A </t>
  </si>
  <si>
    <t xml:space="preserve">reticulon-1 isoform RTN1-C </t>
  </si>
  <si>
    <t xml:space="preserve">reticulon-3 isoform 4 </t>
  </si>
  <si>
    <t xml:space="preserve">reticulon-3 isoform 5 </t>
  </si>
  <si>
    <t xml:space="preserve">reticulon-3 isoform 6 </t>
  </si>
  <si>
    <t xml:space="preserve">reticulon-3 isoform 2 </t>
  </si>
  <si>
    <t xml:space="preserve">reticulon-3 isoform 1 </t>
  </si>
  <si>
    <t xml:space="preserve">reticulon-4 isoform C </t>
  </si>
  <si>
    <t xml:space="preserve">reticulon-4 isoform B1 </t>
  </si>
  <si>
    <t xml:space="preserve">reticulon-4 isoform A </t>
  </si>
  <si>
    <t xml:space="preserve">reticulon-4 isoform D </t>
  </si>
  <si>
    <t xml:space="preserve">reticulon-4 isoform B2 </t>
  </si>
  <si>
    <t xml:space="preserve">reticulon-4-interacting protein 1, mitochondrial precursor </t>
  </si>
  <si>
    <t xml:space="preserve">rotatin </t>
  </si>
  <si>
    <t>RUN and FYVE domain-containing protein 1</t>
  </si>
  <si>
    <t>RUN and FYVE domain-containing protein 2</t>
  </si>
  <si>
    <t>protein RUFY3</t>
  </si>
  <si>
    <t>RUN and SH3 domain-containing protein 1 isoform 2</t>
  </si>
  <si>
    <t>RUN and SH3 domain-containing protein 1 isoform 1</t>
  </si>
  <si>
    <t>RUN and SH3 domain-containing protein 1 isoform 3</t>
  </si>
  <si>
    <t>ruvB-like 1</t>
  </si>
  <si>
    <t>ruvB-like 2</t>
  </si>
  <si>
    <t>RWD domain-containing protein 1</t>
  </si>
  <si>
    <t>RWD domain-containing protein 4</t>
  </si>
  <si>
    <t>RING1 and YY1-binding protein</t>
  </si>
  <si>
    <t>protein S100-A1</t>
  </si>
  <si>
    <t>protein S100-A10</t>
  </si>
  <si>
    <t>protein S100-A11</t>
  </si>
  <si>
    <t>protein S100-A13</t>
  </si>
  <si>
    <t>protein S100-A14 isoform b</t>
  </si>
  <si>
    <t>protein S100-A14 isoform a</t>
  </si>
  <si>
    <t xml:space="preserve">S100 calcium binding protein A16 </t>
  </si>
  <si>
    <t>protein S100-A4</t>
  </si>
  <si>
    <t>protein S100-A6</t>
  </si>
  <si>
    <t>protein SAAL1</t>
  </si>
  <si>
    <t xml:space="preserve">phosphatidylinositide phosphatase SAC1 </t>
  </si>
  <si>
    <t>SUMO-activating enzyme subunit 1</t>
  </si>
  <si>
    <t>scaffold attachment factor B1</t>
  </si>
  <si>
    <t>scaffold attachment factor B2</t>
  </si>
  <si>
    <t xml:space="preserve">sal-like protein 1 </t>
  </si>
  <si>
    <t>sterile alpha motif domain-containing protein 12</t>
  </si>
  <si>
    <t>sterile alpha motif domain-containing protein 9-like</t>
  </si>
  <si>
    <t xml:space="preserve">SAM domain and HD domain-containing protein 1 isoform 1 </t>
  </si>
  <si>
    <t xml:space="preserve">SAM domain and HD domain-containing protein 1 isoform 2 </t>
  </si>
  <si>
    <t xml:space="preserve">sorting and assembly machinery component 50 homolog </t>
  </si>
  <si>
    <t>SAP30-binding protein</t>
  </si>
  <si>
    <t xml:space="preserve">GTP-binding protein SAR1a </t>
  </si>
  <si>
    <t xml:space="preserve">GTP-binding protein SAR1b </t>
  </si>
  <si>
    <t xml:space="preserve">sarcosine dehydrogenase, mitochondrial </t>
  </si>
  <si>
    <t xml:space="preserve">SAP domain-containing ribonucleoprotein </t>
  </si>
  <si>
    <t xml:space="preserve">serine--tRNA ligase, cytoplasmic isoform 2 </t>
  </si>
  <si>
    <t xml:space="preserve">serine--tRNA ligase, cytoplasmic isoform 1 </t>
  </si>
  <si>
    <t>serine--tRNA ligase, mitochondrial precursor</t>
  </si>
  <si>
    <t>U4/U6.U5 tri-snRNP-associated protein 1</t>
  </si>
  <si>
    <t>squamous cell carcinoma antigen recognized by T-cells 3</t>
  </si>
  <si>
    <t xml:space="preserve">diamine acetyltransferase 2 </t>
  </si>
  <si>
    <t>SAYSvFN domain-containing protein 1</t>
  </si>
  <si>
    <t>ribosome maturation protein SBDS</t>
  </si>
  <si>
    <t xml:space="preserve">protein strawberry notch homolog 1 </t>
  </si>
  <si>
    <t xml:space="preserve">protein strawberry notch homolog 2 </t>
  </si>
  <si>
    <t xml:space="preserve">methylsterol monooxygenase 1 </t>
  </si>
  <si>
    <t>splicing factor, arginine/serine-rich 19</t>
  </si>
  <si>
    <t>splicing factor, arginine/serine-rich 15</t>
  </si>
  <si>
    <t>protein SCAF8</t>
  </si>
  <si>
    <t xml:space="preserve">secretory carrier-associated membrane protein 1 </t>
  </si>
  <si>
    <t xml:space="preserve">secretory carrier-associated membrane protein 2 </t>
  </si>
  <si>
    <t xml:space="preserve">secretory carrier-associated membrane protein 3 </t>
  </si>
  <si>
    <t xml:space="preserve">secretory carrier-associated membrane protein 4 </t>
  </si>
  <si>
    <t xml:space="preserve">secretory carrier-associated membrane protein 5 </t>
  </si>
  <si>
    <t xml:space="preserve">S phase cyclin A-associated protein in the endoplasmic reticulum </t>
  </si>
  <si>
    <t>scavenger receptor class B member 1 isoform 1</t>
  </si>
  <si>
    <t>scavenger receptor class B member 1 isoform 2</t>
  </si>
  <si>
    <t>scavenger receptor class B member 1 isoform 3</t>
  </si>
  <si>
    <t>lysosome membrane protein 2</t>
  </si>
  <si>
    <t xml:space="preserve">saccharopine dehydrogenase-like oxidoreductase </t>
  </si>
  <si>
    <t xml:space="preserve">sciellin </t>
  </si>
  <si>
    <t xml:space="preserve">sec1 family domain-containing protein 1 </t>
  </si>
  <si>
    <t xml:space="preserve">sec1 family domain-containing protein 2 isoform a </t>
  </si>
  <si>
    <t xml:space="preserve">secretagogin </t>
  </si>
  <si>
    <t xml:space="preserve">adseverin isoform 1 </t>
  </si>
  <si>
    <t xml:space="preserve">adseverin isoform 2 </t>
  </si>
  <si>
    <t>selenocysteine lyase</t>
  </si>
  <si>
    <t xml:space="preserve">sodium channel protein type 11 subunit alpha </t>
  </si>
  <si>
    <t>protein SCO1 homolog, mitochondrial</t>
  </si>
  <si>
    <t>protein SCO2 homolog, mitochondrial</t>
  </si>
  <si>
    <t xml:space="preserve">short coiled-coil protein isoform a </t>
  </si>
  <si>
    <t xml:space="preserve">short coiled-coil protein isoform b </t>
  </si>
  <si>
    <t xml:space="preserve">non-specific lipid-transfer protein </t>
  </si>
  <si>
    <t>retinoid-inducible serine carboxypeptidase precursor</t>
  </si>
  <si>
    <t xml:space="preserve">protein scribble homolog </t>
  </si>
  <si>
    <t xml:space="preserve">secernin-2 </t>
  </si>
  <si>
    <t xml:space="preserve">N-terminal kinase-like protein </t>
  </si>
  <si>
    <t xml:space="preserve">SCY1-like protein 2 </t>
  </si>
  <si>
    <t xml:space="preserve">protein-associating with the carboxyl-terminal domain of ezrin </t>
  </si>
  <si>
    <t xml:space="preserve">protein SDA1 homolog </t>
  </si>
  <si>
    <t>syndecan-1 precursor</t>
  </si>
  <si>
    <t>syndecan-4 precursor</t>
  </si>
  <si>
    <t xml:space="preserve">syntenin-1 isoform 2 </t>
  </si>
  <si>
    <t xml:space="preserve">syntenin-1 isoform 1 </t>
  </si>
  <si>
    <t xml:space="preserve">serologically defined colon cancer antigen 8 homolog </t>
  </si>
  <si>
    <t xml:space="preserve">stromal cell-derived factor 2-like protein 1 precursor </t>
  </si>
  <si>
    <t xml:space="preserve">succinate dehydrogenase [ubiquinone] flavoprotein subunit, mitochondrial precursor </t>
  </si>
  <si>
    <t>succinate dehydrogenase assembly factor 1, mitochondrial</t>
  </si>
  <si>
    <t xml:space="preserve">succinate dehydrogenase [ubiquinone] iron-sulfur subunit, mitochondrial precursor </t>
  </si>
  <si>
    <t xml:space="preserve">succinate dehydrogenase cytochrome b560 subunit, mitochondrial precursor </t>
  </si>
  <si>
    <t>succinate dehydrogenase [ubiquinone] cytochrome b small subunit, mitochondrial</t>
  </si>
  <si>
    <t>epimerase family protein SDR39U1</t>
  </si>
  <si>
    <t>serine dehydratase-like</t>
  </si>
  <si>
    <t>signal peptidase complex catalytic subunit SEC11A</t>
  </si>
  <si>
    <t xml:space="preserve">protein SEC13 homolog </t>
  </si>
  <si>
    <t>SEC14-like 1 isoform 1</t>
  </si>
  <si>
    <t>SEC14-like 1 isoform 2</t>
  </si>
  <si>
    <t>SEC14-like 1 isoform 3</t>
  </si>
  <si>
    <t xml:space="preserve">SEC14-like protein 5 </t>
  </si>
  <si>
    <t xml:space="preserve">SEC16 homolog A </t>
  </si>
  <si>
    <t xml:space="preserve">vesicle-trafficking protein SEC22a </t>
  </si>
  <si>
    <t>vesicle-trafficking protein SEC22b precursor</t>
  </si>
  <si>
    <t>protein transport protein Sec23A</t>
  </si>
  <si>
    <t>protein transport protein Sec23B isoform 2</t>
  </si>
  <si>
    <t>protein transport protein Sec23B</t>
  </si>
  <si>
    <t>protein transport protein Sec23B isoform 1</t>
  </si>
  <si>
    <t>SEC23-interacting protein</t>
  </si>
  <si>
    <t>protein transport protein Sec24A</t>
  </si>
  <si>
    <t>protein transport protein Sec24B</t>
  </si>
  <si>
    <t>Sec24 related gene family, member C isoform 1</t>
  </si>
  <si>
    <t>Sec24 related gene family, member C isoform 2</t>
  </si>
  <si>
    <t>SEC24 related gene family, member D</t>
  </si>
  <si>
    <t>protein transport protein Sec31A</t>
  </si>
  <si>
    <t>protein transport protein Sec31B</t>
  </si>
  <si>
    <t>protein transport protein Sec61 subunit alpha isoform 1</t>
  </si>
  <si>
    <t>protein transport protein Sec61 subunit alpha isoform 2</t>
  </si>
  <si>
    <t>protein transport protein Sec61 subunit beta</t>
  </si>
  <si>
    <t xml:space="preserve">translocation protein SEC62 </t>
  </si>
  <si>
    <t>translocation protein SEC63 homolog</t>
  </si>
  <si>
    <t>nucleoporin SEH1 isoform b</t>
  </si>
  <si>
    <t>nucleoporin SEH1 isoform a</t>
  </si>
  <si>
    <t xml:space="preserve">protein sel-1 homolog 1 isoform b precursor </t>
  </si>
  <si>
    <t xml:space="preserve">protein sel-1 homolog 1 isoform a precursor </t>
  </si>
  <si>
    <t xml:space="preserve">selenium-binding protein 1 </t>
  </si>
  <si>
    <t xml:space="preserve">selenium-binding protein 2 </t>
  </si>
  <si>
    <t>selenoprotein K</t>
  </si>
  <si>
    <t>selenoprotein O</t>
  </si>
  <si>
    <t xml:space="preserve">selenoprotein T precursor </t>
  </si>
  <si>
    <t>semaphorin-3C precursor</t>
  </si>
  <si>
    <t>semaphorin-4B precursor</t>
  </si>
  <si>
    <t>semaphorin-4D precursor</t>
  </si>
  <si>
    <t>semaphorin-4F isoform a precursor</t>
  </si>
  <si>
    <t>semaphorin-4F isoform b precursor</t>
  </si>
  <si>
    <t>semaphorin-4G precursor</t>
  </si>
  <si>
    <t xml:space="preserve">sentrin-specific protease 3 </t>
  </si>
  <si>
    <t>15 kDa selenoprotein precursor</t>
  </si>
  <si>
    <t>selenide, water dikinase 1</t>
  </si>
  <si>
    <t>selenide, water dikinase 2</t>
  </si>
  <si>
    <t xml:space="preserve">selenoprotein N, 1 </t>
  </si>
  <si>
    <t xml:space="preserve">O-phosphoseryl-tRNA(Sec) selenium transferase </t>
  </si>
  <si>
    <t xml:space="preserve">septin-10 isoform 1 </t>
  </si>
  <si>
    <t xml:space="preserve">septin-10 isoform 2 </t>
  </si>
  <si>
    <t xml:space="preserve">septin-11 </t>
  </si>
  <si>
    <t xml:space="preserve">septin-14 </t>
  </si>
  <si>
    <t xml:space="preserve">septin-2 isoform b </t>
  </si>
  <si>
    <t xml:space="preserve">septin-2 isoform a </t>
  </si>
  <si>
    <t xml:space="preserve">septin-4 isoform 2 </t>
  </si>
  <si>
    <t xml:space="preserve">septin-4 isoform 4 </t>
  </si>
  <si>
    <t xml:space="preserve">septin-4 isoform 3 </t>
  </si>
  <si>
    <t xml:space="preserve">septin-4 </t>
  </si>
  <si>
    <t xml:space="preserve">septin-5 </t>
  </si>
  <si>
    <t xml:space="preserve">septin-6 isoform 3 </t>
  </si>
  <si>
    <t xml:space="preserve">septin-6 isoform 1 </t>
  </si>
  <si>
    <t xml:space="preserve">septin-6 isoform 2 </t>
  </si>
  <si>
    <t xml:space="preserve">septin-6 isoform 4 </t>
  </si>
  <si>
    <t xml:space="preserve">septin-7 isoform 1 </t>
  </si>
  <si>
    <t xml:space="preserve">septin-7 isoform 2 </t>
  </si>
  <si>
    <t xml:space="preserve">septin-8 isoform 2 </t>
  </si>
  <si>
    <t xml:space="preserve">septin-8 isoform 3 </t>
  </si>
  <si>
    <t xml:space="preserve">septin-8 isoform 1 </t>
  </si>
  <si>
    <t xml:space="preserve">septin-9 isoform a </t>
  </si>
  <si>
    <t xml:space="preserve">septin-9 isoform b </t>
  </si>
  <si>
    <t xml:space="preserve">septin-9 isoform c </t>
  </si>
  <si>
    <t>selenoprotein W</t>
  </si>
  <si>
    <t>protein SERAC1 isoform 2</t>
  </si>
  <si>
    <t>protein SERAC1 isoform 3</t>
  </si>
  <si>
    <t>plasminogen activator inhibitor 1 RNA-binding protein isoform 1</t>
  </si>
  <si>
    <t>plasminogen activator inhibitor 1 RNA-binding protein isoform 2</t>
  </si>
  <si>
    <t>plasminogen activator inhibitor 1 RNA-binding protein isoform 3</t>
  </si>
  <si>
    <t>plasminogen activator inhibitor 1 RNA-binding protein isoform 4</t>
  </si>
  <si>
    <t>small EDRK-rich factor 2</t>
  </si>
  <si>
    <t xml:space="preserve">serine hydrolase-like protein </t>
  </si>
  <si>
    <t>serine incorporator 1 precursor</t>
  </si>
  <si>
    <t>serine incorporator 2 isoform 1 precursor</t>
  </si>
  <si>
    <t xml:space="preserve">serine incorporator 2 isoform 2 </t>
  </si>
  <si>
    <t>serine incorporator 3 precursor</t>
  </si>
  <si>
    <t xml:space="preserve">corticosteroid-binding globulin precursor </t>
  </si>
  <si>
    <t xml:space="preserve">serine (or cysteine) proteinase inhibitor, clade B, member 3C </t>
  </si>
  <si>
    <t>serpin B5</t>
  </si>
  <si>
    <t>serpin B6 isoform a</t>
  </si>
  <si>
    <t>serpin B6 isoform b</t>
  </si>
  <si>
    <t xml:space="preserve">serine (or cysteine) proteinase inhibitor, clade B, member 6b </t>
  </si>
  <si>
    <t xml:space="preserve">serine proteinase inhibitor member 6C </t>
  </si>
  <si>
    <t xml:space="preserve">serine (or cysteine) peptidase inhibitor, clade B, member 6d </t>
  </si>
  <si>
    <t xml:space="preserve">serine (or cysteine) proteinase inhibitor, clade B, member 9 </t>
  </si>
  <si>
    <t xml:space="preserve">serine (or cysteine) proteinase inhibitor, clade B, member 9b </t>
  </si>
  <si>
    <t xml:space="preserve">serine (or cysteine) proteinase inhibitor, clade B, member 9d </t>
  </si>
  <si>
    <t xml:space="preserve">serine (or cysteine) proteinase inhibitor, clade B, member 9e </t>
  </si>
  <si>
    <t xml:space="preserve">serine (or cysteine) proteinase inhibitor, clade B, member 9f </t>
  </si>
  <si>
    <t xml:space="preserve">serine (or cysteine) proteinase inhibitor, clade B, member 9g </t>
  </si>
  <si>
    <t xml:space="preserve">plasminogen activator inhibitor 1 precursor </t>
  </si>
  <si>
    <t xml:space="preserve">serpin H1 precursor </t>
  </si>
  <si>
    <t xml:space="preserve">SEC14 domain and spectrin repeat-containing protein 1 </t>
  </si>
  <si>
    <t>protein SET isoform 1</t>
  </si>
  <si>
    <t>protein SET isoform 2</t>
  </si>
  <si>
    <t>SET domain containing 1A</t>
  </si>
  <si>
    <t xml:space="preserve">histone-lysine N-methyltransferase setd3 </t>
  </si>
  <si>
    <t xml:space="preserve">histone-lysine N-methyltransferase SETD7 </t>
  </si>
  <si>
    <t xml:space="preserve">probable helicase senataxin </t>
  </si>
  <si>
    <t xml:space="preserve">splicing factor 1 isoform 2 </t>
  </si>
  <si>
    <t xml:space="preserve">splicing factor 1 isoform 1 </t>
  </si>
  <si>
    <t xml:space="preserve">splicing factor 3A subunit 1 </t>
  </si>
  <si>
    <t xml:space="preserve">splicing factor 3A subunit 2 </t>
  </si>
  <si>
    <t xml:space="preserve">splicing factor 3A subunit 3 </t>
  </si>
  <si>
    <t xml:space="preserve">splicing factor 3B subunit 1 </t>
  </si>
  <si>
    <t xml:space="preserve">splicing factor 3b, subunit 2 </t>
  </si>
  <si>
    <t xml:space="preserve">splicing factor 3B subunit 3 </t>
  </si>
  <si>
    <t xml:space="preserve">splicing factor 3B subunit 4 </t>
  </si>
  <si>
    <t xml:space="preserve">splicing factor 3B subunit 5 </t>
  </si>
  <si>
    <t xml:space="preserve">14-3-3 protein sigma </t>
  </si>
  <si>
    <t xml:space="preserve">splicing factor, proline- and glutamine-rich </t>
  </si>
  <si>
    <t xml:space="preserve">swi5-dependent recombination DNA repair protein 1 homolog </t>
  </si>
  <si>
    <t xml:space="preserve">arginine/serine-rich protein PNISR </t>
  </si>
  <si>
    <t>vesicle transport protein SFT2B</t>
  </si>
  <si>
    <t>vesicle transport protein SFT2C</t>
  </si>
  <si>
    <t xml:space="preserve">sideroflexin-1 </t>
  </si>
  <si>
    <t xml:space="preserve">sideroflexin-2 </t>
  </si>
  <si>
    <t xml:space="preserve">sideroflexin-3 isoform 1 </t>
  </si>
  <si>
    <t xml:space="preserve">sideroflexin-3 isoform 2 </t>
  </si>
  <si>
    <t xml:space="preserve">sideroflexin-3 isoform 3 </t>
  </si>
  <si>
    <t xml:space="preserve">sphingosine-1-phosphate lyase 1 </t>
  </si>
  <si>
    <t xml:space="preserve">N-sulfoglucosamine sulfohydrolase precursor </t>
  </si>
  <si>
    <t>small glutamine-rich tetratricopeptide repeat-containing protein alpha</t>
  </si>
  <si>
    <t>SH2 domain-containing protein 4A</t>
  </si>
  <si>
    <t xml:space="preserve">SH3 domain-binding glutamic acid-rich-like protein </t>
  </si>
  <si>
    <t>SH3 domain-binding glutamic acid-rich-like protein 2</t>
  </si>
  <si>
    <t>SH3 domain-binding glutamic acid-rich-like protein 3</t>
  </si>
  <si>
    <t>SH3 domain-binding protein 1</t>
  </si>
  <si>
    <t>SH3 domain-binding protein 4</t>
  </si>
  <si>
    <t>SH3 domain-containing protein 19</t>
  </si>
  <si>
    <t xml:space="preserve">endophilin-A2 isoform 2 </t>
  </si>
  <si>
    <t xml:space="preserve">endophilin-A2 isoform 1 </t>
  </si>
  <si>
    <t xml:space="preserve">endophilin-A1 </t>
  </si>
  <si>
    <t xml:space="preserve">endophilin-B1 isoform 1 </t>
  </si>
  <si>
    <t xml:space="preserve">endophilin-B1 isoform 3 </t>
  </si>
  <si>
    <t xml:space="preserve">endophilin-B1 isoform 2 </t>
  </si>
  <si>
    <t xml:space="preserve">endophilin-B2 </t>
  </si>
  <si>
    <t xml:space="preserve">SH3 domain-containing YSC84-like protein 1 </t>
  </si>
  <si>
    <t xml:space="preserve">SHC-transforming protein 1 isoform b </t>
  </si>
  <si>
    <t xml:space="preserve">SHC-transforming protein 1 isoform a </t>
  </si>
  <si>
    <t xml:space="preserve">SHC SH2 domain-binding protein 1 </t>
  </si>
  <si>
    <t>sonic hedgehog protein precursor</t>
  </si>
  <si>
    <t>protein shisa-9 isoform 2</t>
  </si>
  <si>
    <t xml:space="preserve">protein shisa-9 isoform 1 precursor </t>
  </si>
  <si>
    <t xml:space="preserve">serine hydroxymethyltransferase, cytosolic </t>
  </si>
  <si>
    <t xml:space="preserve">serine hydroxymethyltransferase, mitochondrial isoform 1 </t>
  </si>
  <si>
    <t xml:space="preserve">serine hydroxymethyltransferase, mitochondrial isoform 2 </t>
  </si>
  <si>
    <t>leucine-rich repeat protein SHOC-2</t>
  </si>
  <si>
    <t xml:space="preserve">sedoheptulokinase </t>
  </si>
  <si>
    <t xml:space="preserve">protein SHQ1 homolog </t>
  </si>
  <si>
    <t>protein Shroom4</t>
  </si>
  <si>
    <t xml:space="preserve">sialate O-acetylesterase precursor </t>
  </si>
  <si>
    <t>SID1 transmembrane family member 2 precursor</t>
  </si>
  <si>
    <t>sialic acid-binding Ig-like lectin 12 precursor</t>
  </si>
  <si>
    <t>suppressor of IKBKE 1</t>
  </si>
  <si>
    <t xml:space="preserve">nucleotide exchange factor SIL1 precursor </t>
  </si>
  <si>
    <t xml:space="preserve">paired amphipathic helix protein Sin3a isoform 1 </t>
  </si>
  <si>
    <t xml:space="preserve">paired amphipathic helix protein Sin3a isoform 2 </t>
  </si>
  <si>
    <t>NAD-dependent protein deacetylase sirtuin-1 isoform 2</t>
  </si>
  <si>
    <t>NAD-dependent protein deacetylase sirtuin-1 isoform 1</t>
  </si>
  <si>
    <t>NAD-dependent protein deacetylase sirtuin-2 isoform 1</t>
  </si>
  <si>
    <t>NAD-dependent protein deacetylase sirtuin-2 isoform 2</t>
  </si>
  <si>
    <t>NAD-dependent protein deacetylase sirtuin-2 isoform 3</t>
  </si>
  <si>
    <t>NAD-dependent protein deacetylase sirtuin-4</t>
  </si>
  <si>
    <t xml:space="preserve">NAD-dependent protein deacylase sirtuin-5, mitochondrial </t>
  </si>
  <si>
    <t>NAD-dependent protein deacetylase sirtuin-6 isoform 2</t>
  </si>
  <si>
    <t>NAD-dependent protein deacetylase sirtuin-6 isoform 1</t>
  </si>
  <si>
    <t>apoptosis regulatory protein Siva isoform 1</t>
  </si>
  <si>
    <t>apoptosis regulatory protein Siva isoform 2</t>
  </si>
  <si>
    <t>superkiller viralicidic activity 2-like</t>
  </si>
  <si>
    <t xml:space="preserve">superkiller viralicidic activity 2-like 2 </t>
  </si>
  <si>
    <t>S-phase kinase-associated protein 1</t>
  </si>
  <si>
    <t>P3 protein</t>
  </si>
  <si>
    <t>solute carrier family 12 member 1 isoform A</t>
  </si>
  <si>
    <t>solute carrier family 12 member 1 isoform F</t>
  </si>
  <si>
    <t>solute carrier family 12 member 2</t>
  </si>
  <si>
    <t>solute carrier family 12 member 7</t>
  </si>
  <si>
    <t>solute carrier family 12 member 9</t>
  </si>
  <si>
    <t>solute carrier family 15 member 4</t>
  </si>
  <si>
    <t xml:space="preserve">monocarboxylate transporter 1 </t>
  </si>
  <si>
    <t xml:space="preserve">monocarboxylate transporter 10 isoform 1 </t>
  </si>
  <si>
    <t xml:space="preserve">monocarboxylate transporter 10 isoform 2 </t>
  </si>
  <si>
    <t xml:space="preserve">neutral amino acid transporter B(0) </t>
  </si>
  <si>
    <t>solute carrier family 23 member 1</t>
  </si>
  <si>
    <t>solute carrier family 25, member 1</t>
  </si>
  <si>
    <t xml:space="preserve">mitochondrial dicarboxylate carrier </t>
  </si>
  <si>
    <t>mitochondrial 2-oxoglutarate/malate carrier protein</t>
  </si>
  <si>
    <t xml:space="preserve">calcium-binding mitochondrial carrier protein Aralar1 </t>
  </si>
  <si>
    <t xml:space="preserve">calcium-binding mitochondrial carrier protein Aralar2 isoform 2 </t>
  </si>
  <si>
    <t xml:space="preserve">calcium-binding mitochondrial carrier protein Aralar2 isoform 1 </t>
  </si>
  <si>
    <t>mitochondrial ornithine transporter 1 isoform 1</t>
  </si>
  <si>
    <t xml:space="preserve">graves disease carrier protein homolog </t>
  </si>
  <si>
    <t>peroxisomal membrane protein PMP34</t>
  </si>
  <si>
    <t>mitochondrial carnitine/acylcarnitine carrier protein</t>
  </si>
  <si>
    <t>mitochondrial glutamate carrier 1</t>
  </si>
  <si>
    <t xml:space="preserve">calcium-binding mitochondrial carrier protein SCaMC-1 </t>
  </si>
  <si>
    <t>S-adenosylmethionine mitochondrial carrier protein</t>
  </si>
  <si>
    <t>mitochondrial uncoupling protein 4</t>
  </si>
  <si>
    <t xml:space="preserve">mitochondrial carnitine/acylcarnitine carrier protein CACL </t>
  </si>
  <si>
    <t xml:space="preserve">phosphate carrier protein, mitochondrial precursor </t>
  </si>
  <si>
    <t xml:space="preserve">kidney mitochondrial carrier protein 1 </t>
  </si>
  <si>
    <t xml:space="preserve">ADP/ATP translocase 4 </t>
  </si>
  <si>
    <t xml:space="preserve">mitochondrial folate transporter/carrier </t>
  </si>
  <si>
    <t xml:space="preserve">ADP/ATP translocase 1 </t>
  </si>
  <si>
    <t>solute carrier family 25 member 40</t>
  </si>
  <si>
    <t>solute carrier family 25 member 45</t>
  </si>
  <si>
    <t>solute carrier family 25 member 48</t>
  </si>
  <si>
    <t xml:space="preserve">ADP/ATP translocase 2 </t>
  </si>
  <si>
    <t>long-chain fatty acid transport protein 1</t>
  </si>
  <si>
    <t>long-chain fatty acid transport protein 4</t>
  </si>
  <si>
    <t>equilibrative nucleoside transporter 1 isoform 2</t>
  </si>
  <si>
    <t>equilibrative nucleoside transporter 1 isoform 1</t>
  </si>
  <si>
    <t xml:space="preserve">solute carrier family 2, facilitated glucose transporter member 1 </t>
  </si>
  <si>
    <t xml:space="preserve">zinc transporter 1 </t>
  </si>
  <si>
    <t xml:space="preserve">zinc transporter 7 </t>
  </si>
  <si>
    <t>high affinity copper uptake protein 1</t>
  </si>
  <si>
    <t xml:space="preserve">probable low affinity copper uptake protein 2 </t>
  </si>
  <si>
    <t>acetyl-coenzyme A transporter 1</t>
  </si>
  <si>
    <t xml:space="preserve">CMP-sialic acid transporter </t>
  </si>
  <si>
    <t>UDP-galactose translocator isoform 1</t>
  </si>
  <si>
    <t>UDP-galactose translocator isoform 2</t>
  </si>
  <si>
    <t>UDP-N-acetylglucosamine transporter</t>
  </si>
  <si>
    <t>solute carrier family 35 member B1</t>
  </si>
  <si>
    <t xml:space="preserve">adenosine 3'-phospho 5'-phosphosulfate transporter 1 </t>
  </si>
  <si>
    <t>solute carrier family 35 member E1</t>
  </si>
  <si>
    <t>solute carrier family 35 member F2</t>
  </si>
  <si>
    <t xml:space="preserve">solute carrier family 35 member F6 precursor </t>
  </si>
  <si>
    <t xml:space="preserve">proton-coupled amino acid transporter 1 </t>
  </si>
  <si>
    <t xml:space="preserve">putative sodium-coupled neutral amino acid transporter 10 isoform 1 </t>
  </si>
  <si>
    <t xml:space="preserve">putative sodium-coupled neutral amino acid transporter 10 isoform 2 </t>
  </si>
  <si>
    <t xml:space="preserve">putative sodium-coupled neutral amino acid transporter 10 isoform 3 </t>
  </si>
  <si>
    <t xml:space="preserve">putative sodium-coupled neutral amino acid transporter 10 isoform 4 </t>
  </si>
  <si>
    <t xml:space="preserve">putative sodium-coupled neutral amino acid transporter 7 </t>
  </si>
  <si>
    <t xml:space="preserve">zinc transporter ZIP11 isoform 2 </t>
  </si>
  <si>
    <t xml:space="preserve">zinc transporter ZIP11 isoform 1 </t>
  </si>
  <si>
    <t>zinc transporter SLC39A7 precursor</t>
  </si>
  <si>
    <t xml:space="preserve">4F2 cell-surface antigen heavy chain isoform a </t>
  </si>
  <si>
    <t xml:space="preserve">4F2 cell-surface antigen heavy chain isoform b </t>
  </si>
  <si>
    <t>solute carrier family 40 member 1</t>
  </si>
  <si>
    <t>large neutral amino acids transporter small subunit 4</t>
  </si>
  <si>
    <t>choline transporter-like protein 1 isoform A</t>
  </si>
  <si>
    <t>choline transporter-like protein 1 isoform B</t>
  </si>
  <si>
    <t>choline transporter-like protein 2 isoform 2</t>
  </si>
  <si>
    <t>choline transporter-like protein 2 isoform 1</t>
  </si>
  <si>
    <t>choline transporter-like protein 3</t>
  </si>
  <si>
    <t>choline transporter-like protein 4</t>
  </si>
  <si>
    <t>thymic stromal cotransporter protein</t>
  </si>
  <si>
    <t>multidrug and toxin extrusion protein 2</t>
  </si>
  <si>
    <t>solute carrier family 4 (anion exchanger), member 1, adaptor protein</t>
  </si>
  <si>
    <t>anion exchange protein 2</t>
  </si>
  <si>
    <t>anion exchange protein 3</t>
  </si>
  <si>
    <t xml:space="preserve">electrogenic sodium bicarbonate cotransporter 1 isoform a </t>
  </si>
  <si>
    <t xml:space="preserve">electrogenic sodium bicarbonate cotransporter 1 isoform b </t>
  </si>
  <si>
    <t xml:space="preserve">electrogenic sodium bicarbonate cotransporter 1 isoform c </t>
  </si>
  <si>
    <t>sodium bicarbonate cotransporter 3</t>
  </si>
  <si>
    <t xml:space="preserve">organic solute transporter subunit alpha </t>
  </si>
  <si>
    <t>sodium/myo-inositol cotransporter</t>
  </si>
  <si>
    <t xml:space="preserve">sodium- and chloride-dependent taurine transporter </t>
  </si>
  <si>
    <t xml:space="preserve">high affinity cationic amino acid transporter 1 </t>
  </si>
  <si>
    <t>cystine/glutamate transporter</t>
  </si>
  <si>
    <t xml:space="preserve">low affinity cationic amino acid transporter 2 isoform 2 </t>
  </si>
  <si>
    <t>large neutral amino acids transporter small subunit 1</t>
  </si>
  <si>
    <t>probable RNA polymerase II nuclear localization protein SLC7A6OS</t>
  </si>
  <si>
    <t xml:space="preserve">sodium/hydrogen exchanger 1 </t>
  </si>
  <si>
    <t xml:space="preserve">Na(+)/H(+) exchange regulatory cofactor NHE-RF1 </t>
  </si>
  <si>
    <t>schlafen 4</t>
  </si>
  <si>
    <t>schlafen 8 isoform 1</t>
  </si>
  <si>
    <t>schlafen 9</t>
  </si>
  <si>
    <t xml:space="preserve">SRA stem-loop-interacting RNA-binding protein, mitochondrial </t>
  </si>
  <si>
    <t xml:space="preserve">STE20-like serine/threonine-protein kinase isoform 1 </t>
  </si>
  <si>
    <t xml:space="preserve">STE20-like serine/threonine-protein kinase isoform 2 </t>
  </si>
  <si>
    <t>protein slowmo homolog 2</t>
  </si>
  <si>
    <t xml:space="preserve">mothers against decapentaplegic homolog 1 </t>
  </si>
  <si>
    <t xml:space="preserve">mothers against decapentaplegic homolog 2 </t>
  </si>
  <si>
    <t xml:space="preserve">mothers against decapentaplegic homolog 3 </t>
  </si>
  <si>
    <t xml:space="preserve">mothers against decapentaplegic homolog 5 </t>
  </si>
  <si>
    <t xml:space="preserve">mothers against decapentaplegic homolog 9 </t>
  </si>
  <si>
    <t xml:space="preserve">probable global transcription activator SNF2L1 </t>
  </si>
  <si>
    <t xml:space="preserve">probable global transcription activator SNF2L2 isoform 2 </t>
  </si>
  <si>
    <t xml:space="preserve">probable global transcription activator SNF2L2 isoform 1 </t>
  </si>
  <si>
    <t xml:space="preserve">transcription activator BRG1 isoform 1 </t>
  </si>
  <si>
    <t xml:space="preserve">transcription activator BRG1 isoform 3 </t>
  </si>
  <si>
    <t xml:space="preserve">transcription activator BRG1 isoform 2 </t>
  </si>
  <si>
    <t>SWI/SNF-related matrix-associated actin-dependent regulator of chromatin subfamily A member 5</t>
  </si>
  <si>
    <t xml:space="preserve">SWI/SNF-related matrix-associated actin-dependent regulator of chromatin subfamily A containing DEAD/H box 1 isoform </t>
  </si>
  <si>
    <t>SWI/SNF-related matrix-associated actin-dependent regulator of chromatin subfamily A-like protein 1</t>
  </si>
  <si>
    <t>SWI/SNF complex subunit SMARCC1</t>
  </si>
  <si>
    <t>SWI/SNF complex subunit SMARCC2 isoform 2</t>
  </si>
  <si>
    <t>SWI/SNF complex subunit SMARCC2 isoform 1</t>
  </si>
  <si>
    <t>SWI/SNF complex subunit SMARCC2 isoform 3</t>
  </si>
  <si>
    <t>SWI/SNF-related matrix-associated actin-dependent regulator of chromatin subfamily D member 1</t>
  </si>
  <si>
    <t>SWI/SNF-related matrix-associated actin-dependent regulator of chromatin subfamily D member 2 isoform 2</t>
  </si>
  <si>
    <t>SWI/SNF-related matrix-associated actin-dependent regulator of chromatin subfamily D member 2 isoform 1</t>
  </si>
  <si>
    <t>SWI/SNF-related matrix-associated actin-dependent regulator of chromatin subfamily D member 3</t>
  </si>
  <si>
    <t>SWI/SNF-related matrix-associated actin-dependent regulator of chromatin subfamily E member 1</t>
  </si>
  <si>
    <t>structural maintenance of chromosomes protein 1A</t>
  </si>
  <si>
    <t>structural maintenance of chromosomes protein 2</t>
  </si>
  <si>
    <t>structural maintenance of chromosomes protein 3</t>
  </si>
  <si>
    <t>structural maintenance of chromosomes protein 4</t>
  </si>
  <si>
    <t xml:space="preserve">structural maintenance of chromosomes flexible hinge domain-containing protein 1 </t>
  </si>
  <si>
    <t>uncharacterized protein C3orf43 homolog</t>
  </si>
  <si>
    <t>UPF0466 protein C22orf32 homolog, mitochondrial precursor</t>
  </si>
  <si>
    <t>serine/threonine-protein phosphatase 4 regulatory subunit 3A isoform 2</t>
  </si>
  <si>
    <t>serine/threonine-protein phosphatase 4 regulatory subunit 3A isoform 1</t>
  </si>
  <si>
    <t>serine/threonine-protein phosphatase 4 regulatory subunit 3B</t>
  </si>
  <si>
    <t xml:space="preserve">serine/threonine-protein kinase SMG1 </t>
  </si>
  <si>
    <t>protein SMG5</t>
  </si>
  <si>
    <t xml:space="preserve">telomerase-binding protein EST1A </t>
  </si>
  <si>
    <t>protein SMG8</t>
  </si>
  <si>
    <t>protein SMG9</t>
  </si>
  <si>
    <t>uncharacterized protein LOC388588 homolog</t>
  </si>
  <si>
    <t xml:space="preserve">small integral membrane protein 12 </t>
  </si>
  <si>
    <t xml:space="preserve">uncharacterized protein LOC66278 </t>
  </si>
  <si>
    <t xml:space="preserve">uncharacterized protein LOC432995 isoform 2 </t>
  </si>
  <si>
    <t xml:space="preserve">uncharacterized protein LOC432995 isoform 1 </t>
  </si>
  <si>
    <t>small integral membrane protein 7 precursor</t>
  </si>
  <si>
    <t>survival motor neuron protein isoform 1</t>
  </si>
  <si>
    <t>survival of motor neuron-related-splicing factor 30</t>
  </si>
  <si>
    <t xml:space="preserve">sphingomyelin phosphodiesterase 2 </t>
  </si>
  <si>
    <t xml:space="preserve">sphingomyelin phosphodiesterase 4 isoform 1 </t>
  </si>
  <si>
    <t xml:space="preserve">sphingomyelin phosphodiesterase 4 isoform 4 </t>
  </si>
  <si>
    <t xml:space="preserve">sphingomyelin phosphodiesterase 4 isoform 3 </t>
  </si>
  <si>
    <t xml:space="preserve">sphingomyelin phosphodiesterase 4 isoform 2 </t>
  </si>
  <si>
    <t xml:space="preserve">acid sphingomyelinase-like phosphodiesterase 3b precursor </t>
  </si>
  <si>
    <t xml:space="preserve">smoothelin </t>
  </si>
  <si>
    <t>WD40 repeat-containing protein SMU1</t>
  </si>
  <si>
    <t>single-strand selective monofunctional uracil DNA glycosylase</t>
  </si>
  <si>
    <t>E3 ubiquitin-protein ligase SMURF2</t>
  </si>
  <si>
    <t>SET and MYND domain-containing protein 3</t>
  </si>
  <si>
    <t>SET and MYND domain-containing protein 5</t>
  </si>
  <si>
    <t xml:space="preserve">synaptosomal-associated protein 23 isoform b </t>
  </si>
  <si>
    <t xml:space="preserve">synaptosomal-associated protein 23 isoform a </t>
  </si>
  <si>
    <t xml:space="preserve">synaptosomal-associated protein 25 </t>
  </si>
  <si>
    <t xml:space="preserve">synaptosomal-associated protein 29 </t>
  </si>
  <si>
    <t xml:space="preserve">synaptosomal-associated protein 47 </t>
  </si>
  <si>
    <t xml:space="preserve">clathrin coat assembly protein AP180 </t>
  </si>
  <si>
    <t xml:space="preserve">SNARE-associated protein Snapin </t>
  </si>
  <si>
    <t xml:space="preserve">staphylococcal nuclease domain-containing protein 1 </t>
  </si>
  <si>
    <t xml:space="preserve">vacuolar-sorting protein SNF8 </t>
  </si>
  <si>
    <t xml:space="preserve">U5 small nuclear ribonucleoprotein 200 kDa helicase </t>
  </si>
  <si>
    <t xml:space="preserve">U4/U6.U5 small nuclear ribonucleoprotein 27 kDa protein </t>
  </si>
  <si>
    <t xml:space="preserve">U5 small nuclear ribonucleoprotein 40 kDa protein </t>
  </si>
  <si>
    <t>U1 small nuclear ribonucleoprotein 70 kDa</t>
  </si>
  <si>
    <t xml:space="preserve">U1 small nuclear ribonucleoprotein A </t>
  </si>
  <si>
    <t xml:space="preserve">U2 small nuclear ribonucleoprotein A' </t>
  </si>
  <si>
    <t xml:space="preserve">small nuclear ribonucleoprotein-associated protein B </t>
  </si>
  <si>
    <t xml:space="preserve">U2 small nuclear ribonucleoprotein B'' </t>
  </si>
  <si>
    <t xml:space="preserve">U1 small nuclear ribonucleoprotein C </t>
  </si>
  <si>
    <t xml:space="preserve">small nuclear ribonucleoprotein Sm D1 </t>
  </si>
  <si>
    <t xml:space="preserve">small nuclear ribonucleoprotein Sm D2 </t>
  </si>
  <si>
    <t xml:space="preserve">small nuclear ribonucleoprotein Sm D3 </t>
  </si>
  <si>
    <t>small nuclear ribonucleoprotein E</t>
  </si>
  <si>
    <t>small nuclear ribonucleoprotein F</t>
  </si>
  <si>
    <t>small nuclear ribonucleoprotein G</t>
  </si>
  <si>
    <t xml:space="preserve">small nuclear ribonucleoprotein-associated protein N </t>
  </si>
  <si>
    <t xml:space="preserve">alpha-1-syntrophin </t>
  </si>
  <si>
    <t xml:space="preserve">beta-2-syntrophin </t>
  </si>
  <si>
    <t>SNW domain-containing protein 1</t>
  </si>
  <si>
    <t>sorting nexin-1</t>
  </si>
  <si>
    <t>sorting nexin-12 isoform 3</t>
  </si>
  <si>
    <t>sorting nexin-12 isoform 1</t>
  </si>
  <si>
    <t>sorting nexin-12 isoform 2</t>
  </si>
  <si>
    <t>sorting nexin-14</t>
  </si>
  <si>
    <t>sorting nexin-17</t>
  </si>
  <si>
    <t>sorting nexin-18</t>
  </si>
  <si>
    <t>sorting nexin-2</t>
  </si>
  <si>
    <t>sorting nexin-21</t>
  </si>
  <si>
    <t>sorting nexin-24</t>
  </si>
  <si>
    <t>sorting nexin-27 isoform 2</t>
  </si>
  <si>
    <t>sorting nexin-27 isoform 1</t>
  </si>
  <si>
    <t>sorting nexin-29</t>
  </si>
  <si>
    <t>sorting nexin-3</t>
  </si>
  <si>
    <t>sorting nexin-32</t>
  </si>
  <si>
    <t>sorting nexin-4</t>
  </si>
  <si>
    <t>sorting nexin-5</t>
  </si>
  <si>
    <t>sorting nexin-6</t>
  </si>
  <si>
    <t>sorting nexin-7 isoform 2</t>
  </si>
  <si>
    <t>sorting nexin-7 isoform 1</t>
  </si>
  <si>
    <t>sorting nexin-8</t>
  </si>
  <si>
    <t>sorting nexin-9</t>
  </si>
  <si>
    <t xml:space="preserve">sterol O-acyltransferase 1 </t>
  </si>
  <si>
    <t xml:space="preserve">superoxide dismutase [Cu-Zn] </t>
  </si>
  <si>
    <t xml:space="preserve">superoxide dismutase [Mn], mitochondrial precursor </t>
  </si>
  <si>
    <t>protein SON</t>
  </si>
  <si>
    <t>protein SON truncated isoform</t>
  </si>
  <si>
    <t>sorbin and SH3 domain-containing protein 1 isoform 5</t>
  </si>
  <si>
    <t>sorbin and SH3 domain-containing protein 1 isoform 2</t>
  </si>
  <si>
    <t>sorbin and SH3 domain-containing protein 1 isoform 1</t>
  </si>
  <si>
    <t>sorbin and SH3 domain-containing protein 1 isoform 4</t>
  </si>
  <si>
    <t>sorbin and SH3 domain-containing protein 1 isoform 3</t>
  </si>
  <si>
    <t>sorbin and SH3 domain-containing protein 2 isoform 1</t>
  </si>
  <si>
    <t>sorbin and SH3 domain-containing protein 2 isoform 2</t>
  </si>
  <si>
    <t xml:space="preserve">vinexin isoform b </t>
  </si>
  <si>
    <t xml:space="preserve">vinexin isoform c </t>
  </si>
  <si>
    <t xml:space="preserve">vinexin isoform a </t>
  </si>
  <si>
    <t>sorbitol dehydrogenase</t>
  </si>
  <si>
    <t xml:space="preserve">sortilin-related receptor precursor </t>
  </si>
  <si>
    <t>sortilin isoform 2 precursor</t>
  </si>
  <si>
    <t xml:space="preserve">sortilin isoform 1 </t>
  </si>
  <si>
    <t xml:space="preserve">son of sevenless homolog 1 </t>
  </si>
  <si>
    <t xml:space="preserve">ankyrin repeat domain-containing protein SOWAHB </t>
  </si>
  <si>
    <t xml:space="preserve">ankyrin repeat domain-containing protein SOWAHC </t>
  </si>
  <si>
    <t xml:space="preserve">transcription factor Sp1 </t>
  </si>
  <si>
    <t xml:space="preserve">sperm-associated antigen 1 </t>
  </si>
  <si>
    <t xml:space="preserve">sperm-associated antigen 17 </t>
  </si>
  <si>
    <t xml:space="preserve">sperm-associated antigen 7 isoform 1 </t>
  </si>
  <si>
    <t xml:space="preserve">sperm-associated antigen 7 isoform 2 </t>
  </si>
  <si>
    <t>C-Jun-amino-terminal kinase-interacting protein 4 isoform 5</t>
  </si>
  <si>
    <t>C-Jun-amino-terminal kinase-interacting protein 4 isoform 6</t>
  </si>
  <si>
    <t>C-Jun-amino-terminal kinase-interacting protein 4 isoform 7</t>
  </si>
  <si>
    <t>C-Jun-amino-terminal kinase-interacting protein 4 isoform 1</t>
  </si>
  <si>
    <t>C-Jun-amino-terminal kinase-interacting protein 4 isoform 3</t>
  </si>
  <si>
    <t>C-Jun-amino-terminal kinase-interacting protein 4 isoform 2</t>
  </si>
  <si>
    <t>C-Jun-amino-terminal kinase-interacting protein 4 isoform 4</t>
  </si>
  <si>
    <t xml:space="preserve">spastin isoform 1 </t>
  </si>
  <si>
    <t xml:space="preserve">spastin isoform 2 </t>
  </si>
  <si>
    <t xml:space="preserve">spermatogenesis-associated protein 13 </t>
  </si>
  <si>
    <t xml:space="preserve">spermatogenesis-associated protein 5 isoform 2 </t>
  </si>
  <si>
    <t xml:space="preserve">spermatogenesis-associated protein 5 isoform 1 </t>
  </si>
  <si>
    <t>spermatogenesis-associated serine-rich protein 2</t>
  </si>
  <si>
    <t xml:space="preserve">kinetochore protein Spc24 </t>
  </si>
  <si>
    <t xml:space="preserve">kinetochore protein Spc25 isoform 1 </t>
  </si>
  <si>
    <t xml:space="preserve">kinetochore protein Spc25 </t>
  </si>
  <si>
    <t xml:space="preserve">signal peptidase complex subunit 1 </t>
  </si>
  <si>
    <t xml:space="preserve">signal peptidase complex subunit 2 </t>
  </si>
  <si>
    <t xml:space="preserve">cytospin-B </t>
  </si>
  <si>
    <t>sperm flagellar protein 2</t>
  </si>
  <si>
    <t>msx2-interacting protein</t>
  </si>
  <si>
    <t xml:space="preserve">spartin isoform a </t>
  </si>
  <si>
    <t xml:space="preserve">spartin isoform b </t>
  </si>
  <si>
    <t xml:space="preserve">maspardin </t>
  </si>
  <si>
    <t xml:space="preserve">paraplegin </t>
  </si>
  <si>
    <t xml:space="preserve">sphingosine kinase 1 isoform 1 </t>
  </si>
  <si>
    <t xml:space="preserve">sphingosine kinase 1 isoform 2 </t>
  </si>
  <si>
    <t xml:space="preserve">sphingosine kinase 1 isoform 3 </t>
  </si>
  <si>
    <t xml:space="preserve">sphingosine kinase 2 </t>
  </si>
  <si>
    <t xml:space="preserve">spindle and centriole-associated protein 1 </t>
  </si>
  <si>
    <t xml:space="preserve">kunitz-type protease inhibitor 1 precursor </t>
  </si>
  <si>
    <t xml:space="preserve">kunitz-type protease inhibitor 2 isoform b precursor </t>
  </si>
  <si>
    <t xml:space="preserve">kunitz-type protease inhibitor 2 isoform a precursor </t>
  </si>
  <si>
    <t xml:space="preserve">signal peptide peptidase-like 2A precursor </t>
  </si>
  <si>
    <t>sepiapterin reductase</t>
  </si>
  <si>
    <t xml:space="preserve">cornifin-A </t>
  </si>
  <si>
    <t>SPRY domain-containing protein 4</t>
  </si>
  <si>
    <t>SPRY domain-containing protein 7</t>
  </si>
  <si>
    <t xml:space="preserve">spectrin alpha chain, erythrocytic 1 </t>
  </si>
  <si>
    <t xml:space="preserve">spectrin alpha chain, non-erythrocytic 1 isoform 1 </t>
  </si>
  <si>
    <t xml:space="preserve">spectrin alpha chain, non-erythrocytic 1 isoform 2 </t>
  </si>
  <si>
    <t xml:space="preserve">spectrin alpha chain, non-erythrocytic 1 isoform 3 </t>
  </si>
  <si>
    <t>spectrin beta chain, erythrocytic</t>
  </si>
  <si>
    <t xml:space="preserve">spectrin beta chain, non-erythrocytic 1 isoform 1 </t>
  </si>
  <si>
    <t xml:space="preserve">spectrin beta chain, non-erythrocytic 1 isoform 2 </t>
  </si>
  <si>
    <t xml:space="preserve">spectrin beta chain, brain 2 </t>
  </si>
  <si>
    <t xml:space="preserve">spectrin beta 4 isoform sigma1 </t>
  </si>
  <si>
    <t xml:space="preserve">serine palmitoyltransferase 1 </t>
  </si>
  <si>
    <t xml:space="preserve">serine palmitoyltransferase 2 </t>
  </si>
  <si>
    <t>squalene monooxygenase</t>
  </si>
  <si>
    <t xml:space="preserve">sulfide:quinone oxidoreductase, mitochondrial </t>
  </si>
  <si>
    <t xml:space="preserve">sequestosome-1 </t>
  </si>
  <si>
    <t xml:space="preserve">steroid receptor RNA activator 1 isoform a </t>
  </si>
  <si>
    <t xml:space="preserve">steroid receptor RNA activator 1 isoform b </t>
  </si>
  <si>
    <t xml:space="preserve">S1 RNA-binding domain-containing protein 1 </t>
  </si>
  <si>
    <t xml:space="preserve">neuronal proto-oncogene tyrosine-protein kinase Src isoform 2 </t>
  </si>
  <si>
    <t xml:space="preserve">neuronal proto-oncogene tyrosine-protein kinase Src isoform 1 </t>
  </si>
  <si>
    <t xml:space="preserve">3-oxo-5-alpha-steroid 4-dehydrogenase 1 </t>
  </si>
  <si>
    <t xml:space="preserve">probable polyprenol reductase </t>
  </si>
  <si>
    <t xml:space="preserve">sterol regulatory element-binding protein 2 </t>
  </si>
  <si>
    <t xml:space="preserve">splicing regulatory glutamine/lysine-rich protein 1 </t>
  </si>
  <si>
    <t xml:space="preserve">SLIT-ROBO Rho GTPase-activating protein 1 isoform 1 </t>
  </si>
  <si>
    <t xml:space="preserve">SLIT-ROBO Rho GTPase-activating protein 1 isoform 2 </t>
  </si>
  <si>
    <t xml:space="preserve">SLIT-ROBO Rho GTPase-activating protein 2 </t>
  </si>
  <si>
    <t xml:space="preserve">SLIT-ROBO Rho GTPase-activating protein 3 </t>
  </si>
  <si>
    <t xml:space="preserve">sorcin isoform 1 </t>
  </si>
  <si>
    <t xml:space="preserve">sorcin isoform 2 </t>
  </si>
  <si>
    <t>sarcalumenin precursor</t>
  </si>
  <si>
    <t>spermidine synthase</t>
  </si>
  <si>
    <t xml:space="preserve">tyrosine-protein kinase Srms </t>
  </si>
  <si>
    <t>signal recognition particle 19 kDa protein</t>
  </si>
  <si>
    <t>signal recognition particle 54 kDa protein</t>
  </si>
  <si>
    <t>signal recognition particle 54C</t>
  </si>
  <si>
    <t xml:space="preserve">signal recognition particle subunit SRP68 </t>
  </si>
  <si>
    <t>signal recognition particle 72</t>
  </si>
  <si>
    <t>signal recognition particle 9 kDa protein</t>
  </si>
  <si>
    <t>SRSF protein kinase 1</t>
  </si>
  <si>
    <t>SRSF protein kinase 2</t>
  </si>
  <si>
    <t>SRSF protein kinase 3</t>
  </si>
  <si>
    <t>signal recognition particle receptor subunit alpha</t>
  </si>
  <si>
    <t>signal recognition particle receptor subunit beta</t>
  </si>
  <si>
    <t>serine racemase</t>
  </si>
  <si>
    <t xml:space="preserve">serine/arginine repetitive matrix protein 1 isoform 1 </t>
  </si>
  <si>
    <t xml:space="preserve">serine/arginine repetitive matrix protein 1 isoform 2 </t>
  </si>
  <si>
    <t xml:space="preserve">serine/arginine repetitive matrix protein 2 </t>
  </si>
  <si>
    <t xml:space="preserve">serrate RNA effector molecule homolog isoform 1 </t>
  </si>
  <si>
    <t xml:space="preserve">serrate RNA effector molecule homolog isoform 2 </t>
  </si>
  <si>
    <t xml:space="preserve">serrate RNA effector molecule homolog isoform 3 </t>
  </si>
  <si>
    <t>serine/arginine-rich splicing factor 1 isoform 2</t>
  </si>
  <si>
    <t>serine/arginine-rich splicing factor 1 isoform 1</t>
  </si>
  <si>
    <t>serine/arginine-rich splicing factor 10 isoform 3</t>
  </si>
  <si>
    <t>serine/arginine-rich splicing factor 10 isoform 4</t>
  </si>
  <si>
    <t>serine/arginine-rich splicing factor 10 isoform 2</t>
  </si>
  <si>
    <t>serine/arginine-rich splicing factor 10 isoform 1</t>
  </si>
  <si>
    <t>splicing factor, arginine/serine-rich 11 isoform 3</t>
  </si>
  <si>
    <t>splicing factor, arginine/serine-rich 11 isoform 1</t>
  </si>
  <si>
    <t>splicing factor, arginine/serine-rich 11 isoform 2</t>
  </si>
  <si>
    <t>serine/arginine-rich splicing factor 2</t>
  </si>
  <si>
    <t>serine/arginine-rich splicing factor 3</t>
  </si>
  <si>
    <t>serine/arginine-rich splicing factor 4</t>
  </si>
  <si>
    <t>serine/arginine-rich splicing factor 5</t>
  </si>
  <si>
    <t>arginine/serine-rich splicing factor 6</t>
  </si>
  <si>
    <t>serine/arginine-rich splicing factor 7 isoform 1</t>
  </si>
  <si>
    <t>serine/arginine-rich splicing factor 7 isoform 2</t>
  </si>
  <si>
    <t>serine/arginine-rich splicing factor 7 isoform 3</t>
  </si>
  <si>
    <t>serine/arginine-rich splicing factor 7 isoform 4</t>
  </si>
  <si>
    <t>serine/arginine-rich splicing factor 9</t>
  </si>
  <si>
    <t xml:space="preserve">sulfiredoxin-1 </t>
  </si>
  <si>
    <t>calcium-responsive transactivator</t>
  </si>
  <si>
    <t>lupus La protein homolog</t>
  </si>
  <si>
    <t>single-stranded DNA-binding protein, mitochondrial isoform 2</t>
  </si>
  <si>
    <t>single-stranded DNA-binding protein, mitochondrial isoform 1</t>
  </si>
  <si>
    <t xml:space="preserve">protein phosphatase Slingshot homolog 3 </t>
  </si>
  <si>
    <t>Sjoegren syndrome nuclear autoantigen 1 homolog</t>
  </si>
  <si>
    <t xml:space="preserve">translocon-associated protein subunit alpha precursor </t>
  </si>
  <si>
    <t>translocon-associated protein subunit gamma</t>
  </si>
  <si>
    <t xml:space="preserve">translocon-associated protein subunit delta isoform 1 precursor </t>
  </si>
  <si>
    <t xml:space="preserve">translocon-associated protein subunit delta isoform 2 precursor </t>
  </si>
  <si>
    <t>FACT complex subunit SSRP1</t>
  </si>
  <si>
    <t xml:space="preserve">Sjoegren syndrome/scleroderma autoantigen 1 homolog </t>
  </si>
  <si>
    <t xml:space="preserve">RNA polymerase II subunit A C-terminal domain phosphatase SSU72 </t>
  </si>
  <si>
    <t>hsc70-interacting protein</t>
  </si>
  <si>
    <t>suppressor of tumorigenicity 14 protein homolog</t>
  </si>
  <si>
    <t>type 2 lactosamine alpha-2,3-sialyltransferase</t>
  </si>
  <si>
    <t xml:space="preserve">cohesin subunit SA-2 </t>
  </si>
  <si>
    <t xml:space="preserve">signal transducing adapter molecule 1 </t>
  </si>
  <si>
    <t xml:space="preserve">signal transducing adapter molecule 2 </t>
  </si>
  <si>
    <t>STAM-binding protein</t>
  </si>
  <si>
    <t>signal-transducing adaptor protein 2</t>
  </si>
  <si>
    <t>PCTP-like protein</t>
  </si>
  <si>
    <t xml:space="preserve">stAR-related lipid transfer protein 3 </t>
  </si>
  <si>
    <t>MLN64 N-terminal domain homolog</t>
  </si>
  <si>
    <t xml:space="preserve">stAR-related lipid transfer protein 5 </t>
  </si>
  <si>
    <t xml:space="preserve">signal transducer and activator of transcription 1 isoform 2 </t>
  </si>
  <si>
    <t xml:space="preserve">signal transducer and activator of transcription 1 isoform 1 </t>
  </si>
  <si>
    <t xml:space="preserve">signal transducer and activator of transcription 2 </t>
  </si>
  <si>
    <t xml:space="preserve">signal transducer and activator of transcription 3 isoform 3 </t>
  </si>
  <si>
    <t xml:space="preserve">signal transducer and activator of transcription 3 isoform 1 </t>
  </si>
  <si>
    <t xml:space="preserve">signal transducer and activator of transcription 3 isoform 2 </t>
  </si>
  <si>
    <t xml:space="preserve">signal transducer and activator of transcription 5A isoform 2 </t>
  </si>
  <si>
    <t xml:space="preserve">signal transducer and activator of transcription 5A isoform 1 </t>
  </si>
  <si>
    <t xml:space="preserve">signal transducer and activator of transcription 5B </t>
  </si>
  <si>
    <t>signal transducer and transcription activator 6</t>
  </si>
  <si>
    <t>double-stranded RNA-binding protein Staufen homolog 1 isoform 2</t>
  </si>
  <si>
    <t>double-stranded RNA-binding protein Staufen homolog 1 isoform 1</t>
  </si>
  <si>
    <t>double-stranded RNA-binding protein Staufen homolog 1 isoform 3</t>
  </si>
  <si>
    <t>double-stranded RNA-binding protein Staufen homolog 2 isoform 2</t>
  </si>
  <si>
    <t>double-stranded RNA-binding protein Staufen homolog 2 isoform 3</t>
  </si>
  <si>
    <t>metalloreductase STEAP1</t>
  </si>
  <si>
    <t>metalloreductase STEAP2</t>
  </si>
  <si>
    <t xml:space="preserve">stromal interaction molecule 1 precursor </t>
  </si>
  <si>
    <t xml:space="preserve">stromal interaction molecule 2 precursor </t>
  </si>
  <si>
    <t>stress-induced-phosphoprotein 1</t>
  </si>
  <si>
    <t xml:space="preserve">serine/threonine-protein kinase 10 </t>
  </si>
  <si>
    <t xml:space="preserve">serine/threonine-protein kinase STK11 </t>
  </si>
  <si>
    <t>serine/threonine-protein kinase 11-interacting protein</t>
  </si>
  <si>
    <t xml:space="preserve">serine/threonine-protein kinase 16 </t>
  </si>
  <si>
    <t xml:space="preserve">serine/threonine-protein kinase 24 </t>
  </si>
  <si>
    <t xml:space="preserve">serine/threonine-protein kinase 25 </t>
  </si>
  <si>
    <t xml:space="preserve">serine/threonine-protein kinase 3 </t>
  </si>
  <si>
    <t xml:space="preserve">serine/threonine-protein kinase 38 </t>
  </si>
  <si>
    <t xml:space="preserve">serine/threonine-protein kinase 38-like </t>
  </si>
  <si>
    <t xml:space="preserve">serine/threonine-protein kinase 4 </t>
  </si>
  <si>
    <t xml:space="preserve">stathmin </t>
  </si>
  <si>
    <t xml:space="preserve">stathmin-2 </t>
  </si>
  <si>
    <t xml:space="preserve">stathmin-4 </t>
  </si>
  <si>
    <t>erythrocyte band 7 integral membrane protein</t>
  </si>
  <si>
    <t>stomatin-like protein 2, mitochondrial</t>
  </si>
  <si>
    <t xml:space="preserve">stonin-1 </t>
  </si>
  <si>
    <t xml:space="preserve">stonin-2 </t>
  </si>
  <si>
    <t>serine-threonine kinase receptor-associated protein</t>
  </si>
  <si>
    <t>spermatid perinuclear RNA-binding protein</t>
  </si>
  <si>
    <t xml:space="preserve">striatin-interacting protein 1 </t>
  </si>
  <si>
    <t xml:space="preserve">striatin-interacting proteins 2 isoform b </t>
  </si>
  <si>
    <t xml:space="preserve">striatin-interacting proteins 2 isoform a </t>
  </si>
  <si>
    <t xml:space="preserve">striatin </t>
  </si>
  <si>
    <t xml:space="preserve">striatin-3 isoform 1 </t>
  </si>
  <si>
    <t xml:space="preserve">striatin-3 isoform 2 </t>
  </si>
  <si>
    <t xml:space="preserve">striatin-4 isoform 1 </t>
  </si>
  <si>
    <t xml:space="preserve">striatin-4 isoform 2 </t>
  </si>
  <si>
    <t>dolichyl-diphosphooligosaccharide--protein glycosyltransferase subunit STT3A</t>
  </si>
  <si>
    <t>dolichyl-diphosphooligosaccharide--protein glycosyltransferase subunit STT3B</t>
  </si>
  <si>
    <t xml:space="preserve">STIP1 homology and U box-containing protein 1 </t>
  </si>
  <si>
    <t xml:space="preserve">syntaxin-12 </t>
  </si>
  <si>
    <t xml:space="preserve">syntaxin-16 isoform a </t>
  </si>
  <si>
    <t xml:space="preserve">syntaxin-16 isoform b </t>
  </si>
  <si>
    <t xml:space="preserve">syntaxin-16 isoform c </t>
  </si>
  <si>
    <t xml:space="preserve">syntaxin-16 isoform d </t>
  </si>
  <si>
    <t xml:space="preserve">syntaxin-17 </t>
  </si>
  <si>
    <t xml:space="preserve">syntaxin-18 </t>
  </si>
  <si>
    <t xml:space="preserve">syntaxin-3 isoform C </t>
  </si>
  <si>
    <t xml:space="preserve">syntaxin-3 isoform B </t>
  </si>
  <si>
    <t xml:space="preserve">syntaxin-3 isoform A </t>
  </si>
  <si>
    <t xml:space="preserve">syntaxin-4 </t>
  </si>
  <si>
    <t xml:space="preserve">syntaxin-5 </t>
  </si>
  <si>
    <t xml:space="preserve">syntaxin-6 </t>
  </si>
  <si>
    <t xml:space="preserve">syntaxin-7 </t>
  </si>
  <si>
    <t xml:space="preserve">syntaxin-8 </t>
  </si>
  <si>
    <t xml:space="preserve">syntaxin-binding protein 1 isoform b </t>
  </si>
  <si>
    <t xml:space="preserve">syntaxin-binding protein 1 isoform a </t>
  </si>
  <si>
    <t xml:space="preserve">syntaxin-binding protein 2 </t>
  </si>
  <si>
    <t xml:space="preserve">syntaxin-binding protein 3 </t>
  </si>
  <si>
    <t xml:space="preserve">syntaxin-binding protein 4 </t>
  </si>
  <si>
    <t xml:space="preserve">syntaxin-binding protein 5 </t>
  </si>
  <si>
    <t xml:space="preserve">serine/threonine/tyrosine-interacting-like protein 1 </t>
  </si>
  <si>
    <t xml:space="preserve">activated RNA polymerase II transcriptional coactivator p15 </t>
  </si>
  <si>
    <t xml:space="preserve">succinyl-CoA ligase [ADP-forming] subunit beta, mitochondrial precursor </t>
  </si>
  <si>
    <t xml:space="preserve">succinyl-CoA ligase [ADP/GDP-forming] subunit alpha, mitochondrial precursor </t>
  </si>
  <si>
    <t xml:space="preserve">succinyl-CoA ligase [GDP-forming] subunit beta, mitochondrial precursor </t>
  </si>
  <si>
    <t>suppressor of fused homolog isoform 1</t>
  </si>
  <si>
    <t>suppressor of fused homolog isoform 2</t>
  </si>
  <si>
    <t xml:space="preserve">suppressor of G2 allele of SKP1 homolog </t>
  </si>
  <si>
    <t>sulfotransferase 1C1</t>
  </si>
  <si>
    <t>sulfotransferase 1C2</t>
  </si>
  <si>
    <t xml:space="preserve">sulfotransferase 1 family member D1 </t>
  </si>
  <si>
    <t>sulfotransferase family cytosolic 2B member 1</t>
  </si>
  <si>
    <t>amine sulfotransferase</t>
  </si>
  <si>
    <t>sulfatase-modifying factor 1 precursor</t>
  </si>
  <si>
    <t xml:space="preserve">small ubiquitin-related modifier 2 precursor </t>
  </si>
  <si>
    <t xml:space="preserve">small ubiquitin-related modifier 3 precursor </t>
  </si>
  <si>
    <t>SUN domain-containing protein 1 isoform 1</t>
  </si>
  <si>
    <t>SUN domain-containing protein 1 isoform 2</t>
  </si>
  <si>
    <t>SUN domain-containing protein 1 isoform 3</t>
  </si>
  <si>
    <t>SUN domain-containing protein 1 isoform 4</t>
  </si>
  <si>
    <t>SUN domain-containing protein 1 isoform 5</t>
  </si>
  <si>
    <t>SUN domain-containing protein 2 isoform 3</t>
  </si>
  <si>
    <t>SUN domain-containing protein 2 isoform 1</t>
  </si>
  <si>
    <t>SUN domain-containing protein 2 isoform 2</t>
  </si>
  <si>
    <t>FACT complex subunit SPT16</t>
  </si>
  <si>
    <t xml:space="preserve">transcription elongation factor SPT4 1 </t>
  </si>
  <si>
    <t>transcription elongation factor SPT5</t>
  </si>
  <si>
    <t>transcription elongation factor SPT6</t>
  </si>
  <si>
    <t>ATP-dependent RNA helicase SUPV3L1, mitochondrial precursor</t>
  </si>
  <si>
    <t>surfeit locus protein 1 isoform 1</t>
  </si>
  <si>
    <t>surfeit locus protein 1 isoform 2</t>
  </si>
  <si>
    <t>surfeit locus protein 2</t>
  </si>
  <si>
    <t>surfeit locus protein 4</t>
  </si>
  <si>
    <t>surfeit locus protein 6</t>
  </si>
  <si>
    <t xml:space="preserve">histone-lysine N-methyltransferase SUV420H1 isoform b </t>
  </si>
  <si>
    <t xml:space="preserve">histone-lysine N-methyltransferase SUV420H1 isoform a </t>
  </si>
  <si>
    <t xml:space="preserve">small VCP/p97-interacting protein </t>
  </si>
  <si>
    <t xml:space="preserve">switch-associated protein 70 </t>
  </si>
  <si>
    <t xml:space="preserve">synapse-associated protein 1 </t>
  </si>
  <si>
    <t xml:space="preserve">tyrosine-protein kinase SYK </t>
  </si>
  <si>
    <t xml:space="preserve">symplekin </t>
  </si>
  <si>
    <t>envelope glycoprotein syncytin-A precursor</t>
  </si>
  <si>
    <t>heterogeneous nuclear ribonucleoprotein Q isoform 3</t>
  </si>
  <si>
    <t>heterogeneous nuclear ribonucleoprotein Q isoform 1</t>
  </si>
  <si>
    <t>heterogeneous nuclear ribonucleoprotein Q isoform 2</t>
  </si>
  <si>
    <t xml:space="preserve">nesprin-1 isoform 2 </t>
  </si>
  <si>
    <t xml:space="preserve">nesprin-1 isoform 3 </t>
  </si>
  <si>
    <t xml:space="preserve">nesprin-2 </t>
  </si>
  <si>
    <t xml:space="preserve">synaptogyrin-1 isoform 1a </t>
  </si>
  <si>
    <t xml:space="preserve">synaptogyrin-1 isoform 1b </t>
  </si>
  <si>
    <t xml:space="preserve">synaptogyrin-2 </t>
  </si>
  <si>
    <t xml:space="preserve">synaptogyrin-3 </t>
  </si>
  <si>
    <t xml:space="preserve">synaptojanin-1 isoform b </t>
  </si>
  <si>
    <t xml:space="preserve">synaptojanin-1 isoform a </t>
  </si>
  <si>
    <t>synaptojanin-2-binding protein</t>
  </si>
  <si>
    <t>synergin gamma isoform 1</t>
  </si>
  <si>
    <t>synergin gamma isoform 2</t>
  </si>
  <si>
    <t xml:space="preserve">synaptophysin-like protein 1 isoform 1 </t>
  </si>
  <si>
    <t xml:space="preserve">synaptophysin-like protein 1 isoform 2 </t>
  </si>
  <si>
    <t xml:space="preserve">E3 ubiquitin-protein ligase synoviolin precursor </t>
  </si>
  <si>
    <t>SUZ domain-containing protein 1 isoform 2</t>
  </si>
  <si>
    <t>SUZ domain-containing protein 1 isoform 1</t>
  </si>
  <si>
    <t xml:space="preserve">TGF-beta-activated kinase 1 and MAP3K7-binding protein 1 </t>
  </si>
  <si>
    <t>protachykinin-1 precursor</t>
  </si>
  <si>
    <t xml:space="preserve">transforming acidic coiled-coil-containing protein 2 isoform b </t>
  </si>
  <si>
    <t xml:space="preserve">transforming acidic coiled-coil-containing protein 2 isoform a </t>
  </si>
  <si>
    <t xml:space="preserve">transforming acidic coiled-coil-containing protein 2 isoform c </t>
  </si>
  <si>
    <t xml:space="preserve">transforming acidic coiled-coil-containing protein 3 </t>
  </si>
  <si>
    <t xml:space="preserve">translational activator of cytochrome c oxidase 1 </t>
  </si>
  <si>
    <t>tumor-associated calcium signal transducer 2 precursor</t>
  </si>
  <si>
    <t>transcription initiation factor TFIID subunit 11</t>
  </si>
  <si>
    <t>TATA-binding protein-associated factor 2N</t>
  </si>
  <si>
    <t xml:space="preserve">TAF6-like RNA polymerase II p300/CBP-associated factor-associated factor 65 kDa subunit 6L isoform 1 </t>
  </si>
  <si>
    <t xml:space="preserve">TAF6-like RNA polymerase II p300/CBP-associated factor-associated factor 65 kDa subunit 6L isoform 2 </t>
  </si>
  <si>
    <t>transcription initiation factor TFIID subunit 7-like</t>
  </si>
  <si>
    <t xml:space="preserve">transgelin-2 </t>
  </si>
  <si>
    <t xml:space="preserve">transgelin-3 </t>
  </si>
  <si>
    <t xml:space="preserve">transaldolase </t>
  </si>
  <si>
    <t xml:space="preserve">mitochondrial translocator assembly and maintenance protein 41 homolog precursor </t>
  </si>
  <si>
    <t>protein TANC1</t>
  </si>
  <si>
    <t>protein TANC2</t>
  </si>
  <si>
    <t>ser/Thr-rich protein T10 in DGCR region</t>
  </si>
  <si>
    <t xml:space="preserve">serine/threonine-protein kinase TAO1 </t>
  </si>
  <si>
    <t xml:space="preserve">serine/threonine-protein kinase TAO2 isoform 1 </t>
  </si>
  <si>
    <t xml:space="preserve">serine/threonine-protein kinase TAO3 </t>
  </si>
  <si>
    <t>tapasin isoform 2 precursor</t>
  </si>
  <si>
    <t>tapasin isoform 1 precursor</t>
  </si>
  <si>
    <t>transmembrane anterior posterior transformation protein 1</t>
  </si>
  <si>
    <t>RISC-loading complex subunit TARBP2 isoform 1</t>
  </si>
  <si>
    <t>TAR DNA-binding protein 43 isoform 1</t>
  </si>
  <si>
    <t>TAR DNA-binding protein 43 isoform 2</t>
  </si>
  <si>
    <t>TAR DNA-binding protein 43 isoform 3</t>
  </si>
  <si>
    <t>TAR DNA-binding protein 43 isoform 4</t>
  </si>
  <si>
    <t>TAR DNA-binding protein 43 isoform 5</t>
  </si>
  <si>
    <t xml:space="preserve">threonine--tRNA ligase, cytoplasmic </t>
  </si>
  <si>
    <t xml:space="preserve">threonine--tRNA ligase, mitochondrial isoform 1 </t>
  </si>
  <si>
    <t xml:space="preserve">threonine--tRNA ligase, mitochondrial isoform 2 </t>
  </si>
  <si>
    <t xml:space="preserve">threonine--tRNA ligase, mitochondrial isoform 3 </t>
  </si>
  <si>
    <t xml:space="preserve">threonine--tRNA ligase, mitochondrial isoform 4 </t>
  </si>
  <si>
    <t xml:space="preserve">probable threonine--tRNA ligase 2, cytoplasmic </t>
  </si>
  <si>
    <t xml:space="preserve">taste receptor type 1 member 3 precursor </t>
  </si>
  <si>
    <t xml:space="preserve">putative deoxyribonuclease TATDN1 </t>
  </si>
  <si>
    <t>tax1-binding protein 1 homolog</t>
  </si>
  <si>
    <t xml:space="preserve">tax1-binding protein 3 </t>
  </si>
  <si>
    <t xml:space="preserve">TBC1 domain family member 1 </t>
  </si>
  <si>
    <t xml:space="preserve">TBC1 domain family member 10A </t>
  </si>
  <si>
    <t xml:space="preserve">TBC1 domain family member 10B </t>
  </si>
  <si>
    <t xml:space="preserve">TBC1 domain family member 13 </t>
  </si>
  <si>
    <t xml:space="preserve">TBC1 domain family member 15 </t>
  </si>
  <si>
    <t xml:space="preserve">TBC1 domain family member 17 </t>
  </si>
  <si>
    <t xml:space="preserve">TBC1 domain family member 2A </t>
  </si>
  <si>
    <t xml:space="preserve">TBC1 domain family member 22A </t>
  </si>
  <si>
    <t xml:space="preserve">TBC1 domain family member 22B </t>
  </si>
  <si>
    <t xml:space="preserve">TBC1 domain family member 23 </t>
  </si>
  <si>
    <t xml:space="preserve">TBC1 domain family member 24 isoform a </t>
  </si>
  <si>
    <t xml:space="preserve">TBC1 domain family member 24 isoform b </t>
  </si>
  <si>
    <t xml:space="preserve">TBC1 domain family member 4 </t>
  </si>
  <si>
    <t xml:space="preserve">TBC1 domain family member 5 </t>
  </si>
  <si>
    <t xml:space="preserve">TBC1 domain family member 8B </t>
  </si>
  <si>
    <t xml:space="preserve">TBC1 domain family member 9 isoform 1 </t>
  </si>
  <si>
    <t xml:space="preserve">TBC1 domain family member 9 isoform 2 </t>
  </si>
  <si>
    <t xml:space="preserve">TBC1 domain family member 9B </t>
  </si>
  <si>
    <t xml:space="preserve">tubulin-specific chaperone A </t>
  </si>
  <si>
    <t xml:space="preserve">tubulin-folding cofactor B </t>
  </si>
  <si>
    <t xml:space="preserve">tubulin-specific chaperone C </t>
  </si>
  <si>
    <t xml:space="preserve">tubulin-specific chaperone D </t>
  </si>
  <si>
    <t xml:space="preserve">tubulin-specific chaperone E </t>
  </si>
  <si>
    <t xml:space="preserve">tubulin-specific chaperone cofactor E-like protein </t>
  </si>
  <si>
    <t xml:space="preserve">serine/threonine-protein kinase TBK1 </t>
  </si>
  <si>
    <t>F-box-like/WD repeat-containing protein TBL1X</t>
  </si>
  <si>
    <t>F-box-like/WD repeat-containing protein TBL1XR1</t>
  </si>
  <si>
    <t xml:space="preserve">transducin beta-like protein 2 precursor </t>
  </si>
  <si>
    <t>transducin beta-like protein 3</t>
  </si>
  <si>
    <t>TATA-box-binding protein</t>
  </si>
  <si>
    <t xml:space="preserve">TATA box-binding protein-like protein 1 </t>
  </si>
  <si>
    <t xml:space="preserve">TATA box-binding protein-like protein 2 </t>
  </si>
  <si>
    <t>protein TBRG4</t>
  </si>
  <si>
    <t>transcription elongation factor A protein 1 isoform 3</t>
  </si>
  <si>
    <t>transcription elongation factor A protein 1 isoform 1</t>
  </si>
  <si>
    <t>transcription elongation factor A protein 1 isoform 2</t>
  </si>
  <si>
    <t>transcription elongation factor A protein 2</t>
  </si>
  <si>
    <t>transcription elongation factor B polypeptide 2</t>
  </si>
  <si>
    <t>transcription elongation regulator 1</t>
  </si>
  <si>
    <t>T-cell, immune regulator 1</t>
  </si>
  <si>
    <t>treacle protein isoform 1</t>
  </si>
  <si>
    <t>treacle protein isoform 2</t>
  </si>
  <si>
    <t xml:space="preserve">T-complex protein 1 subunit alpha </t>
  </si>
  <si>
    <t xml:space="preserve">T-complex protein 11-like protein 1 </t>
  </si>
  <si>
    <t xml:space="preserve">G/T mismatch-specific thymine DNA glycosylase isoform 2 </t>
  </si>
  <si>
    <t xml:space="preserve">G/T mismatch-specific thymine DNA glycosylase isoform 1 </t>
  </si>
  <si>
    <t xml:space="preserve">tyrosyl-DNA phosphodiesterase 1 </t>
  </si>
  <si>
    <t xml:space="preserve">tyrosyl-DNA phosphodiesterase 2 </t>
  </si>
  <si>
    <t>tudor domain-containing protein 3 isoform 1</t>
  </si>
  <si>
    <t>tudor domain-containing protein 3 isoform 2</t>
  </si>
  <si>
    <t xml:space="preserve">tectonin beta-propeller repeat-containing protein 1 </t>
  </si>
  <si>
    <t xml:space="preserve">very-long-chain enoyl-CoA reductase isoform 1 </t>
  </si>
  <si>
    <t xml:space="preserve">very-long-chain enoyl-CoA reductase isoform 2 </t>
  </si>
  <si>
    <t>transcription elongation factor, mitochondrial</t>
  </si>
  <si>
    <t xml:space="preserve">tektin-1 </t>
  </si>
  <si>
    <t>telomere length regulation protein TEL2 homolog</t>
  </si>
  <si>
    <t>CST complex subunit TEN1</t>
  </si>
  <si>
    <t>tensin-like C1 domain-containing phosphatase</t>
  </si>
  <si>
    <t xml:space="preserve">teneurin-1 </t>
  </si>
  <si>
    <t>telomerase protein component 1</t>
  </si>
  <si>
    <t>telomeric repeat-binding factor 2 isoform 2</t>
  </si>
  <si>
    <t>telomeric repeat-binding factor 2 isoform 1</t>
  </si>
  <si>
    <t xml:space="preserve">telomerase reverse transcriptase </t>
  </si>
  <si>
    <t xml:space="preserve">testin </t>
  </si>
  <si>
    <t>testis-expressed sequence 10 protein</t>
  </si>
  <si>
    <t>testis-expressed sequence 13A protein</t>
  </si>
  <si>
    <t>testis expressed gene 264</t>
  </si>
  <si>
    <t>testis-expressed sequence 30 protein</t>
  </si>
  <si>
    <t xml:space="preserve">transcription factor A, mitochondrial precursor </t>
  </si>
  <si>
    <t>dimethyladenosine transferase 1, mitochondrial</t>
  </si>
  <si>
    <t>alpha-globin transcription factor CP2</t>
  </si>
  <si>
    <t xml:space="preserve">transcription factor EB isoform a </t>
  </si>
  <si>
    <t xml:space="preserve">transcription factor EB isoform b </t>
  </si>
  <si>
    <t>protein TFG isoform 2</t>
  </si>
  <si>
    <t>protein TFG isoform 1</t>
  </si>
  <si>
    <t xml:space="preserve">tuftelin-interacting protein 11 </t>
  </si>
  <si>
    <t>transferrin receptor protein 1</t>
  </si>
  <si>
    <t xml:space="preserve">protein-glutamine gamma-glutamyltransferase 2 </t>
  </si>
  <si>
    <t>trimethylguanosine synthase</t>
  </si>
  <si>
    <t>thyroid adenoma-associated protein homolog</t>
  </si>
  <si>
    <t>thrombospondin-1 precursor</t>
  </si>
  <si>
    <t xml:space="preserve">threonine synthase-like 1 isoform a </t>
  </si>
  <si>
    <t xml:space="preserve">threonine synthase-like 1 isoform b </t>
  </si>
  <si>
    <t>THO complex subunit 1</t>
  </si>
  <si>
    <t>THO complex subunit 2</t>
  </si>
  <si>
    <t>THO complex subunit 3</t>
  </si>
  <si>
    <t xml:space="preserve">THO complex subunit 6 homolog </t>
  </si>
  <si>
    <t>thimet oligopeptidase</t>
  </si>
  <si>
    <t xml:space="preserve">thyroid hormone receptor-associated protein 3 </t>
  </si>
  <si>
    <t xml:space="preserve">thiamine-triphosphatase </t>
  </si>
  <si>
    <t>THUMP domain-containing protein 1</t>
  </si>
  <si>
    <t>THUMP domain-containing protein 3</t>
  </si>
  <si>
    <t>thymocyte nuclear protein 1</t>
  </si>
  <si>
    <t>nucleolysin TIA-1 isoform 2</t>
  </si>
  <si>
    <t>nucleolysin TIA-1 isoform 3</t>
  </si>
  <si>
    <t>nucleolysin TIA-1 isoform 1</t>
  </si>
  <si>
    <t>nucleolysin TIAR</t>
  </si>
  <si>
    <t xml:space="preserve">TRAF-interacting protein with FHA domain-containing protein A </t>
  </si>
  <si>
    <t xml:space="preserve">protein timeless homolog isoform 1 </t>
  </si>
  <si>
    <t xml:space="preserve">protein timeless homolog isoform 3 </t>
  </si>
  <si>
    <t xml:space="preserve">protein timeless homolog isoform 2 </t>
  </si>
  <si>
    <t xml:space="preserve">mitochondrial import inner membrane translocase subunit Tim10 </t>
  </si>
  <si>
    <t>mitochondrial import inner membrane translocase subunit Tim9 B</t>
  </si>
  <si>
    <t xml:space="preserve">mitochondrial import inner membrane translocase subunit Tim13 </t>
  </si>
  <si>
    <t xml:space="preserve">mitochondrial import inner membrane translocase subunit Tim17-B </t>
  </si>
  <si>
    <t xml:space="preserve">mitochondrial import inner membrane translocase subunit Tim21 </t>
  </si>
  <si>
    <t xml:space="preserve">mitochondrial import inner membrane translocase subunit Tim22 isoform 2 </t>
  </si>
  <si>
    <t xml:space="preserve">mitochondrial import inner membrane translocase subunit Tim22 isoform 1 </t>
  </si>
  <si>
    <t xml:space="preserve">mitochondrial import inner membrane translocase subunit Tim23 </t>
  </si>
  <si>
    <t xml:space="preserve">mitochondrial import inner membrane translocase subunit TIM44 </t>
  </si>
  <si>
    <t>mitochondrial import inner membrane translocase subunit TIM50 precursor</t>
  </si>
  <si>
    <t>mitochondrial import inner membrane translocase subunit Tim8 A</t>
  </si>
  <si>
    <t xml:space="preserve">putative mitochondrial import inner membrane translocase subunit Tim8 A-B </t>
  </si>
  <si>
    <t>mitochondrial import inner membrane translocase subunit Tim8 B</t>
  </si>
  <si>
    <t xml:space="preserve">mitochondrial import inner membrane translocase subunit Tim9 </t>
  </si>
  <si>
    <t>translocase of inner mitochondrial membrane domain-containing protein 1</t>
  </si>
  <si>
    <t>TCDD-inducible poly [ADP-ribose] polymerase</t>
  </si>
  <si>
    <t>TIMELESS-interacting protein</t>
  </si>
  <si>
    <t>TIP41-like protein</t>
  </si>
  <si>
    <t>tight junction-associated protein 1</t>
  </si>
  <si>
    <t>tight junction protein ZO-1 isoform 1</t>
  </si>
  <si>
    <t>tight junction protein ZO-1 isoform 2</t>
  </si>
  <si>
    <t>tight junction protein ZO-2 isoform 2</t>
  </si>
  <si>
    <t>tight junction protein ZO-2 isoform 1</t>
  </si>
  <si>
    <t>tight junction protein ZO-3 isoform 1</t>
  </si>
  <si>
    <t>tight junction protein ZO-3 isoform 2</t>
  </si>
  <si>
    <t xml:space="preserve">transketolase </t>
  </si>
  <si>
    <t xml:space="preserve">transketolase-like protein 2 </t>
  </si>
  <si>
    <t xml:space="preserve">TLC domain-containing protein 1 precursor </t>
  </si>
  <si>
    <t>transducin-like enhancer protein 3 isoform 3</t>
  </si>
  <si>
    <t>transducin-like enhancer protein 3 isoform 2</t>
  </si>
  <si>
    <t>transducin-like enhancer protein 3 isoform 1</t>
  </si>
  <si>
    <t xml:space="preserve">talin-1 </t>
  </si>
  <si>
    <t xml:space="preserve">talin-2 </t>
  </si>
  <si>
    <t>toll-like receptor 13 precursor</t>
  </si>
  <si>
    <t>toll-like receptor 7 precursor</t>
  </si>
  <si>
    <t xml:space="preserve">TM2 domain-containing protein 2 precursor </t>
  </si>
  <si>
    <t>transmembrane 7 superfamily member 3 precursor</t>
  </si>
  <si>
    <t>transmembrane 9 superfamily member 1 precursor</t>
  </si>
  <si>
    <t>transmembrane 9 superfamily member 2 precursor</t>
  </si>
  <si>
    <t>transmembrane 9 superfamily member 3 precursor</t>
  </si>
  <si>
    <t>transmembrane 9 superfamily member 4 precursor</t>
  </si>
  <si>
    <t xml:space="preserve">bax inhibitor 1 </t>
  </si>
  <si>
    <t>transmembrane channel-like protein 7</t>
  </si>
  <si>
    <t xml:space="preserve">transmembrane and coiled-coil domain-containing protein 1 precursor </t>
  </si>
  <si>
    <t>transmembrane and coiled-coil domain-containing protein 4</t>
  </si>
  <si>
    <t>transmembrane and coiled-coil domain-containing protein 6</t>
  </si>
  <si>
    <t>transmembrane emp24 domain-containing protein 1 precursor</t>
  </si>
  <si>
    <t>transmembrane emp24 domain-containing protein 10 precursor</t>
  </si>
  <si>
    <t>transmembrane emp24 domain-containing protein 3 precursor</t>
  </si>
  <si>
    <t>transmembrane emp24 domain-containing protein 4 precursor</t>
  </si>
  <si>
    <t>transmembrane emp24 domain-containing protein 5 precursor</t>
  </si>
  <si>
    <t>transmembrane emp24 protein transport domain containing 7 precursor</t>
  </si>
  <si>
    <t>transmembrane emp24 domain-containing protein 9 precursor</t>
  </si>
  <si>
    <t xml:space="preserve">transmembrane protein 102 </t>
  </si>
  <si>
    <t xml:space="preserve">transmembrane protein 106B </t>
  </si>
  <si>
    <t>transmembrane protein 109 precursor</t>
  </si>
  <si>
    <t>transmembrane protein 11, mitochondrial isoform 1</t>
  </si>
  <si>
    <t>transmembrane protein 11, mitochondrial isoform 2</t>
  </si>
  <si>
    <t xml:space="preserve">transmembrane protein 115 </t>
  </si>
  <si>
    <t xml:space="preserve">transmembrane protein 120A </t>
  </si>
  <si>
    <t xml:space="preserve">transmembrane protein 126B </t>
  </si>
  <si>
    <t xml:space="preserve">transmembrane protein 138 </t>
  </si>
  <si>
    <t xml:space="preserve">transmembrane protein 147 </t>
  </si>
  <si>
    <t xml:space="preserve">transmembrane protein 14C </t>
  </si>
  <si>
    <t xml:space="preserve">transmembrane protein 160 </t>
  </si>
  <si>
    <t>transmembrane protein 165 precursor</t>
  </si>
  <si>
    <t xml:space="preserve">protein kish-A precursor </t>
  </si>
  <si>
    <t xml:space="preserve">transmembrane protein 168 </t>
  </si>
  <si>
    <t xml:space="preserve">stimulator of interferon genes protein </t>
  </si>
  <si>
    <t xml:space="preserve">transmembrane protein 175 isoform 1 </t>
  </si>
  <si>
    <t xml:space="preserve">transmembrane protein 175 isoform 2 </t>
  </si>
  <si>
    <t xml:space="preserve">transmembrane protein 176B </t>
  </si>
  <si>
    <t xml:space="preserve">transmembrane protein 186 </t>
  </si>
  <si>
    <t xml:space="preserve">transmembrane protein 189 </t>
  </si>
  <si>
    <t xml:space="preserve">transmembrane protein 19 </t>
  </si>
  <si>
    <t xml:space="preserve">transmembrane protein 192 isoform 2 </t>
  </si>
  <si>
    <t xml:space="preserve">transmembrane protein 192 isoform 1 </t>
  </si>
  <si>
    <t xml:space="preserve">transmembrane protein 2 </t>
  </si>
  <si>
    <t xml:space="preserve">transmembrane protein 200C </t>
  </si>
  <si>
    <t xml:space="preserve">transmembrane protein 205 isoform 2 </t>
  </si>
  <si>
    <t xml:space="preserve">transmembrane protein 205 isoform 1 </t>
  </si>
  <si>
    <t xml:space="preserve">transmembrane protein 208 </t>
  </si>
  <si>
    <t xml:space="preserve">transmembrane protein 214 </t>
  </si>
  <si>
    <t xml:space="preserve">transmembrane protein 230 </t>
  </si>
  <si>
    <t xml:space="preserve">transmembrane protein 231 </t>
  </si>
  <si>
    <t>transmembrane protein C10orf57 homolog-like isoform 2</t>
  </si>
  <si>
    <t>transmembrane protein C10orf57 homolog-like isoform 1</t>
  </si>
  <si>
    <t xml:space="preserve">predicted gene 10395 isoform 2 </t>
  </si>
  <si>
    <t>transmembrane protein 256 precursor</t>
  </si>
  <si>
    <t xml:space="preserve">cell cycle control protein 50A </t>
  </si>
  <si>
    <t xml:space="preserve">transmembrane protein 33 isoform 1 </t>
  </si>
  <si>
    <t xml:space="preserve">transmembrane protein 33 isoform 2 </t>
  </si>
  <si>
    <t xml:space="preserve">transmembrane protein 41B </t>
  </si>
  <si>
    <t xml:space="preserve">transmembrane protein 43 </t>
  </si>
  <si>
    <t xml:space="preserve">transmembrane protein 45B </t>
  </si>
  <si>
    <t xml:space="preserve">transmembrane protein 50A </t>
  </si>
  <si>
    <t xml:space="preserve">transmembrane protein 50B </t>
  </si>
  <si>
    <t xml:space="preserve">transmembrane protein 55A </t>
  </si>
  <si>
    <t xml:space="preserve">transmembrane protein 55B </t>
  </si>
  <si>
    <t>transmembrane protein 59 precursor</t>
  </si>
  <si>
    <t xml:space="preserve">transmembrane protein 63A </t>
  </si>
  <si>
    <t xml:space="preserve">transmembrane protein 63B </t>
  </si>
  <si>
    <t xml:space="preserve">transmembrane protein 65 </t>
  </si>
  <si>
    <t xml:space="preserve">store-operated calcium entry-associated regulatory factor </t>
  </si>
  <si>
    <t>transmembrane protein 70, mitochondrial isoform 1</t>
  </si>
  <si>
    <t>transmembrane protein 70, mitochondrial isoform 2</t>
  </si>
  <si>
    <t xml:space="preserve">transmembrane protein 87A isoform 1 </t>
  </si>
  <si>
    <t xml:space="preserve">transmembrane protein 87A isoform 2 </t>
  </si>
  <si>
    <t xml:space="preserve">transmembrane protein 87A isoform 3 </t>
  </si>
  <si>
    <t>transmembrane protein 89 precursor</t>
  </si>
  <si>
    <t>transmembrane protein 9 precursor</t>
  </si>
  <si>
    <t xml:space="preserve">transmembrane protein 97 </t>
  </si>
  <si>
    <t>transmembrane protein 9B precursor</t>
  </si>
  <si>
    <t xml:space="preserve">tropomodulin-3 </t>
  </si>
  <si>
    <t xml:space="preserve">lamina-associated polypeptide 2 isoform alpha </t>
  </si>
  <si>
    <t xml:space="preserve">lamina-associated polypeptide 2 isoform gamma </t>
  </si>
  <si>
    <t xml:space="preserve">lamina-associated polypeptide 2 isoform epsilon </t>
  </si>
  <si>
    <t xml:space="preserve">lamina-associated polypeptide 2 isoform delta </t>
  </si>
  <si>
    <t xml:space="preserve">lamina-associated polypeptide 2 isoform beta </t>
  </si>
  <si>
    <t xml:space="preserve">lamina-associated polypeptide 2 isoform zeta </t>
  </si>
  <si>
    <t xml:space="preserve">transmembrane protein with metallophosphoesterase domain </t>
  </si>
  <si>
    <t xml:space="preserve">transmembrane protease serine 11B-like protein </t>
  </si>
  <si>
    <t>transmembrane protease serine 11G</t>
  </si>
  <si>
    <t>transmembrane protease serine 2</t>
  </si>
  <si>
    <t>transmembrane protease serine 4</t>
  </si>
  <si>
    <t>thymosin beta-like</t>
  </si>
  <si>
    <t>Tmsb15b1-Tmsb15b2 protein</t>
  </si>
  <si>
    <t>thymosin beta-4</t>
  </si>
  <si>
    <t>transmembrane and TPR repeat-containing protein 3 isoform 2</t>
  </si>
  <si>
    <t>transmembrane and TPR repeat-containing protein 3 isoform 1</t>
  </si>
  <si>
    <t xml:space="preserve">transmembrane and ubiquitin-like domain-containing protein 1 precursor </t>
  </si>
  <si>
    <t xml:space="preserve">thioredoxin-related transmembrane protein 1 precursor </t>
  </si>
  <si>
    <t xml:space="preserve">thioredoxin-related transmembrane protein 2 precursor </t>
  </si>
  <si>
    <t>protein disulfide-isomerase TMX3 precursor</t>
  </si>
  <si>
    <t xml:space="preserve">thioredoxin-related transmembrane protein 4 precursor </t>
  </si>
  <si>
    <t>tumor necrosis factor alpha-induced protein 2</t>
  </si>
  <si>
    <t>tumor necrosis factor alpha-induced protein 8 isoform 1</t>
  </si>
  <si>
    <t>tumor necrosis factor alpha-induced protein 8 isoform 2</t>
  </si>
  <si>
    <t>tumor necrosis factor alpha-induced protein 8 isoform 3</t>
  </si>
  <si>
    <t>tumor necrosis factor alpha-induced protein 8-like protein 1</t>
  </si>
  <si>
    <t xml:space="preserve">traf2 and NCK-interacting protein kinase isoform 1 </t>
  </si>
  <si>
    <t xml:space="preserve">traf2 and NCK-interacting protein kinase isoform 2 </t>
  </si>
  <si>
    <t xml:space="preserve">traf2 and NCK-interacting protein kinase isoform 3 </t>
  </si>
  <si>
    <t xml:space="preserve">traf2 and NCK-interacting protein kinase isoform 4 </t>
  </si>
  <si>
    <t xml:space="preserve">TNFAIP3-interacting protein 1 isoform 1 </t>
  </si>
  <si>
    <t xml:space="preserve">TNFAIP3-interacting protein 1 isoform 2 </t>
  </si>
  <si>
    <t xml:space="preserve">TNFAIP3-interacting protein 1 isoform 3 </t>
  </si>
  <si>
    <t>182 kDa tankyrase-1-binding protein</t>
  </si>
  <si>
    <t xml:space="preserve">troponin I, fast skeletal muscle </t>
  </si>
  <si>
    <t xml:space="preserve">transportin-1 isoform 2 </t>
  </si>
  <si>
    <t xml:space="preserve">transportin-1 isoform 1 </t>
  </si>
  <si>
    <t xml:space="preserve">transportin-2 </t>
  </si>
  <si>
    <t xml:space="preserve">transportin-3 </t>
  </si>
  <si>
    <t xml:space="preserve">trinucleotide repeat-containing gene 6B protein isoform 2 </t>
  </si>
  <si>
    <t xml:space="preserve">trinucleotide repeat-containing gene 6B protein isoform 1 </t>
  </si>
  <si>
    <t xml:space="preserve">trinucleotide repeat-containing gene 6C protein </t>
  </si>
  <si>
    <t>tensin 1</t>
  </si>
  <si>
    <t xml:space="preserve">tensin-3 </t>
  </si>
  <si>
    <t xml:space="preserve">target of EGR1 protein 1 </t>
  </si>
  <si>
    <t>toll-interacting protein</t>
  </si>
  <si>
    <t xml:space="preserve">target of Myb protein 1 isoform 2 </t>
  </si>
  <si>
    <t xml:space="preserve">target of Myb protein 1 isoform 1 </t>
  </si>
  <si>
    <t xml:space="preserve">TOM1-like protein 1 </t>
  </si>
  <si>
    <t>mitochondrial import receptor subunit TOM22 homolog</t>
  </si>
  <si>
    <t xml:space="preserve">mitochondrial import receptor subunit TOM34 </t>
  </si>
  <si>
    <t>mitochondrial import receptor subunit TOM40 homolog</t>
  </si>
  <si>
    <t>mitochondrial import receptor subunit TOM5 homolog isoform 1</t>
  </si>
  <si>
    <t>mitochondrial import receptor subunit TOM5 homolog isoform 2</t>
  </si>
  <si>
    <t>mitochondrial import receptor subunit TOM7 homolog</t>
  </si>
  <si>
    <t xml:space="preserve">mitochondrial import receptor subunit TOM70 </t>
  </si>
  <si>
    <t>tonsoku-like protein</t>
  </si>
  <si>
    <t xml:space="preserve">DNA topoisomerase 1 </t>
  </si>
  <si>
    <t>DNA topoisomerase I, mitochondrial</t>
  </si>
  <si>
    <t xml:space="preserve">DNA topoisomerase 2-alpha </t>
  </si>
  <si>
    <t xml:space="preserve">DNA topoisomerase 2-beta </t>
  </si>
  <si>
    <t xml:space="preserve">DNA topoisomerase 3-alpha </t>
  </si>
  <si>
    <t xml:space="preserve">DNA topoisomerase 3-beta-1 </t>
  </si>
  <si>
    <t>torsin-1A precursor</t>
  </si>
  <si>
    <t xml:space="preserve">torsin-1A-interacting protein 1 isoform 3 </t>
  </si>
  <si>
    <t xml:space="preserve">torsin-1A-interacting protein 1 isoform 2 </t>
  </si>
  <si>
    <t xml:space="preserve">torsin-1A-interacting protein 1 isoform 1 </t>
  </si>
  <si>
    <t xml:space="preserve">torsin-1A-interacting protein 2 isoform b </t>
  </si>
  <si>
    <t>interferon alpha responsive protein isoform a</t>
  </si>
  <si>
    <t>torsin-1B precursor</t>
  </si>
  <si>
    <t>torsin-2A precursor</t>
  </si>
  <si>
    <t>torsin-3A precursor</t>
  </si>
  <si>
    <t xml:space="preserve">trophoblast glycoprotein precursor </t>
  </si>
  <si>
    <t xml:space="preserve">tumor protein D52 isoform 5 </t>
  </si>
  <si>
    <t xml:space="preserve">tumor protein D52 isoform 1 </t>
  </si>
  <si>
    <t xml:space="preserve">tumor protein D52 isoform 2 </t>
  </si>
  <si>
    <t xml:space="preserve">tumor protein D52 isoform 4 </t>
  </si>
  <si>
    <t xml:space="preserve">tumor protein D52 isoform 3 </t>
  </si>
  <si>
    <t xml:space="preserve">tumor protein D53 </t>
  </si>
  <si>
    <t xml:space="preserve">tumor protein D54 </t>
  </si>
  <si>
    <t>triosephosphate isomerase</t>
  </si>
  <si>
    <t xml:space="preserve">thiamin pyrophosphokinase 1 </t>
  </si>
  <si>
    <t xml:space="preserve">tropomyosin alpha-1 chain isoform 1 </t>
  </si>
  <si>
    <t xml:space="preserve">tropomyosin alpha-1 chain isoform 2 </t>
  </si>
  <si>
    <t xml:space="preserve">tropomyosin alpha-1 chain isoform 4 </t>
  </si>
  <si>
    <t xml:space="preserve">tropomyosin alpha-1 chain isoform 5 </t>
  </si>
  <si>
    <t xml:space="preserve">tropomyosin alpha-1 chain isoform 6 </t>
  </si>
  <si>
    <t xml:space="preserve">tropomyosin alpha-1 chain isoform 7 </t>
  </si>
  <si>
    <t xml:space="preserve">tropomyosin alpha-1 chain isoform 8 </t>
  </si>
  <si>
    <t xml:space="preserve">tropomyosin alpha-1 chain isoform 9 </t>
  </si>
  <si>
    <t xml:space="preserve">tropomyosin alpha-1 chain isoform 10 </t>
  </si>
  <si>
    <t xml:space="preserve">tropomyosin alpha-1 chain isoform 3 </t>
  </si>
  <si>
    <t xml:space="preserve">tropomyosin beta chain isoform 2 </t>
  </si>
  <si>
    <t xml:space="preserve">tropomyosin beta chain isoform 3 </t>
  </si>
  <si>
    <t xml:space="preserve">tropomyosin beta chain isoform 1 </t>
  </si>
  <si>
    <t xml:space="preserve">tropomyosin alpha-3 chain isoform 3 </t>
  </si>
  <si>
    <t xml:space="preserve">tropomyosin alpha-3 chain isoform 4 </t>
  </si>
  <si>
    <t xml:space="preserve">tropomyosin alpha-3 chain isoform 1 </t>
  </si>
  <si>
    <t xml:space="preserve">tropomyosin alpha-3 chain isoform 5 </t>
  </si>
  <si>
    <t xml:space="preserve">tropomyosin alpha-4 chain </t>
  </si>
  <si>
    <t>thiopurine S-methyltransferase</t>
  </si>
  <si>
    <t xml:space="preserve">tripeptidyl-peptidase 1 precursor </t>
  </si>
  <si>
    <t>tripeptidyl-peptidase 2</t>
  </si>
  <si>
    <t>nucleoprotein TPR</t>
  </si>
  <si>
    <t>tumor protein p63-regulated gene 1-like protein</t>
  </si>
  <si>
    <t>TP53RK-binding protein</t>
  </si>
  <si>
    <t xml:space="preserve">taperin </t>
  </si>
  <si>
    <t xml:space="preserve">tryptase gamma precursor </t>
  </si>
  <si>
    <t xml:space="preserve">translationally-controlled tumor protein </t>
  </si>
  <si>
    <t xml:space="preserve">transmembrane phosphatase with tensin homology </t>
  </si>
  <si>
    <t>transformer-2 protein homolog alpha</t>
  </si>
  <si>
    <t>transformer-2 protein homolog beta</t>
  </si>
  <si>
    <t xml:space="preserve">traB domain-containing protein </t>
  </si>
  <si>
    <t xml:space="preserve">tumor necrosis factor receptor type 1-associated DEATH domain protein </t>
  </si>
  <si>
    <t>TNF receptor-associated factor 2</t>
  </si>
  <si>
    <t>TNF receptor-associated factor 5</t>
  </si>
  <si>
    <t xml:space="preserve">translocating chain-associated membrane protein 1 </t>
  </si>
  <si>
    <t xml:space="preserve">heat shock protein 75 kDa, mitochondrial precursor </t>
  </si>
  <si>
    <t>trafficking protein particle complex subunit 1</t>
  </si>
  <si>
    <t>trafficking protein particle complex subunit 10</t>
  </si>
  <si>
    <t>trafficking protein particle complex subunit 11</t>
  </si>
  <si>
    <t>trafficking protein particle complex subunit 12 isoform 1</t>
  </si>
  <si>
    <t>trafficking protein particle complex subunit 12 isoform 2</t>
  </si>
  <si>
    <t>trafficking protein particle complex subunit 2</t>
  </si>
  <si>
    <t xml:space="preserve">trafficking protein particle complex subunit 2-like protein </t>
  </si>
  <si>
    <t>trafficking protein particle complex subunit 3</t>
  </si>
  <si>
    <t>trafficking protein particle complex subunit 4</t>
  </si>
  <si>
    <t>trafficking protein particle complex subunit 5</t>
  </si>
  <si>
    <t>trafficking protein particle complex subunit 6A</t>
  </si>
  <si>
    <t>trafficking protein particle complex subunit 6B</t>
  </si>
  <si>
    <t xml:space="preserve">uncharacterized protein LOC75964 isoform 1 </t>
  </si>
  <si>
    <t>trafficking protein particle complex subunit 9 isoform 2</t>
  </si>
  <si>
    <t>trafficking protein particle complex subunit 9 isoform 3</t>
  </si>
  <si>
    <t>trafficking protein particle complex subunit 9 isoform 4</t>
  </si>
  <si>
    <t>trafficking protein particle complex subunit 9 isoform 5</t>
  </si>
  <si>
    <t>trafficking protein particle complex subunit 9 isoform 1</t>
  </si>
  <si>
    <t xml:space="preserve">TP53-regulated inhibitor of apoptosis 1 </t>
  </si>
  <si>
    <t>tripartite motif-containing protein 16</t>
  </si>
  <si>
    <t>E3 ubiquitin-protein ligase TRIM23</t>
  </si>
  <si>
    <t>transcription intermediary factor 1-alpha isoform 2</t>
  </si>
  <si>
    <t>transcription intermediary factor 1-alpha isoform 3</t>
  </si>
  <si>
    <t>transcription intermediary factor 1-alpha isoform 1</t>
  </si>
  <si>
    <t>E3 ubiquitin/ISG15 ligase TRIM25</t>
  </si>
  <si>
    <t>zinc finger protein RFP</t>
  </si>
  <si>
    <t>transcription intermediary factor 1-beta</t>
  </si>
  <si>
    <t>tripartite motif-containing protein 3</t>
  </si>
  <si>
    <t>E3 ubiquitin-protein ligase TRIM32</t>
  </si>
  <si>
    <t>E3 ubiquitin-protein ligase TRIM33 isoform 1</t>
  </si>
  <si>
    <t>E3 ubiquitin-protein ligase TRIM33 isoform 2</t>
  </si>
  <si>
    <t>tripartite motif-containing protein 47 isoform 1</t>
  </si>
  <si>
    <t>tripartite motif-containing protein 47 isoform 2</t>
  </si>
  <si>
    <t>E3 ubiquitin-protein ligase TRIM56</t>
  </si>
  <si>
    <t>tripartite motif-containing protein 59</t>
  </si>
  <si>
    <t>tripartite motif-containing protein 65</t>
  </si>
  <si>
    <t>tripartite motif-containing protein 75</t>
  </si>
  <si>
    <t xml:space="preserve">probable E3 ubiquitin-protein ligase TRIM8 </t>
  </si>
  <si>
    <t>triple functional domain protein</t>
  </si>
  <si>
    <t>TRIO and F-actin-binding protein isoform 5</t>
  </si>
  <si>
    <t>TRIO and F-actin-binding protein isoform 1</t>
  </si>
  <si>
    <t>TRIO and F-actin-binding protein isoform 3</t>
  </si>
  <si>
    <t xml:space="preserve">cdc42-interacting protein 4 isoform 3 </t>
  </si>
  <si>
    <t xml:space="preserve">cdc42-interacting protein 4 isoform 1 </t>
  </si>
  <si>
    <t xml:space="preserve">cdc42-interacting protein 4 isoform 2 </t>
  </si>
  <si>
    <t xml:space="preserve">cdc42-interacting protein 4 isoform 4 </t>
  </si>
  <si>
    <t xml:space="preserve">thyroid hormone receptor interactor 11 </t>
  </si>
  <si>
    <t>E3 ubiquitin-protein ligase TRIP12</t>
  </si>
  <si>
    <t xml:space="preserve">pachytene checkpoint protein 2 homolog </t>
  </si>
  <si>
    <t>activating signal cointegrator 1 isoform 2</t>
  </si>
  <si>
    <t>activating signal cointegrator 1 isoform 1</t>
  </si>
  <si>
    <t>thyroid receptor-interacting protein 6</t>
  </si>
  <si>
    <t>tRNA (guanine(26)-N(2))-dimethyltransferase isoform 1</t>
  </si>
  <si>
    <t>tRNA (guanine(26)-N(2))-dimethyltransferase isoform 2</t>
  </si>
  <si>
    <t xml:space="preserve">tRNA methyltransferase 10 homolog A </t>
  </si>
  <si>
    <t>mitochondrial ribonuclease P protein 1 precursor</t>
  </si>
  <si>
    <t xml:space="preserve">tRNA (guanine(10)-N2)-methyltransferase homolog </t>
  </si>
  <si>
    <t>tRNA methyltransferase 112 homolog</t>
  </si>
  <si>
    <t>TRMT1-like protein</t>
  </si>
  <si>
    <t>tRNA (uracil-5-)-methyltransferase homolog A isoform 1</t>
  </si>
  <si>
    <t>tRNA (uracil-5-)-methyltransferase homolog A isoform 2</t>
  </si>
  <si>
    <t>tRNA (uracil-5-)-methyltransferase homolog A isoform 4</t>
  </si>
  <si>
    <t>tRNA (guanine(37)-N1)-methyltransferase</t>
  </si>
  <si>
    <t xml:space="preserve">tRNA (adenine(58)-N(1))-methyltransferase non-catalytic subunit TRM6 </t>
  </si>
  <si>
    <t xml:space="preserve">tRNA (adenine(58)-N(1))-methyltransferase catalytic subunit TRMT61A </t>
  </si>
  <si>
    <t xml:space="preserve">CCA tRNA nucleotidyltransferase 1, mitochondrial isoform b </t>
  </si>
  <si>
    <t xml:space="preserve">CCA tRNA nucleotidyltransferase 1, mitochondrial isoform a </t>
  </si>
  <si>
    <t>60 kDa SS-A/Ro ribonucleoprotein</t>
  </si>
  <si>
    <t>cellular tumor antigen p53 isoform a</t>
  </si>
  <si>
    <t>cellular tumor antigen p53 isoform b</t>
  </si>
  <si>
    <t xml:space="preserve">tumor suppressor p53-binding protein 1 </t>
  </si>
  <si>
    <t>TP53-regulating kinase</t>
  </si>
  <si>
    <t>transformation related protein 53 target 5</t>
  </si>
  <si>
    <t>short transient receptor potential channel 4 isoform 2</t>
  </si>
  <si>
    <t>short transient receptor potential channel 4 isoform 1</t>
  </si>
  <si>
    <t>short transient receptor potential channel 5</t>
  </si>
  <si>
    <t xml:space="preserve">transient receptor potential cation channel subfamily M member 4 </t>
  </si>
  <si>
    <t xml:space="preserve">tRNA 2'-phosphotransferase 1 </t>
  </si>
  <si>
    <t xml:space="preserve">transient receptor potential cation channel subfamily V member 4 </t>
  </si>
  <si>
    <t xml:space="preserve">transformation/transcription domain-associated protein </t>
  </si>
  <si>
    <t xml:space="preserve">probable tRNA pseudouridine synthase 1 isoform 1 </t>
  </si>
  <si>
    <t xml:space="preserve">probable tRNA pseudouridine synthase 1 isoform 2 </t>
  </si>
  <si>
    <t xml:space="preserve">probable tRNA pseudouridine synthase 2 </t>
  </si>
  <si>
    <t xml:space="preserve">hamartin </t>
  </si>
  <si>
    <t xml:space="preserve">tuberin isoform 1 </t>
  </si>
  <si>
    <t xml:space="preserve">tuberin isoform 2 </t>
  </si>
  <si>
    <t xml:space="preserve">TSC22 domain family protein 1 isoform 1 </t>
  </si>
  <si>
    <t xml:space="preserve">TSC22 domain family protein 1 isoform 3 </t>
  </si>
  <si>
    <t xml:space="preserve">TSC22 domain family protein 1 isoform 2 </t>
  </si>
  <si>
    <t xml:space="preserve">TSC22 domain family protein 2 </t>
  </si>
  <si>
    <t xml:space="preserve">TSC22 domain family protein 3 isoform 1 </t>
  </si>
  <si>
    <t xml:space="preserve">TSC22 domain family protein 3 isoform 2 </t>
  </si>
  <si>
    <t xml:space="preserve">TSC22 domain family protein 4 isoform 1 </t>
  </si>
  <si>
    <t xml:space="preserve">TSC22 domain family protein 4 isoform 2 </t>
  </si>
  <si>
    <t>tRNA-splicing endonuclease subunit Sen15</t>
  </si>
  <si>
    <t>tRNA-splicing endonuclease subunit Sen34 isoform a</t>
  </si>
  <si>
    <t>tRNA-splicing endonuclease subunit Sen34 isoform b</t>
  </si>
  <si>
    <t>tRNA-splicing endonuclease subunit Sen54</t>
  </si>
  <si>
    <t xml:space="preserve">elongation factor Ts, mitochondrial precursor </t>
  </si>
  <si>
    <t xml:space="preserve">tumor susceptibility gene 101 protein </t>
  </si>
  <si>
    <t xml:space="preserve">translin </t>
  </si>
  <si>
    <t xml:space="preserve">translin-associated protein X </t>
  </si>
  <si>
    <t xml:space="preserve">tetraspanin-14 </t>
  </si>
  <si>
    <t xml:space="preserve">tetraspanin-15 </t>
  </si>
  <si>
    <t xml:space="preserve">tetraspanin-31 </t>
  </si>
  <si>
    <t xml:space="preserve">tetraspanin-6 </t>
  </si>
  <si>
    <t xml:space="preserve">tetraspanin-8 </t>
  </si>
  <si>
    <t xml:space="preserve">tetraspanin-9 </t>
  </si>
  <si>
    <t>testis-specific Y-encoded-like protein 1</t>
  </si>
  <si>
    <t>pre-rRNA-processing protein TSR1 homolog</t>
  </si>
  <si>
    <t>pre-rRNA-processing protein TSR2 homolog isoform 1</t>
  </si>
  <si>
    <t>pre-rRNA-processing protein TSR2 homolog isoform 2</t>
  </si>
  <si>
    <t>protein TSSC1</t>
  </si>
  <si>
    <t>GDP-L-fucose synthase</t>
  </si>
  <si>
    <t xml:space="preserve">tau-tubulin kinase 2 isoform 1 </t>
  </si>
  <si>
    <t xml:space="preserve">tau-tubulin kinase 2 isoform 2 </t>
  </si>
  <si>
    <t>tetratricopeptide repeat protein 1</t>
  </si>
  <si>
    <t>tetratricopeptide repeat protein 12</t>
  </si>
  <si>
    <t>tetratricopeptide repeat protein 21B</t>
  </si>
  <si>
    <t>tetratricopeptide repeat protein 23-like</t>
  </si>
  <si>
    <t>tetratricopeptide repeat protein 26</t>
  </si>
  <si>
    <t>tetratricopeptide repeat protein 27</t>
  </si>
  <si>
    <t>E3 ubiquitin-protein ligase TTC3</t>
  </si>
  <si>
    <t>tetratricopeptide repeat protein 30A1</t>
  </si>
  <si>
    <t>tetratricopeptide repeat protein 30A2</t>
  </si>
  <si>
    <t>tetratricopeptide repeat protein 30B</t>
  </si>
  <si>
    <t>tetratricopeptide repeat protein 32</t>
  </si>
  <si>
    <t>tetratricopeptide repeat protein 33</t>
  </si>
  <si>
    <t>tetratricopeptide repeat protein 34</t>
  </si>
  <si>
    <t>tetratricopeptide repeat protein 37</t>
  </si>
  <si>
    <t>tetratricopeptide repeat protein 38</t>
  </si>
  <si>
    <t>tetratricopeptide repeat protein 5 isoform a</t>
  </si>
  <si>
    <t>tetratricopeptide repeat protein 5 isoform b</t>
  </si>
  <si>
    <t>tetratricopeptide repeat protein 9A</t>
  </si>
  <si>
    <t>tetratricopeptide repeat protein 9C</t>
  </si>
  <si>
    <t>transcription termination factor 1</t>
  </si>
  <si>
    <t>transcription termination factor 2</t>
  </si>
  <si>
    <t>TELO2-interacting protein 1 homolog</t>
  </si>
  <si>
    <t xml:space="preserve">TELO2-interacting protein 2 isoform a </t>
  </si>
  <si>
    <t xml:space="preserve">TELO2-interacting protein 2 isoform b </t>
  </si>
  <si>
    <t>tubulin--tyrosine ligase-like protein 12</t>
  </si>
  <si>
    <t xml:space="preserve">titin isoform N2-A </t>
  </si>
  <si>
    <t xml:space="preserve">titin isoform N2-B </t>
  </si>
  <si>
    <t>protein tweety homolog 3</t>
  </si>
  <si>
    <t xml:space="preserve">tubulin alpha-1A chain </t>
  </si>
  <si>
    <t xml:space="preserve">tubulin alpha-1B chain </t>
  </si>
  <si>
    <t xml:space="preserve">tubulin alpha-1C chain </t>
  </si>
  <si>
    <t xml:space="preserve">tubulin alpha-3 chain </t>
  </si>
  <si>
    <t xml:space="preserve">tubulin alpha-4A chain </t>
  </si>
  <si>
    <t xml:space="preserve">tubulin alpha-8 chain </t>
  </si>
  <si>
    <t>tubulin alpha chain-like 3</t>
  </si>
  <si>
    <t xml:space="preserve">tubulin beta-1 chain </t>
  </si>
  <si>
    <t xml:space="preserve">tubulin beta-2A chain </t>
  </si>
  <si>
    <t xml:space="preserve">tubulin beta-2B chain </t>
  </si>
  <si>
    <t xml:space="preserve">tubulin beta-3 chain </t>
  </si>
  <si>
    <t xml:space="preserve">tubulin beta-4A chain </t>
  </si>
  <si>
    <t xml:space="preserve">tubulin beta-4B chain </t>
  </si>
  <si>
    <t xml:space="preserve">tubulin beta-5 chain </t>
  </si>
  <si>
    <t xml:space="preserve">tubulin beta-6 chain </t>
  </si>
  <si>
    <t xml:space="preserve">tubulin gamma-1 chain </t>
  </si>
  <si>
    <t xml:space="preserve">tubulin gamma-2 chain </t>
  </si>
  <si>
    <t>gamma-tubulin complex component 2</t>
  </si>
  <si>
    <t>gamma-tubulin complex component 3</t>
  </si>
  <si>
    <t>gamma-tubulin complex component 4</t>
  </si>
  <si>
    <t>gamma-tubulin complex component 5</t>
  </si>
  <si>
    <t>tubulin, gamma complex associated protein 6</t>
  </si>
  <si>
    <t>elongation factor Tu, mitochondrial isoform 2</t>
  </si>
  <si>
    <t>elongation factor Tu, mitochondrial isoform 1</t>
  </si>
  <si>
    <t xml:space="preserve">tumor suppressor candidate 3 precursor </t>
  </si>
  <si>
    <t xml:space="preserve">speckle targeted PIP5K1A-regulated poly(A) polymerase </t>
  </si>
  <si>
    <t>protein FAM18B1</t>
  </si>
  <si>
    <t xml:space="preserve">twinfilin-1 </t>
  </si>
  <si>
    <t xml:space="preserve">twinfilin-2 </t>
  </si>
  <si>
    <t xml:space="preserve">alpha-taxilin </t>
  </si>
  <si>
    <t xml:space="preserve">gamma-taxilin </t>
  </si>
  <si>
    <t xml:space="preserve">thioredoxin </t>
  </si>
  <si>
    <t xml:space="preserve">thioredoxin domain-containing protein 12 precursor </t>
  </si>
  <si>
    <t xml:space="preserve">thioredoxin domain-containing protein 15 precursor </t>
  </si>
  <si>
    <t>thioredoxin domain-containing protein 17</t>
  </si>
  <si>
    <t xml:space="preserve">thioredoxin domain-containing protein 5 precursor </t>
  </si>
  <si>
    <t>thioredoxin domain-containing protein 9</t>
  </si>
  <si>
    <t>thioredoxin-interacting protein isoform 2</t>
  </si>
  <si>
    <t>thioredoxin-interacting protein isoform 1</t>
  </si>
  <si>
    <t xml:space="preserve">thioredoxin-like protein 1 </t>
  </si>
  <si>
    <t xml:space="preserve">thioredoxin-like protein 4A isoform b </t>
  </si>
  <si>
    <t xml:space="preserve">thioredoxin-like protein 4A isoform a </t>
  </si>
  <si>
    <t xml:space="preserve">thioredoxin-like protein 4B </t>
  </si>
  <si>
    <t>thioredoxin reductase 1, cytoplasmic isoform 1</t>
  </si>
  <si>
    <t>thioredoxin reductase 1, cytoplasmic isoform 2</t>
  </si>
  <si>
    <t xml:space="preserve">thioredoxin reductase 2, mitochondrial precursor </t>
  </si>
  <si>
    <t xml:space="preserve">thioredoxin reductase 3 isoform 3 </t>
  </si>
  <si>
    <t xml:space="preserve">thioredoxin reductase 3 isoform 4 </t>
  </si>
  <si>
    <t xml:space="preserve">thioredoxin reductase 3 isoform 2 </t>
  </si>
  <si>
    <t xml:space="preserve">thioredoxin reductase 3 isoform 1 </t>
  </si>
  <si>
    <t>non-receptor tyrosine-protein kinase TYK2 isoform 2</t>
  </si>
  <si>
    <t>non-receptor tyrosine-protein kinase TYK2 isoform 1</t>
  </si>
  <si>
    <t>thymidylate synthase</t>
  </si>
  <si>
    <t xml:space="preserve">tRNA wybutosine-synthesizing protein 1 homolog isoform 2 </t>
  </si>
  <si>
    <t xml:space="preserve">tRNA wybutosine-synthesizing protein 1 homolog isoform 1 </t>
  </si>
  <si>
    <t xml:space="preserve">tRNA wybutosine-synthesizing protein 3 homolog isoform 2 </t>
  </si>
  <si>
    <t xml:space="preserve">tRNA wybutosine-synthesizing protein 3 homolog isoform 1 </t>
  </si>
  <si>
    <t>tRNA wybutosine-synthesizing protein 5 isoform 1</t>
  </si>
  <si>
    <t>tRNA wybutosine-synthesizing protein 5 isoform 2</t>
  </si>
  <si>
    <t>splicing factor U2AF 35 kDa subunit isoform 2</t>
  </si>
  <si>
    <t>splicing factor U2AF 35 kDa subunit isoform 1</t>
  </si>
  <si>
    <t>splicing factor U2AF 26 kDa subunit</t>
  </si>
  <si>
    <t>splicing factor U2AF 65 kDa subunit isoform 2</t>
  </si>
  <si>
    <t>splicing factor U2AF 65 kDa subunit isoform 1</t>
  </si>
  <si>
    <t xml:space="preserve">U2 snRNP-associated SURP motif-containing protein isoform 2 </t>
  </si>
  <si>
    <t xml:space="preserve">U2 snRNP-associated SURP motif-containing protein isoform 1 </t>
  </si>
  <si>
    <t>uveal autoantigen with coiled-coil domains and ankyrin repeats</t>
  </si>
  <si>
    <t>UDP-N-acetylhexosamine pyrophosphorylase</t>
  </si>
  <si>
    <t xml:space="preserve">PREDICTED: UDP-N-acetylhexosamine pyrophosphorylase </t>
  </si>
  <si>
    <t>UDP-N-acetylhexosamine pyrophosphorylase-like protein 1</t>
  </si>
  <si>
    <t>ubiquitin-like modifier-activating enzyme 1 isoform 2</t>
  </si>
  <si>
    <t>ubiquitin-like modifier-activating enzyme 1 isoform 1</t>
  </si>
  <si>
    <t xml:space="preserve">ubiquitin-like modifier-activating enzyme 1 Y </t>
  </si>
  <si>
    <t>SUMO-activating enzyme subunit 2</t>
  </si>
  <si>
    <t xml:space="preserve">NEDD8-activating enzyme E1 catalytic subunit isoform 1 </t>
  </si>
  <si>
    <t xml:space="preserve">NEDD8-activating enzyme E1 catalytic subunit isoform 2 </t>
  </si>
  <si>
    <t>ubiquitin-like modifier-activating enzyme 5</t>
  </si>
  <si>
    <t>ubiquitin-60S ribosomal protein L40</t>
  </si>
  <si>
    <t>ubiquitin-like modifier-activating enzyme 6</t>
  </si>
  <si>
    <t>ubiquitin-like modifier-activating enzyme 7</t>
  </si>
  <si>
    <t>ubiquitin-associated domain-containing protein 1</t>
  </si>
  <si>
    <t xml:space="preserve">ubiquitin-associated domain-containing protein 2 precursor </t>
  </si>
  <si>
    <t xml:space="preserve">ubiquitin-associated protein 2 </t>
  </si>
  <si>
    <t xml:space="preserve">ubiquitin-associated protein 2-like isoform 3 </t>
  </si>
  <si>
    <t xml:space="preserve">ubiquitin-associated protein 2-like isoform 4 </t>
  </si>
  <si>
    <t xml:space="preserve">ubiquitin-associated protein 2-like isoform 2 </t>
  </si>
  <si>
    <t xml:space="preserve">ubiquitin-associated protein 2-like isoform 5 </t>
  </si>
  <si>
    <t xml:space="preserve">ubiquitin-associated protein 2-like isoform 6 </t>
  </si>
  <si>
    <t xml:space="preserve">ubiquitin-associated protein 2-like isoform 1 </t>
  </si>
  <si>
    <t xml:space="preserve">polyubiquitin-B </t>
  </si>
  <si>
    <t xml:space="preserve">polyubiquitin-C </t>
  </si>
  <si>
    <t>ubiquitin-conjugating enzyme E2 A</t>
  </si>
  <si>
    <t>ubiquitin-conjugating enzyme E2 C</t>
  </si>
  <si>
    <t>ubiquitin-conjugating enzyme E2 D1</t>
  </si>
  <si>
    <t>ubiquitin-conjugating enzyme E2 D2</t>
  </si>
  <si>
    <t>ubiquitin-conjugating enzyme E2 D2B</t>
  </si>
  <si>
    <t>ubiquitin-conjugating enzyme E2 D3</t>
  </si>
  <si>
    <t>ubiquitin-conjugating enzyme E2 E1</t>
  </si>
  <si>
    <t>ubiquitin-conjugating enzyme E2 E2</t>
  </si>
  <si>
    <t>ubiquitin-conjugating enzyme E2 E3</t>
  </si>
  <si>
    <t xml:space="preserve">NEDD8-conjugating enzyme UBE2F </t>
  </si>
  <si>
    <t>ubiquitin-conjugating enzyme E2 G1</t>
  </si>
  <si>
    <t>ubiquitin-conjugating enzyme E2 H isoform 2</t>
  </si>
  <si>
    <t>ubiquitin-conjugating enzyme E2 H isoform 1</t>
  </si>
  <si>
    <t>ubiquitin-conjugating enzyme E2 K</t>
  </si>
  <si>
    <t xml:space="preserve">NEDD8-conjugating enzyme Ubc12 isoform 1 </t>
  </si>
  <si>
    <t xml:space="preserve">NEDD8-conjugating enzyme Ubc12 isoform 2 </t>
  </si>
  <si>
    <t xml:space="preserve">NEDD8-conjugating enzyme Ubc12 isoform 3 </t>
  </si>
  <si>
    <t>ubiquitin-conjugating enzyme E2 N</t>
  </si>
  <si>
    <t>ubiquitin-conjugating enzyme E2 O</t>
  </si>
  <si>
    <t>ubiquitin-conjugating enzyme E2 Q1</t>
  </si>
  <si>
    <t>ubiquitin-conjugating enzyme E2 Q2</t>
  </si>
  <si>
    <t>ubiquitin-conjugating enzyme E2 R2</t>
  </si>
  <si>
    <t>ubiquitin-conjugating enzyme E2 S</t>
  </si>
  <si>
    <t>ubiquitin-conjugating enzyme E2 T</t>
  </si>
  <si>
    <t xml:space="preserve">ubiquitin-conjugating enzyme E2 variant 1 </t>
  </si>
  <si>
    <t xml:space="preserve">ubiquitin-conjugating enzyme E2 variant 2 isoform 2 </t>
  </si>
  <si>
    <t xml:space="preserve">ubiquitin-conjugating enzyme E2 variant 2 isoform 1 </t>
  </si>
  <si>
    <t>ubiquitin-conjugating enzyme E2 W isoform 1</t>
  </si>
  <si>
    <t>ubiquitin-conjugating enzyme E2 W isoform 2</t>
  </si>
  <si>
    <t>ubiquitin-conjugating enzyme E2 W isoform 3</t>
  </si>
  <si>
    <t>ubiquitin-conjugating enzyme E2 Z</t>
  </si>
  <si>
    <t xml:space="preserve">ubiquitin-protein ligase E3A isoform 1 </t>
  </si>
  <si>
    <t xml:space="preserve">ubiquitin-protein ligase E3A isoform 2 </t>
  </si>
  <si>
    <t xml:space="preserve">ubiquitin-protein ligase E3A isoform 3 </t>
  </si>
  <si>
    <t xml:space="preserve">ubiquitin-protein ligase E3C </t>
  </si>
  <si>
    <t xml:space="preserve">ubiquitin conjugation factor E4 A </t>
  </si>
  <si>
    <t xml:space="preserve">ubiquitin conjugation factor E4 B </t>
  </si>
  <si>
    <t>ubiquitin domain-containing protein UBFD1</t>
  </si>
  <si>
    <t>ubiquitin-like protein 3 precursor</t>
  </si>
  <si>
    <t xml:space="preserve">ubiquitin-like protein 4A </t>
  </si>
  <si>
    <t xml:space="preserve">ubiquitin-like protein 5 </t>
  </si>
  <si>
    <t xml:space="preserve">PREDICTED: ubiquitin-like domain containing CTD phosphatase 1 </t>
  </si>
  <si>
    <t xml:space="preserve">ubiquitin-like domain-containing CTD phosphatase 1 </t>
  </si>
  <si>
    <t xml:space="preserve">upstream-binding protein 1 isoform a </t>
  </si>
  <si>
    <t xml:space="preserve">upstream-binding protein 1 isoform b </t>
  </si>
  <si>
    <t xml:space="preserve">ubiquilin-1 isoform 2 </t>
  </si>
  <si>
    <t xml:space="preserve">ubiquilin-1 isoform 1 </t>
  </si>
  <si>
    <t xml:space="preserve">ubiquilin-2 </t>
  </si>
  <si>
    <t xml:space="preserve">ubiquilin-4 </t>
  </si>
  <si>
    <t>E3 ubiquitin-protein ligase UBR1</t>
  </si>
  <si>
    <t>E3 ubiquitin-protein ligase UBR2 isoform 2</t>
  </si>
  <si>
    <t>E3 ubiquitin-protein ligase UBR2 isoform 1</t>
  </si>
  <si>
    <t>E3 ubiquitin-protein ligase UBR3 isoform 1</t>
  </si>
  <si>
    <t>E3 ubiquitin-protein ligase UBR3 isoform 2</t>
  </si>
  <si>
    <t>E3 ubiquitin-protein ligase UBR4</t>
  </si>
  <si>
    <t>E3 ubiquitin-protein ligase UBR5 isoform 1</t>
  </si>
  <si>
    <t>E3 ubiquitin-protein ligase UBR5 isoform 2</t>
  </si>
  <si>
    <t xml:space="preserve">putative E3 ubiquitin-protein ligase UBR7 </t>
  </si>
  <si>
    <t>ubiquitin domain-containing protein 1</t>
  </si>
  <si>
    <t>ubiquitin domain-containing protein 2</t>
  </si>
  <si>
    <t>nucleolar transcription factor 1 isoform 2</t>
  </si>
  <si>
    <t>nucleolar transcription factor 1 isoform 1</t>
  </si>
  <si>
    <t>UBX domain-containing protein 1</t>
  </si>
  <si>
    <t>UBX domain-containing protein 4</t>
  </si>
  <si>
    <t>UBX domain-containing protein 6</t>
  </si>
  <si>
    <t>UBX domain-containing protein 7</t>
  </si>
  <si>
    <t xml:space="preserve">ubiquitin carboxyl-terminal hydrolase isozyme L3 </t>
  </si>
  <si>
    <t xml:space="preserve">ubiquitin carboxyl-terminal hydrolase isozyme L4 </t>
  </si>
  <si>
    <t xml:space="preserve">ubiquitin carboxyl-terminal hydrolase isozyme L5 isoform 1 </t>
  </si>
  <si>
    <t xml:space="preserve">ubiquitin carboxyl-terminal hydrolase isozyme L5 isoform 2 </t>
  </si>
  <si>
    <t xml:space="preserve">uridine-cytidine kinase 1 </t>
  </si>
  <si>
    <t xml:space="preserve">uridine-cytidine kinase 2 </t>
  </si>
  <si>
    <t xml:space="preserve">uridine-cytidine kinase-like 1 </t>
  </si>
  <si>
    <t xml:space="preserve">ubiquitin-conjugating enzyme E2 variant 3 </t>
  </si>
  <si>
    <t>ubiquitin-fold modifier-conjugating enzyme 1</t>
  </si>
  <si>
    <t>ubiquitin fusion degradation protein 1 homolog</t>
  </si>
  <si>
    <t>E3 UFM1-protein ligase 1</t>
  </si>
  <si>
    <t>ubiquitin-fold modifier 1 precursor</t>
  </si>
  <si>
    <t xml:space="preserve">ufm1-specific protease 2 </t>
  </si>
  <si>
    <t>UDP-glucose 6-dehydrogenase</t>
  </si>
  <si>
    <t>UDP-glucose:glycoprotein glucosyltransferase 1 precursor</t>
  </si>
  <si>
    <t>UDP-glucose:glycoprotein glucosyltransferase 2 precursor</t>
  </si>
  <si>
    <t>UTP--glucose-1-phosphate uridylyltransferase</t>
  </si>
  <si>
    <t xml:space="preserve">2-hydroxyacylsphingosine 1-beta-galactosyltransferase precursor </t>
  </si>
  <si>
    <t>E3 ubiquitin-protein ligase UHRF1 isoform A</t>
  </si>
  <si>
    <t>E3 ubiquitin-protein ligase UHRF1 isoform B</t>
  </si>
  <si>
    <t xml:space="preserve">UHRF1 (ICBP90) binding protein 1 </t>
  </si>
  <si>
    <t xml:space="preserve">uridine 5'-monophosphate synthase </t>
  </si>
  <si>
    <t>protein unc-119 homolog A</t>
  </si>
  <si>
    <t>protein unc-119 homolog B</t>
  </si>
  <si>
    <t>protein unc-13 homolog C</t>
  </si>
  <si>
    <t>protein unc-13 homolog D</t>
  </si>
  <si>
    <t>protein unc-45 homolog A</t>
  </si>
  <si>
    <t xml:space="preserve">protein unc-79 homolog </t>
  </si>
  <si>
    <t>uracil-DNA glycosylase isoform a</t>
  </si>
  <si>
    <t xml:space="preserve">RING finger protein unkempt homolog </t>
  </si>
  <si>
    <t xml:space="preserve">regulator of nonsense transcripts 1 isoform b </t>
  </si>
  <si>
    <t xml:space="preserve">regulator of nonsense transcripts 1 isoform a </t>
  </si>
  <si>
    <t xml:space="preserve">regulator of nonsense transcripts 2 </t>
  </si>
  <si>
    <t xml:space="preserve">regulator of nonsense transcripts 3B </t>
  </si>
  <si>
    <t xml:space="preserve">uroplakin-1a </t>
  </si>
  <si>
    <t>uroplakin-2 precursor</t>
  </si>
  <si>
    <t xml:space="preserve">uracil phosphoribosyltransferase homolog </t>
  </si>
  <si>
    <t xml:space="preserve">ubiquinol-cytochrome c reductase complex chaperone CBP3 homolog </t>
  </si>
  <si>
    <t>mitochondrial nucleoid factor 1</t>
  </si>
  <si>
    <t xml:space="preserve">cytochrome b-c1 complex subunit 9 </t>
  </si>
  <si>
    <t xml:space="preserve">cytochrome b-c1 complex subunit 10 </t>
  </si>
  <si>
    <t xml:space="preserve">cytochrome b-c1 complex subunit 7 </t>
  </si>
  <si>
    <t xml:space="preserve">cytochrome b-c1 complex subunit 1, mitochondrial precursor </t>
  </si>
  <si>
    <t xml:space="preserve">cytochrome b-c1 complex subunit 2, mitochondrial precursor </t>
  </si>
  <si>
    <t>cytochrome b-c1 complex subunit Rieske, mitochondrial</t>
  </si>
  <si>
    <t>cytochrome b-c1 complex subunit 6, mitochondrial</t>
  </si>
  <si>
    <t xml:space="preserve">cytochrome b-c1 complex subunit 8 </t>
  </si>
  <si>
    <t>nucleolar pre-ribosomal-associated protein 1</t>
  </si>
  <si>
    <t>unhealthy ribosome biogenesis protein 2 homolog</t>
  </si>
  <si>
    <t>uroporphyrinogen decarboxylase</t>
  </si>
  <si>
    <t>uroporphyrinogen-III synthase</t>
  </si>
  <si>
    <t>vesicle transport protein USE1 isoform 1</t>
  </si>
  <si>
    <t>vesicle transport protein USE1 isoform 3</t>
  </si>
  <si>
    <t xml:space="preserve">harmonin isoform b3 </t>
  </si>
  <si>
    <t xml:space="preserve">harmonin isoform a1 </t>
  </si>
  <si>
    <t xml:space="preserve">harmonin isoform b4 </t>
  </si>
  <si>
    <t xml:space="preserve">general vesicular transport factor p115 </t>
  </si>
  <si>
    <t>ubiquitin carboxyl-terminal hydrolase 10</t>
  </si>
  <si>
    <t>ubiquitin carboxyl-terminal hydrolase 11</t>
  </si>
  <si>
    <t>ubiquitin carboxyl-terminal hydrolase 12</t>
  </si>
  <si>
    <t>ubiquitin carboxyl-terminal hydrolase 14 isoform 1</t>
  </si>
  <si>
    <t>ubiquitin carboxyl-terminal hydrolase 14 isoform 2</t>
  </si>
  <si>
    <t>ubiquitin carboxyl-terminal hydrolase 15</t>
  </si>
  <si>
    <t>ubiquitin carboxyl-terminal hydrolase 16</t>
  </si>
  <si>
    <t xml:space="preserve">deubiquitinating enzyme 2a </t>
  </si>
  <si>
    <t>ubiquitin carboxyl-terminal hydrolase 19 isoform 1</t>
  </si>
  <si>
    <t>ubiquitin carboxyl-terminal hydrolase 19 isoform 2</t>
  </si>
  <si>
    <t>ubiquitin carboxyl-terminal hydrolase 19 isoform 3</t>
  </si>
  <si>
    <t>ubiquitin carboxyl-terminal hydrolase 19 isoform 4</t>
  </si>
  <si>
    <t>ubiquitin carboxyl-terminal hydrolase 19 isoform 5</t>
  </si>
  <si>
    <t>ubiquitin carboxyl-terminal hydrolase 24</t>
  </si>
  <si>
    <t>ubiquitin carboxyl-terminal hydrolase 25</t>
  </si>
  <si>
    <t>ubiquitin specific protease 32</t>
  </si>
  <si>
    <t>ubiquitin carboxyl-terminal hydrolase 34</t>
  </si>
  <si>
    <t>ubiquitin carboxyl-terminal hydrolase 36</t>
  </si>
  <si>
    <t>ubiquitin carboxyl-terminal hydrolase 38</t>
  </si>
  <si>
    <t>U4/U6.U5 tri-snRNP-associated protein 2</t>
  </si>
  <si>
    <t>ubiquitin carboxyl-terminal hydrolase 4</t>
  </si>
  <si>
    <t>ubiquitin carboxyl-terminal hydrolase 47 isoform 1</t>
  </si>
  <si>
    <t>ubiquitin carboxyl-terminal hydrolase 47 isoform 2</t>
  </si>
  <si>
    <t>ubiquitin carboxyl-terminal hydrolase 5</t>
  </si>
  <si>
    <t>ubiquitin carboxyl-terminal hydrolase 7</t>
  </si>
  <si>
    <t>ubiquitin carboxyl-terminal hydrolase 8 isoform 2</t>
  </si>
  <si>
    <t>ubiquitin carboxyl-terminal hydrolase 8 isoform 1</t>
  </si>
  <si>
    <t xml:space="preserve">probable ubiquitin carboxyl-terminal hydrolase FAF-X </t>
  </si>
  <si>
    <t>ubiquitin specific peptidase 9, Y chromosome</t>
  </si>
  <si>
    <t xml:space="preserve">SUMO-specific isopeptidase USPL1 isoform A </t>
  </si>
  <si>
    <t xml:space="preserve">SUMO-specific isopeptidase USPL1 isoform B </t>
  </si>
  <si>
    <t xml:space="preserve">SUMO-specific isopeptidase USPL1 isoform E </t>
  </si>
  <si>
    <t>uronyl 2-sulfotransferase</t>
  </si>
  <si>
    <t xml:space="preserve">U3 small nucleolar RNA-associated protein 15 homolog </t>
  </si>
  <si>
    <t>small subunit processome component 20 homolog</t>
  </si>
  <si>
    <t xml:space="preserve">something about silencing protein 10 </t>
  </si>
  <si>
    <t xml:space="preserve">utrophin </t>
  </si>
  <si>
    <t>urotensin-2 precursor</t>
  </si>
  <si>
    <t>UV radiation resistance associated</t>
  </si>
  <si>
    <t>UDP-glucuronic acid decarboxylase 1</t>
  </si>
  <si>
    <t>protein UXT</t>
  </si>
  <si>
    <t xml:space="preserve">protein VAC14 homolog </t>
  </si>
  <si>
    <t>vesicle-associated membrane protein 1 isoform b</t>
  </si>
  <si>
    <t>vesicle-associated membrane protein 1 isoform a</t>
  </si>
  <si>
    <t>vesicle-associated membrane protein 2</t>
  </si>
  <si>
    <t>vesicle-associated membrane protein 3</t>
  </si>
  <si>
    <t>vesicle-associated membrane protein 4</t>
  </si>
  <si>
    <t>vesicle-associated membrane protein 5</t>
  </si>
  <si>
    <t>vesicle-associated membrane protein 7</t>
  </si>
  <si>
    <t>vesicle-associated membrane protein 8</t>
  </si>
  <si>
    <t xml:space="preserve">vang-like protein 1 </t>
  </si>
  <si>
    <t xml:space="preserve">vang-like protein 1 isoform 2 </t>
  </si>
  <si>
    <t xml:space="preserve">vesicle-associated membrane protein-associated protein A </t>
  </si>
  <si>
    <t xml:space="preserve">vesicle-associated membrane protein-associated protein B </t>
  </si>
  <si>
    <t>valine--tRNA ligase</t>
  </si>
  <si>
    <t>valine--tRNA ligase, mitochondrial precursor</t>
  </si>
  <si>
    <t>vasorin precursor</t>
  </si>
  <si>
    <t>vasodilator-stimulated phosphoprotein isoform 2</t>
  </si>
  <si>
    <t>vasodilator-stimulated phosphoprotein isoform 3</t>
  </si>
  <si>
    <t>vasodilator-stimulated phosphoprotein isoform 1</t>
  </si>
  <si>
    <t>synaptic vesicle membrane protein VAT-1 homolog</t>
  </si>
  <si>
    <t xml:space="preserve">guanine nucleotide exchange factor VAV2 </t>
  </si>
  <si>
    <t xml:space="preserve">prefoldin subunit 3 </t>
  </si>
  <si>
    <t xml:space="preserve">vinculin </t>
  </si>
  <si>
    <t>transitional endoplasmic reticulum ATPase</t>
  </si>
  <si>
    <t xml:space="preserve">deubiquitinating protein VCIP135 </t>
  </si>
  <si>
    <t xml:space="preserve">protein-lysine methyltransferase METTL21D </t>
  </si>
  <si>
    <t xml:space="preserve">voltage-dependent anion-selective channel protein 1 </t>
  </si>
  <si>
    <t xml:space="preserve">voltage-dependent anion-selective channel protein 2 </t>
  </si>
  <si>
    <t xml:space="preserve">voltage-dependent anion-selective channel protein 3 isoform 1 </t>
  </si>
  <si>
    <t xml:space="preserve">voltage-dependent anion-selective channel protein 3 isoform 2 </t>
  </si>
  <si>
    <t>ventricular zone-expressed PH domain-containing protein 1</t>
  </si>
  <si>
    <t xml:space="preserve">von Hippel-Lindau disease tumor suppressor </t>
  </si>
  <si>
    <t xml:space="preserve">villin-1 </t>
  </si>
  <si>
    <t>villin-like protein isoform 1</t>
  </si>
  <si>
    <t>villin-like protein isoform 2</t>
  </si>
  <si>
    <t xml:space="preserve">vimentin </t>
  </si>
  <si>
    <t>selenoprotein S</t>
  </si>
  <si>
    <t>spermatogenesis-defective protein 39 homolog isoform b</t>
  </si>
  <si>
    <t>spermatogenesis-defective protein 39 homolog isoform a</t>
  </si>
  <si>
    <t>vitamin K epoxide reductase complex subunit 1 precursor</t>
  </si>
  <si>
    <t xml:space="preserve">vitamin K epoxide reductase complex subunit 1-like protein 1 isoform 3 </t>
  </si>
  <si>
    <t xml:space="preserve">vitamin K epoxide reductase complex subunit 1-like protein 1 isoform 2 </t>
  </si>
  <si>
    <t xml:space="preserve">vitamin K epoxide reductase complex subunit 1-like protein 1 isoform 1 </t>
  </si>
  <si>
    <t xml:space="preserve">very low-density lipoprotein receptor isoform a precursor </t>
  </si>
  <si>
    <t xml:space="preserve">very low-density lipoprotein receptor isoform b precursor </t>
  </si>
  <si>
    <t xml:space="preserve">vacuolar ATPase assembly integral membrane protein VMA21 </t>
  </si>
  <si>
    <t xml:space="preserve">vimentin-type intermediate filament-associated coiled-coil protein isoform 2 </t>
  </si>
  <si>
    <t xml:space="preserve">vimentin-type intermediate filament-associated coiled-coil protein isoform 1 </t>
  </si>
  <si>
    <t>vomeronasal 1 receptor, C3</t>
  </si>
  <si>
    <t>vomernasal 1 receptor Vmn1r68</t>
  </si>
  <si>
    <t>vomeronasal 1 receptor, E9</t>
  </si>
  <si>
    <t>vacuole membrane protein 1</t>
  </si>
  <si>
    <t>protein VPRBP</t>
  </si>
  <si>
    <t>vacuolar protein sorting-associated protein 11 homolog</t>
  </si>
  <si>
    <t xml:space="preserve">vacuolar protein sorting-associated protein 13A </t>
  </si>
  <si>
    <t xml:space="preserve">vacuolar protein sorting-associated protein 13C </t>
  </si>
  <si>
    <t xml:space="preserve">vacuolar protein sorting-associated protein 13D isoform 2 </t>
  </si>
  <si>
    <t xml:space="preserve">vacuolar protein sorting-associated protein 13D isoform 1 </t>
  </si>
  <si>
    <t>vacuolar protein sorting-associated protein 16 homolog</t>
  </si>
  <si>
    <t>vacuolar protein sorting-associated protein 18 homolog</t>
  </si>
  <si>
    <t>vacuolar protein-sorting-associated protein 25 isoform 1</t>
  </si>
  <si>
    <t>vacuolar protein-sorting-associated protein 25 isoform 2</t>
  </si>
  <si>
    <t xml:space="preserve">vacuolar protein sorting-associated protein 26A isoform b </t>
  </si>
  <si>
    <t xml:space="preserve">vacuolar protein sorting-associated protein 26A isoform a </t>
  </si>
  <si>
    <t xml:space="preserve">vacuolar protein sorting-associated protein 26B </t>
  </si>
  <si>
    <t>vacuolar protein sorting-associated protein 28 homolog</t>
  </si>
  <si>
    <t xml:space="preserve">vacuolar protein sorting-associated protein 29 </t>
  </si>
  <si>
    <t xml:space="preserve">vacuolar protein sorting-associated protein 33A </t>
  </si>
  <si>
    <t xml:space="preserve">vacuolar protein sorting-associated protein 33B </t>
  </si>
  <si>
    <t xml:space="preserve">vacuolar protein sorting-associated protein 35 </t>
  </si>
  <si>
    <t>vacuolar protein-sorting-associated protein 36</t>
  </si>
  <si>
    <t xml:space="preserve">vacuolar protein sorting-associated protein 37B </t>
  </si>
  <si>
    <t xml:space="preserve">vacuolar protein sorting-associated protein 37C </t>
  </si>
  <si>
    <t>vam6/Vps39-like protein isoform 1</t>
  </si>
  <si>
    <t>vam6/Vps39-like protein isoform 2</t>
  </si>
  <si>
    <t xml:space="preserve">vacuolar protein sorting-associated protein 45 </t>
  </si>
  <si>
    <t xml:space="preserve">vacuolar protein sorting-associated protein 4A </t>
  </si>
  <si>
    <t xml:space="preserve">vacuolar protein sorting-associated protein 4B </t>
  </si>
  <si>
    <t>vacuolar protein sorting-associated protein 51 homolog</t>
  </si>
  <si>
    <t>vacuolar protein sorting-associated protein 52 homolog</t>
  </si>
  <si>
    <t>PREDICTED: LOW QUALITY PROTEIN: vacuolar protein sorting-associated protein 52 homolog</t>
  </si>
  <si>
    <t>vacuolar protein sorting-associated protein 53 homolog</t>
  </si>
  <si>
    <t>vacuolar protein sorting-associated protein 8 homolog</t>
  </si>
  <si>
    <t xml:space="preserve">serine/threonine-protein kinase VRK1 isoform c </t>
  </si>
  <si>
    <t xml:space="preserve">serine/threonine-protein kinase VRK1 isoform b </t>
  </si>
  <si>
    <t xml:space="preserve">serine/threonine-protein kinase VRK1 isoform a </t>
  </si>
  <si>
    <t xml:space="preserve">V-set and immunoglobulin domain-containing protein 10 precursor </t>
  </si>
  <si>
    <t>vacuolar protein sorting-associated protein VTA1 homolog</t>
  </si>
  <si>
    <t>vesicle transport through interaction with t-SNAREs homolog 1A</t>
  </si>
  <si>
    <t>vesicle transport through interaction with t-SNAREs homolog 1B</t>
  </si>
  <si>
    <t xml:space="preserve">von Willebrand factor A domain-containing protein 5A </t>
  </si>
  <si>
    <t>von Willebrand factor A domain-containing protein 8 isoform 1 precursor</t>
  </si>
  <si>
    <t>von Willebrand factor A domain-containing protein 8 isoform 2 precursor</t>
  </si>
  <si>
    <t>UPF0464 protein C15orf44 homolog</t>
  </si>
  <si>
    <t>WW domain-containing adapter protein with coiled-coil isoform 2</t>
  </si>
  <si>
    <t xml:space="preserve">tryptophan--tRNA ligase, cytoplasmic isoform 2 </t>
  </si>
  <si>
    <t xml:space="preserve">tryptophan--tRNA ligase, cytoplasmic isoform 1 </t>
  </si>
  <si>
    <t>wiskott-Aldrich syndrome protein family member 1</t>
  </si>
  <si>
    <t>wiskott-Aldrich syndrome protein family member 2</t>
  </si>
  <si>
    <t xml:space="preserve">WAS protein family homolog 1 </t>
  </si>
  <si>
    <t>neural Wiskott-Aldrich syndrome protein isoform 1</t>
  </si>
  <si>
    <t>neural Wiskott-Aldrich syndrome protein isoform 2</t>
  </si>
  <si>
    <t>WW domain-binding protein 11</t>
  </si>
  <si>
    <t>WW domain binding protein 1-like isoform 2 precursor</t>
  </si>
  <si>
    <t>WW domain binding protein 1-like isoform 1 precursor</t>
  </si>
  <si>
    <t xml:space="preserve">WW domain binding protein 1-like isoform 3 </t>
  </si>
  <si>
    <t>WW domain-binding protein 2</t>
  </si>
  <si>
    <t>WW domain-binding protein 5</t>
  </si>
  <si>
    <t xml:space="preserve">Williams-Beuren syndrome chromosomal region 16 protein homolog </t>
  </si>
  <si>
    <t xml:space="preserve">uncharacterized methyltransferase WBSCR22 </t>
  </si>
  <si>
    <t>Williams-Beuren syndrome chromosomal region 27 protein</t>
  </si>
  <si>
    <t xml:space="preserve">Williams-Beuren syndrome chromosomal region 28 protein homolog isoform a </t>
  </si>
  <si>
    <t xml:space="preserve">Williams-Beuren syndrome chromosomal region 28 protein homolog isoform b </t>
  </si>
  <si>
    <t xml:space="preserve">WD repeat and FYVE domain containing 1 isoform 1 </t>
  </si>
  <si>
    <t xml:space="preserve">WD repeat and FYVE domain-containing protein 2 </t>
  </si>
  <si>
    <t xml:space="preserve">WD repeat and FYVE domain-containing protein 3 </t>
  </si>
  <si>
    <t xml:space="preserve">WD repeat and HMG-box DNA-binding protein 1 </t>
  </si>
  <si>
    <t>WD repeat-containing and planar cell polarity effector protein fritz homolog</t>
  </si>
  <si>
    <t>WD repeat-containing protein 1</t>
  </si>
  <si>
    <t>WD repeat-containing protein 11</t>
  </si>
  <si>
    <t>ribosome biogenesis protein WDR12</t>
  </si>
  <si>
    <t>WD repeat-containing protein 13 isoform 1</t>
  </si>
  <si>
    <t>WD repeat-containing protein 18</t>
  </si>
  <si>
    <t>WD repeat-containing protein 19</t>
  </si>
  <si>
    <t>WD repeat domain 20</t>
  </si>
  <si>
    <t>WD repeat-containing protein 20</t>
  </si>
  <si>
    <t>WD repeat-containing protein 26</t>
  </si>
  <si>
    <t>WD repeat-containing protein 3</t>
  </si>
  <si>
    <t>pre-mRNA 3' end processing protein WDR33 isoform 1</t>
  </si>
  <si>
    <t>WD repeat-containing protein 34</t>
  </si>
  <si>
    <t>WD repeat-containing protein 35 isoform 1</t>
  </si>
  <si>
    <t>WD repeat-containing protein 35 isoform 2</t>
  </si>
  <si>
    <t>WD repeat domain 36 isoform 3</t>
  </si>
  <si>
    <t>WD repeat domain 36 isoform 1</t>
  </si>
  <si>
    <t>WD repeat domain 36 isoform 2</t>
  </si>
  <si>
    <t>WD repeat-containing protein 37 isoform a</t>
  </si>
  <si>
    <t>WD repeat-containing protein 37 isoform b</t>
  </si>
  <si>
    <t>tRNA (guanine-N(7)-)-methyltransferase subunit WDR4</t>
  </si>
  <si>
    <t>WD repeat-containing protein 41</t>
  </si>
  <si>
    <t>WD repeat-containing protein 44</t>
  </si>
  <si>
    <t>WD repeat domain phosphoinositide-interacting protein 4</t>
  </si>
  <si>
    <t>WD repeat domain phosphoinositide-interacting protein 3</t>
  </si>
  <si>
    <t>WD repeat-containing protein 46</t>
  </si>
  <si>
    <t>WD repeat-containing protein 47</t>
  </si>
  <si>
    <t>WD repeat-containing protein 48</t>
  </si>
  <si>
    <t xml:space="preserve">PREDICTED: WD repeat-containing protein 49 </t>
  </si>
  <si>
    <t>WD repeat-containing protein 5</t>
  </si>
  <si>
    <t>WD repeat-containing protein 52</t>
  </si>
  <si>
    <t>WD repeat-containing protein 54</t>
  </si>
  <si>
    <t>WD repeat-containing protein 6</t>
  </si>
  <si>
    <t>WD repeat-containing protein 61 isoform b</t>
  </si>
  <si>
    <t>WD repeat-containing protein 61 isoform a</t>
  </si>
  <si>
    <t>WD repeat-containing protein 70</t>
  </si>
  <si>
    <t>WD repeat domain 72</t>
  </si>
  <si>
    <t>WD repeat-containing protein 73</t>
  </si>
  <si>
    <t>WD repeat-containing protein 74</t>
  </si>
  <si>
    <t>WD repeat-containing protein 76</t>
  </si>
  <si>
    <t xml:space="preserve">methylosome protein 50 </t>
  </si>
  <si>
    <t>WD repeat-containing protein 81</t>
  </si>
  <si>
    <t>WD repeat-containing protein 82</t>
  </si>
  <si>
    <t xml:space="preserve">WD repeat domain-containing protein 83 </t>
  </si>
  <si>
    <t>WD repeat-containing protein 91</t>
  </si>
  <si>
    <t>WD repeat-containing protein 92</t>
  </si>
  <si>
    <t>WD repeat, SAM and U-box domain-containing protein 1 isoform 2</t>
  </si>
  <si>
    <t>WD repeat, SAM and U-box domain-containing protein 1 isoform 1</t>
  </si>
  <si>
    <t>WD and tetratricopeptide repeats protein 1</t>
  </si>
  <si>
    <t>protein N-terminal glutamine amidohydrolase</t>
  </si>
  <si>
    <t xml:space="preserve">wolframin </t>
  </si>
  <si>
    <t xml:space="preserve">partner of Y14 and mago isoform 4 </t>
  </si>
  <si>
    <t xml:space="preserve">partner of Y14 and mago isoform 1 </t>
  </si>
  <si>
    <t xml:space="preserve">partner of Y14 and mago isoform 2 </t>
  </si>
  <si>
    <t>protein wntless homolog precursor</t>
  </si>
  <si>
    <t xml:space="preserve">serine/threonine-protein kinase WNK1 isoform 1 </t>
  </si>
  <si>
    <t xml:space="preserve">serine/threonine-protein kinase WNK1 isoform 2 </t>
  </si>
  <si>
    <t xml:space="preserve">serine/threonine-protein kinase WNK1 isoform 3 </t>
  </si>
  <si>
    <t xml:space="preserve">serine/threonine-protein kinase WNK1 isoform 4 </t>
  </si>
  <si>
    <t xml:space="preserve">serine/threonine-protein kinase WNK1 isoform 5 </t>
  </si>
  <si>
    <t xml:space="preserve">serine/threonine-protein kinase WNK2 </t>
  </si>
  <si>
    <t xml:space="preserve">serine/threonine-protein kinase WNK4 </t>
  </si>
  <si>
    <t xml:space="preserve">Werner syndrome ATP-dependent helicase homolog </t>
  </si>
  <si>
    <t>PREDICTED: Werner syndrome ATP-dependent helicase homolog</t>
  </si>
  <si>
    <t>ATPase WRNIP1</t>
  </si>
  <si>
    <t xml:space="preserve">pre-mRNA-splicing regulator WTAP isoform a </t>
  </si>
  <si>
    <t>protein KIBRA</t>
  </si>
  <si>
    <t>protein WWC2</t>
  </si>
  <si>
    <t xml:space="preserve">WW domain-containing oxidoreductase </t>
  </si>
  <si>
    <t xml:space="preserve">NEDD4-like E3 ubiquitin-protein ligase WWP1 </t>
  </si>
  <si>
    <t xml:space="preserve">NEDD4-like E3 ubiquitin-protein ligase WWP1 isoform 2 </t>
  </si>
  <si>
    <t xml:space="preserve">NEDD4-like E3 ubiquitin-protein ligase WWP2 </t>
  </si>
  <si>
    <t xml:space="preserve">pre-mRNA-splicing factor SYF1 </t>
  </si>
  <si>
    <t>E3 ubiquitin-protein ligase XIAP</t>
  </si>
  <si>
    <t xml:space="preserve">xaa-Pro aminopeptidase 1 </t>
  </si>
  <si>
    <t>probable Xaa-Pro aminopeptidase 3</t>
  </si>
  <si>
    <t xml:space="preserve">exportin-1 </t>
  </si>
  <si>
    <t xml:space="preserve">exportin-4 </t>
  </si>
  <si>
    <t xml:space="preserve">exportin-5 </t>
  </si>
  <si>
    <t xml:space="preserve">exportin-7 </t>
  </si>
  <si>
    <t xml:space="preserve">exportin-T </t>
  </si>
  <si>
    <t>DNA repair protein XRCC1</t>
  </si>
  <si>
    <t xml:space="preserve">X-ray repair cross-complementing protein 5 </t>
  </si>
  <si>
    <t xml:space="preserve">X-ray repair cross-complementing protein 6 </t>
  </si>
  <si>
    <t>mitochondrial inner membrane protease ATP23 homolog isoform 1</t>
  </si>
  <si>
    <t xml:space="preserve">5'-3' exoribonuclease 1 </t>
  </si>
  <si>
    <t xml:space="preserve">5'-3' exoribonuclease 2 </t>
  </si>
  <si>
    <t xml:space="preserve">X-ray radiation resistance-associated protein 1 </t>
  </si>
  <si>
    <t>xylulose kinase isoform 2</t>
  </si>
  <si>
    <t>xylulose kinase isoform 1</t>
  </si>
  <si>
    <t xml:space="preserve">YY1-associated factor 2 </t>
  </si>
  <si>
    <t>yorkie homolog isoform 1</t>
  </si>
  <si>
    <t>yorkie homolog isoform 2</t>
  </si>
  <si>
    <t xml:space="preserve">tyrosine--tRNA ligase, cytoplasmic </t>
  </si>
  <si>
    <t xml:space="preserve">tyrosine--tRNA ligase, mitochondrial </t>
  </si>
  <si>
    <t>rRNA maturation factor homolog</t>
  </si>
  <si>
    <t>nuclease-sensitive element-binding protein 1</t>
  </si>
  <si>
    <t xml:space="preserve">Y-box-binding protein 2 </t>
  </si>
  <si>
    <t xml:space="preserve">Y-box-binding protein 3 short isoform </t>
  </si>
  <si>
    <t xml:space="preserve">Y-box-binding protein 3 long isoform </t>
  </si>
  <si>
    <t xml:space="preserve">tyrosine-protein kinase Yes </t>
  </si>
  <si>
    <t>protein YIF1A</t>
  </si>
  <si>
    <t>protein YIF1B isoform 1</t>
  </si>
  <si>
    <t>protein YIF1B isoform 2</t>
  </si>
  <si>
    <t>protein YIPF3</t>
  </si>
  <si>
    <t>protein YIPF4</t>
  </si>
  <si>
    <t>protein YIPF5</t>
  </si>
  <si>
    <t>protein YIPF6</t>
  </si>
  <si>
    <t xml:space="preserve">synaptobrevin homolog YKT6 </t>
  </si>
  <si>
    <t>ATP-dependent zinc metalloprotease YME1L1</t>
  </si>
  <si>
    <t xml:space="preserve">protein yippee-like 5 </t>
  </si>
  <si>
    <t xml:space="preserve">yrdC domain-containing protein, mitochondrial precursor </t>
  </si>
  <si>
    <t xml:space="preserve">YTH domain family protein 1 </t>
  </si>
  <si>
    <t xml:space="preserve">YTH domain family protein 2 </t>
  </si>
  <si>
    <t xml:space="preserve">YTH domain family protein 3 isoform 1 </t>
  </si>
  <si>
    <t xml:space="preserve">YTH domain family protein 3 isoform 2 </t>
  </si>
  <si>
    <t xml:space="preserve">14-3-3 protein beta/alpha </t>
  </si>
  <si>
    <t xml:space="preserve">14-3-3 protein epsilon </t>
  </si>
  <si>
    <t xml:space="preserve">14-3-3 protein gamma </t>
  </si>
  <si>
    <t xml:space="preserve">14-3-3 protein eta </t>
  </si>
  <si>
    <t xml:space="preserve">14-3-3 protein theta </t>
  </si>
  <si>
    <t xml:space="preserve">14-3-3 protein zeta/delta isoform 1 </t>
  </si>
  <si>
    <t xml:space="preserve">14-3-3 protein zeta/delta isoform 2 </t>
  </si>
  <si>
    <t>transcriptional repressor protein YY1</t>
  </si>
  <si>
    <t>zinc-binding alcohol dehydrogenase domain-containing protein 2</t>
  </si>
  <si>
    <t>mitogen-activated protein kinase kinase kinase MLT isoform 1</t>
  </si>
  <si>
    <t xml:space="preserve">zonadhesin </t>
  </si>
  <si>
    <t>zinc finger BED domain-containing protein 4</t>
  </si>
  <si>
    <t xml:space="preserve">zinc finger and BTB domain containing 11 </t>
  </si>
  <si>
    <t>protein archease</t>
  </si>
  <si>
    <t>zinc finger C2HC domain-containing protein 1A</t>
  </si>
  <si>
    <t>zinc finger CCCH domain-containing protein 11A</t>
  </si>
  <si>
    <t>zinc finger CCCH domain-containing protein 14 isoform a</t>
  </si>
  <si>
    <t>zinc finger CCCH domain-containing protein 15</t>
  </si>
  <si>
    <t>zinc finger CCCH domain-containing protein 18 isoform b</t>
  </si>
  <si>
    <t>zinc finger CCCH domain-containing protein 18 isoform a</t>
  </si>
  <si>
    <t>zinc finger CCCH domain-containing protein 6</t>
  </si>
  <si>
    <t xml:space="preserve">zinc finger CCCH-type containing 7A </t>
  </si>
  <si>
    <t>zinc finger CCCH domain-containing protein 7B</t>
  </si>
  <si>
    <t>zinc finger CCCH domain-containing protein 8</t>
  </si>
  <si>
    <t>zinc finger CCCH-type antiviral protein 1 isoform 2</t>
  </si>
  <si>
    <t>zinc finger CCCH-type antiviral protein 1 isoform 1</t>
  </si>
  <si>
    <t>zinc finger CCHC domain-containing protein 10</t>
  </si>
  <si>
    <t>zinc finger CCHC domain-containing protein 13</t>
  </si>
  <si>
    <t xml:space="preserve">nucleolar protein of 40 kDa </t>
  </si>
  <si>
    <t>zinc finger CCHC domain-containing protein 4</t>
  </si>
  <si>
    <t xml:space="preserve">terminal uridylyltransferase 7 </t>
  </si>
  <si>
    <t>zinc finger CCHC domain-containing protein 8</t>
  </si>
  <si>
    <t>palmitoyltransferase ZDHHC5</t>
  </si>
  <si>
    <t xml:space="preserve">protein zer-1 homolog </t>
  </si>
  <si>
    <t xml:space="preserve">AN1-type zinc finger protein 1 </t>
  </si>
  <si>
    <t xml:space="preserve">AN1-type zinc finger protein 2B </t>
  </si>
  <si>
    <t xml:space="preserve">AN1-type zinc finger protein 3 </t>
  </si>
  <si>
    <t xml:space="preserve">AN1-type zinc finger protein 5 </t>
  </si>
  <si>
    <t xml:space="preserve">AN1-type zinc finger protein 6 </t>
  </si>
  <si>
    <t xml:space="preserve">proline/serine-rich coiled-coil 2 </t>
  </si>
  <si>
    <t xml:space="preserve">zinc finger homeobox protein 3 </t>
  </si>
  <si>
    <t>zinc finger protein 638 isoform 1</t>
  </si>
  <si>
    <t>zinc finger protein 142</t>
  </si>
  <si>
    <t>zinc finger protein 185 isoform a</t>
  </si>
  <si>
    <t>zinc finger protein 185 isoform b</t>
  </si>
  <si>
    <t>zinc finger protein 189</t>
  </si>
  <si>
    <t>zinc finger protein 207 isoform 1</t>
  </si>
  <si>
    <t>zinc finger protein 207 isoform 2</t>
  </si>
  <si>
    <t>zinc finger protein 207 isoform 3</t>
  </si>
  <si>
    <t>zinc finger protein 207 isoform 4</t>
  </si>
  <si>
    <t>zinc finger protein 236</t>
  </si>
  <si>
    <t>zinc finger protein 248</t>
  </si>
  <si>
    <t>zinc finger protein ZPR1</t>
  </si>
  <si>
    <t>zinc finger protein 292</t>
  </si>
  <si>
    <t>zinc finger protein 324A</t>
  </si>
  <si>
    <t>DBIRD complex subunit ZNF326</t>
  </si>
  <si>
    <t>zinc finger protein 346</t>
  </si>
  <si>
    <t>zinc finger protein 428</t>
  </si>
  <si>
    <t>zinc finger protein 511</t>
  </si>
  <si>
    <t>zinc finger protein 512</t>
  </si>
  <si>
    <t>zinc finger protein 593</t>
  </si>
  <si>
    <t>zinc finger protein 598</t>
  </si>
  <si>
    <t>zinc finger protein 605</t>
  </si>
  <si>
    <t>zinc finger protein 61</t>
  </si>
  <si>
    <t>zinc finger protein 612</t>
  </si>
  <si>
    <t>zinc finger protein 622</t>
  </si>
  <si>
    <t>zinc finger protein 628</t>
  </si>
  <si>
    <t>zinc finger protein 704</t>
  </si>
  <si>
    <t>zinc finger protein 706</t>
  </si>
  <si>
    <t>zinc finger protein 771</t>
  </si>
  <si>
    <t>zinc finger protein 804A</t>
  </si>
  <si>
    <t>zinc finger protein 804B</t>
  </si>
  <si>
    <t>zinc finger protein 830</t>
  </si>
  <si>
    <t>zinc finger protein 865</t>
  </si>
  <si>
    <t>E3 ubiquitin-protein ligase ZFP91</t>
  </si>
  <si>
    <t>zinc finger protein-like 1</t>
  </si>
  <si>
    <t>zinc finger RNA-binding protein</t>
  </si>
  <si>
    <t>zinc finger FYVE domain-containing protein 1</t>
  </si>
  <si>
    <t>zinc finger FYVE domain-containing protein 19 isoform 1</t>
  </si>
  <si>
    <t>zinc finger FYVE domain-containing protein 19 isoform 2</t>
  </si>
  <si>
    <t xml:space="preserve">rabenosyn-5 </t>
  </si>
  <si>
    <t>zinc finger FYVE domain-containing protein 26</t>
  </si>
  <si>
    <t>zinc fingers and homeoboxes protein 3</t>
  </si>
  <si>
    <t>zinc finger MIZ domain-containing protein 1</t>
  </si>
  <si>
    <t xml:space="preserve">CAAX prenyl protease 1 homolog </t>
  </si>
  <si>
    <t xml:space="preserve">zinc finger MYM-type protein 2 </t>
  </si>
  <si>
    <t xml:space="preserve">zinc finger MYM-type protein 5 </t>
  </si>
  <si>
    <t xml:space="preserve">NFX1-type zinc finger-containing protein 1 </t>
  </si>
  <si>
    <t xml:space="preserve">box C/D snoRNA protein 1 </t>
  </si>
  <si>
    <t>zinc finger Ran-binding domain-containing protein 2</t>
  </si>
  <si>
    <t>DNA annealing helicase and endonuclease ZRANB3</t>
  </si>
  <si>
    <t>zinc finger SWIM domain-containing protein 8 isoform 1</t>
  </si>
  <si>
    <t>zinc finger SWIM domain-containing protein 8 isoform 2</t>
  </si>
  <si>
    <t>zinc finger SWIM domain-containing protein 8 isoform 3</t>
  </si>
  <si>
    <t>centromere/kinetochore protein zw10 homolog</t>
  </si>
  <si>
    <t xml:space="preserve">protein zwilch homolog </t>
  </si>
  <si>
    <t>ZW10 interactor</t>
  </si>
  <si>
    <t xml:space="preserve">zinc finger X-linked protein ZXDA/ZXDB </t>
  </si>
  <si>
    <t>zinc finger protein ZXDC isoform 1</t>
  </si>
  <si>
    <t>zinc finger protein ZXDC isoform 2</t>
  </si>
  <si>
    <t xml:space="preserve">zyxin </t>
  </si>
  <si>
    <t>zinc finger ZZ-type and EF-hand domain-containing protein 1</t>
  </si>
  <si>
    <t>WASH complex subunit 7</t>
  </si>
  <si>
    <t>uncharacterized protein C10orf118 homolog</t>
  </si>
  <si>
    <t xml:space="preserve">expressed sequence AA414768 </t>
  </si>
  <si>
    <t>specifically androgen-regulated gene protein</t>
  </si>
  <si>
    <t xml:space="preserve">probable ergosterol biosynthetic protein 28 </t>
  </si>
  <si>
    <t xml:space="preserve">uncharacterized protein LOC66050 </t>
  </si>
  <si>
    <t xml:space="preserve">pre-mRNA branch site protein p14 </t>
  </si>
  <si>
    <t xml:space="preserve">uncharacterized protein KIAA1841 </t>
  </si>
  <si>
    <t>chromatin complexes subunit BAP18 isoform 4</t>
  </si>
  <si>
    <t>chromatin complexes subunit BAP18 isoform 1</t>
  </si>
  <si>
    <t>chromatin complexes subunit BAP18 isoform 3</t>
  </si>
  <si>
    <t>chromatin complexes subunit BAP18 isoform 5</t>
  </si>
  <si>
    <t>chromatin complexes subunit BAP18 isoform 6</t>
  </si>
  <si>
    <t>chromatin complexes subunit BAP18 isoform 2</t>
  </si>
  <si>
    <t>UPF0585 protein C16orf13 homolog</t>
  </si>
  <si>
    <t>lysosomal protein NCU-G1 precursor</t>
  </si>
  <si>
    <t>UPF0587 protein C1orf123 homolog</t>
  </si>
  <si>
    <t xml:space="preserve">uncharacterized protein LOC68554 </t>
  </si>
  <si>
    <t>UPF0562 protein C7orf55 homolog</t>
  </si>
  <si>
    <t xml:space="preserve">small acidic protein </t>
  </si>
  <si>
    <t xml:space="preserve">bcl10-interacting CARD protein </t>
  </si>
  <si>
    <t>uncharacterized protein C20orf24 homolog</t>
  </si>
  <si>
    <t>mitochondrial ribonuclease P protein 3 precursor</t>
  </si>
  <si>
    <t>uncharacterized protein CXorf40 homolog</t>
  </si>
  <si>
    <t>UPF0554 protein C2orf43 homolog isoform 2</t>
  </si>
  <si>
    <t>UPF0554 protein C2orf43 homolog isoform 3</t>
  </si>
  <si>
    <t>UPF0554 protein C2orf43 homolog isoform 1</t>
  </si>
  <si>
    <t xml:space="preserve">UPF0369 protein C6orf57 homolog precursor </t>
  </si>
  <si>
    <t xml:space="preserve">protein C19orf12 homolog </t>
  </si>
  <si>
    <t xml:space="preserve">diamine oxidase-like protein 1 precursor </t>
  </si>
  <si>
    <t xml:space="preserve">uncharacterized protein LOC75471 </t>
  </si>
  <si>
    <t>uncharacterized protein C2orf61 homolog</t>
  </si>
  <si>
    <t xml:space="preserve">uncharacterized protein LOC75444 </t>
  </si>
  <si>
    <t>UPF0733 protein C2orf88 homolog</t>
  </si>
  <si>
    <t>mage-g2 protein</t>
  </si>
  <si>
    <t>uncharacterized protein C6orf203 homolog</t>
  </si>
  <si>
    <t>UPF0687 protein C20orf27 homolog</t>
  </si>
  <si>
    <t>UPF0364 protein C6orf211 homolog</t>
  </si>
  <si>
    <t>aldehyde dehydrogenase 3 family, member B2-like</t>
  </si>
  <si>
    <t xml:space="preserve">prohibitin-like </t>
  </si>
  <si>
    <t xml:space="preserve">uncharacterized protein LOC73532 </t>
  </si>
  <si>
    <t xml:space="preserve">uncharacterized protein LOC66276 </t>
  </si>
  <si>
    <t>acetylserotonin O-methyltransferase-like</t>
  </si>
  <si>
    <t>uncharacterized protein C8orf59 homolog</t>
  </si>
  <si>
    <t>uncharacterized protein C19orf52 homolog</t>
  </si>
  <si>
    <t>uncharacterized protein C4orf3 homolog</t>
  </si>
  <si>
    <t xml:space="preserve">uncharacterized protein LOC112419 </t>
  </si>
  <si>
    <t>UPF0693 protein C10orf32 homolog</t>
  </si>
  <si>
    <t>6.8 kDa mitochondrial proteolipid</t>
  </si>
  <si>
    <t>uncharacterized protein C10orf35 homolog</t>
  </si>
  <si>
    <t xml:space="preserve">uncharacterized protein LOC72097 </t>
  </si>
  <si>
    <t>PREDICTED: uncharacterized protein LOC113230 isoform 3</t>
  </si>
  <si>
    <t>uncharacterized protein C12orf43 homolog</t>
  </si>
  <si>
    <t>uncharacterized protein C2orf54 homolog</t>
  </si>
  <si>
    <t>UPF0449 protein C19orf25 homolog</t>
  </si>
  <si>
    <t>multiple myeloma tumor-associated protein 2 homolog</t>
  </si>
  <si>
    <t xml:space="preserve">lisH domain and HEAT repeat-containing protein KIAA1468 isoform 1 </t>
  </si>
  <si>
    <t xml:space="preserve">lisH domain and HEAT repeat-containing protein KIAA1468 isoform 2 </t>
  </si>
  <si>
    <t>uncharacterized protein C19orf43 homolog</t>
  </si>
  <si>
    <t>uncharacterized protein C6orf226 homolog</t>
  </si>
  <si>
    <t>uncharacterized protein C17orf59 homolog</t>
  </si>
  <si>
    <t xml:space="preserve">uncharacterized protein LOC668661 </t>
  </si>
  <si>
    <t>UPF0690 protein C1orf52 homolog</t>
  </si>
  <si>
    <t>SCAN domain containing 3</t>
  </si>
  <si>
    <t xml:space="preserve">PREDICTED: UPF0586 protein C9orf41 homolog isoform 2 </t>
  </si>
  <si>
    <t xml:space="preserve">PREDICTED: UPF0586 protein C9orf41 homolog isoform 3 </t>
  </si>
  <si>
    <t xml:space="preserve">PREDICTED: UPF0586 protein C9orf41 homolog isoform 1 </t>
  </si>
  <si>
    <t>UPF0545 protein C22orf39 homolog</t>
  </si>
  <si>
    <t>KIF1-binding protein</t>
  </si>
  <si>
    <t>uncharacterized protein KIAA2013 precursor</t>
  </si>
  <si>
    <t xml:space="preserve">uncharacterized protein LOC70291 </t>
  </si>
  <si>
    <t xml:space="preserve">serine/threonine-protein kinase MST4 </t>
  </si>
  <si>
    <t>UPF0552 protein C15orf38 homolog</t>
  </si>
  <si>
    <t>UPF0609 protein C4orf27 homolog</t>
  </si>
  <si>
    <t>erythroid differentiation-related factor 1</t>
  </si>
  <si>
    <t>UPF0568 protein C14orf166 homolog</t>
  </si>
  <si>
    <t>UPF0711 protein C18orf21 homolog</t>
  </si>
  <si>
    <t xml:space="preserve">uncharacterized protein LOC381820 isoform 3 </t>
  </si>
  <si>
    <t xml:space="preserve">uncharacterized protein LOC381820 isoform 1 </t>
  </si>
  <si>
    <t xml:space="preserve">uncharacterized protein LOC381820 isoform 2 </t>
  </si>
  <si>
    <t>selenoprotein H</t>
  </si>
  <si>
    <t xml:space="preserve">uncharacterized protein LOC381406 </t>
  </si>
  <si>
    <t>PCNA-associated factor</t>
  </si>
  <si>
    <t>uncharacterized protein C19orf60 homolog</t>
  </si>
  <si>
    <t>uncharacterized protein C18orf8 homolog</t>
  </si>
  <si>
    <t>UPF0235 protein C15orf40 homolog</t>
  </si>
  <si>
    <t>uncharacterized protein C7orf50 homolog</t>
  </si>
  <si>
    <t xml:space="preserve">uncharacterized protein LOC239673 </t>
  </si>
  <si>
    <t xml:space="preserve">uncharacterized protein LOC70909 </t>
  </si>
  <si>
    <t>UPF0547 protein C16orf87 homolog</t>
  </si>
  <si>
    <t xml:space="preserve">centrosomal protein of 162 kDa </t>
  </si>
  <si>
    <t xml:space="preserve">uncharacterized protein LOC74847 </t>
  </si>
  <si>
    <t>uncharacterized protein C12orf29 homolog</t>
  </si>
  <si>
    <t xml:space="preserve">shootin-1 isoform 1 </t>
  </si>
  <si>
    <t xml:space="preserve">shootin-1 isoform 2 </t>
  </si>
  <si>
    <t>ras homolog gene family, member A-like</t>
  </si>
  <si>
    <t>uncharacterized protein C4orf46 homolog</t>
  </si>
  <si>
    <t>ester hydrolase C11orf54 homolog</t>
  </si>
  <si>
    <t>IQ and AAA domain-containing protein 1-like</t>
  </si>
  <si>
    <t xml:space="preserve">uncharacterized protein LOC70989 </t>
  </si>
  <si>
    <t xml:space="preserve">uncharacterized protein LOC240755 </t>
  </si>
  <si>
    <t xml:space="preserve">uncharacterized protein KIAA0753 </t>
  </si>
  <si>
    <t>protein Njmu-R1</t>
  </si>
  <si>
    <t>uncharacterized protein C4orf32 homolog</t>
  </si>
  <si>
    <t>UPF0489 protein C5orf22 homolog isoform b</t>
  </si>
  <si>
    <t>uncharacterized protein C18orf25 homolog</t>
  </si>
  <si>
    <t xml:space="preserve">uncharacterized protein KIAA1467 </t>
  </si>
  <si>
    <t>UPF0317 protein C14orf159 homolog, mitochondrial precursor</t>
  </si>
  <si>
    <t>UPF0505 protein C16orf62 homolog</t>
  </si>
  <si>
    <t>UPF0668 protein C10orf76 homolog</t>
  </si>
  <si>
    <t xml:space="preserve">UPF0577 protein KIAA1324-like homolog precursor </t>
  </si>
  <si>
    <t>uncharacterized protein C2orf47 homolog, mitochondrial precursor</t>
  </si>
  <si>
    <t xml:space="preserve">autophagy-related protein 101 </t>
  </si>
  <si>
    <t xml:space="preserve">uncharacterized protein LOC77252 </t>
  </si>
  <si>
    <t xml:space="preserve">Fc fragment of IgG binding protein-like precursor </t>
  </si>
  <si>
    <t>fructose-2,6-bisphosphatase TIGAR</t>
  </si>
  <si>
    <t xml:space="preserve">suppressor of glucose by autophagy </t>
  </si>
  <si>
    <t xml:space="preserve">uncharacterized protein LOC240613 </t>
  </si>
  <si>
    <t>-</t>
  </si>
  <si>
    <t>GI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</si>
</sst>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061E96"/>
      <name val="Calibri"/>
      <family val="2"/>
      <scheme val="minor"/>
    </font>
    <font>
      <u/>
      <sz val="11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4" fillId="0" borderId="0" xfId="1"/>
    <xf numFmtId="0" fontId="2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4047-E968-41BE-BC1E-8E8528FA5C19}">
  <dimension ref="A3:K8612"/>
  <sheetViews>
    <sheetView tabSelected="1" topLeftCell="A3" zoomScale="95" zoomScaleNormal="95" workbookViewId="0">
      <selection activeCell="C3" sqref="C3:I8612"/>
    </sheetView>
  </sheetViews>
  <sheetFormatPr defaultRowHeight="14.25" x14ac:dyDescent="0.2"/>
  <cols>
    <col min="1" max="1" width="8.796875" customWidth="1"/>
    <col min="2" max="2" width="1.69921875" customWidth="1"/>
    <col min="3" max="3" width="10.296875" bestFit="1" customWidth="1"/>
    <col min="4" max="4" width="1.69921875" customWidth="1"/>
    <col min="5" max="5" width="8.19921875" bestFit="1" customWidth="1"/>
    <col min="6" max="6" width="1.69921875" customWidth="1"/>
    <col min="7" max="7" width="93.8984375" bestFit="1" customWidth="1"/>
    <col min="8" max="8" width="1.69921875" customWidth="1"/>
    <col min="9" max="9" width="7.69921875" bestFit="1" customWidth="1"/>
    <col min="11" max="11" width="14.09765625" customWidth="1"/>
    <col min="13" max="13" width="10" customWidth="1"/>
  </cols>
  <sheetData>
    <row r="3" spans="1:11" ht="15" x14ac:dyDescent="0.25">
      <c r="A3" s="1"/>
      <c r="C3" s="1"/>
      <c r="D3" s="4"/>
      <c r="E3" s="1"/>
      <c r="F3" s="4"/>
      <c r="G3" s="1"/>
      <c r="H3" s="4"/>
      <c r="I3" s="1"/>
    </row>
    <row r="4" spans="1:11" ht="15" x14ac:dyDescent="0.25">
      <c r="A4" s="2" t="s">
        <v>8361</v>
      </c>
      <c r="C4" s="2" t="s">
        <v>0</v>
      </c>
      <c r="D4" s="5"/>
      <c r="E4" s="2" t="s">
        <v>1</v>
      </c>
      <c r="F4" s="5"/>
      <c r="G4" s="9" t="s">
        <v>2</v>
      </c>
      <c r="H4" s="5"/>
      <c r="I4" s="2" t="s">
        <v>3</v>
      </c>
    </row>
    <row r="5" spans="1:11" ht="15" x14ac:dyDescent="0.25">
      <c r="A5" s="3" t="str">
        <f>HYPERLINK("proteomic_fractions_linear_files/Yang_linear_img/124487289.jpg", "124487289")</f>
        <v>124487289</v>
      </c>
      <c r="C5" s="3" t="str">
        <f>HYPERLINK("http://www.ncbi.nlm.nih.gov/protein/124487289","A1cf")</f>
        <v>A1cf</v>
      </c>
      <c r="E5" t="str">
        <f>HYPERLINK("J:\Depot - mpkCCD Fractions\Main Web Page\Web Pages_old\proteomic_fractions_linear_files/Yang_linear_img/124487289.jpg","show blot")</f>
        <v>show blot</v>
      </c>
      <c r="G5" t="s">
        <v>4</v>
      </c>
      <c r="I5" s="6">
        <v>4.0848441616196052</v>
      </c>
      <c r="K5" s="8"/>
    </row>
    <row r="6" spans="1:11" ht="15" x14ac:dyDescent="0.25">
      <c r="A6" s="3" t="str">
        <f>HYPERLINK("proteomic_fractions_linear_files/Yang_linear_img/283483963.jpg", "283483963")</f>
        <v>283483963</v>
      </c>
      <c r="C6" s="3" t="str">
        <f>HYPERLINK("http://www.ncbi.nlm.nih.gov/protein/283483963","A4galt")</f>
        <v>A4galt</v>
      </c>
      <c r="E6" t="str">
        <f>HYPERLINK("J:\Depot - mpkCCD Fractions\Main Web Page\Web Pages_old\proteomic_fractions_linear_files/Yang_linear_img/283483963.jpg","show blot")</f>
        <v>show blot</v>
      </c>
      <c r="G6" t="s">
        <v>5</v>
      </c>
      <c r="I6" s="6">
        <v>2.8869719379440459</v>
      </c>
      <c r="K6" s="8"/>
    </row>
    <row r="7" spans="1:11" ht="15" x14ac:dyDescent="0.25">
      <c r="A7" s="3" t="str">
        <f>HYPERLINK("proteomic_fractions_linear_files/Yang_linear_img/241982696.jpg", "241982696")</f>
        <v>241982696</v>
      </c>
      <c r="C7" s="3" t="str">
        <f>HYPERLINK("http://www.ncbi.nlm.nih.gov/protein/241982696","Aaas")</f>
        <v>Aaas</v>
      </c>
      <c r="E7" t="str">
        <f>HYPERLINK("J:\Depot - mpkCCD Fractions\Main Web Page\Web Pages_old\proteomic_fractions_linear_files/Yang_linear_img/241982696.jpg","show blot")</f>
        <v>show blot</v>
      </c>
      <c r="G7" t="s">
        <v>6</v>
      </c>
      <c r="I7" s="6">
        <v>3.956029766013764</v>
      </c>
      <c r="K7" s="8"/>
    </row>
    <row r="8" spans="1:11" ht="15" x14ac:dyDescent="0.25">
      <c r="A8" s="3" t="str">
        <f>HYPERLINK("proteomic_fractions_linear_files/Yang_linear_img/21313520.jpg", "21313520")</f>
        <v>21313520</v>
      </c>
      <c r="C8" s="3" t="str">
        <f>HYPERLINK("http://www.ncbi.nlm.nih.gov/protein/21313520","Aacs")</f>
        <v>Aacs</v>
      </c>
      <c r="E8" t="str">
        <f>HYPERLINK("J:\Depot - mpkCCD Fractions\Main Web Page\Web Pages_old\proteomic_fractions_linear_files/Yang_linear_img/21313520.jpg","show blot")</f>
        <v>show blot</v>
      </c>
      <c r="G8" t="s">
        <v>7</v>
      </c>
      <c r="I8" s="6">
        <v>5.3800909791802631</v>
      </c>
      <c r="K8" s="8"/>
    </row>
    <row r="9" spans="1:11" ht="15" x14ac:dyDescent="0.25">
      <c r="A9" s="3" t="str">
        <f>HYPERLINK("proteomic_fractions_linear_files/Yang_linear_img/110625673.jpg", "110625673")</f>
        <v>110625673</v>
      </c>
      <c r="C9" s="3" t="str">
        <f>HYPERLINK("http://www.ncbi.nlm.nih.gov/protein/110625673","Aagab")</f>
        <v>Aagab</v>
      </c>
      <c r="E9" t="str">
        <f>HYPERLINK("J:\Depot - mpkCCD Fractions\Main Web Page\Web Pages_old\proteomic_fractions_linear_files/Yang_linear_img/110625673.jpg","show blot")</f>
        <v>show blot</v>
      </c>
      <c r="G9" t="s">
        <v>8</v>
      </c>
      <c r="I9" s="6">
        <v>3.8233853718290045</v>
      </c>
      <c r="K9" s="8"/>
    </row>
    <row r="10" spans="1:11" ht="15" x14ac:dyDescent="0.25">
      <c r="A10" s="3" t="str">
        <f>HYPERLINK("proteomic_fractions_linear_files/Yang_linear_img/73695877.jpg", "73695877")</f>
        <v>73695877</v>
      </c>
      <c r="C10" s="3" t="str">
        <f>HYPERLINK("http://www.ncbi.nlm.nih.gov/protein/73695877","Aak1")</f>
        <v>Aak1</v>
      </c>
      <c r="E10" t="str">
        <f>HYPERLINK("J:\Depot - mpkCCD Fractions\Main Web Page\Web Pages_old\proteomic_fractions_linear_files/Yang_linear_img/73695877.jpg","show blot")</f>
        <v>show blot</v>
      </c>
      <c r="G10" t="s">
        <v>9</v>
      </c>
      <c r="I10" s="6">
        <v>4.201654505003269</v>
      </c>
      <c r="K10" s="8"/>
    </row>
    <row r="11" spans="1:11" ht="15" x14ac:dyDescent="0.25">
      <c r="A11" s="3" t="str">
        <f>HYPERLINK("proteomic_fractions_linear_files/Yang_linear_img/91992157.jpg", "91992157")</f>
        <v>91992157</v>
      </c>
      <c r="C11" s="3" t="str">
        <f>HYPERLINK("http://www.ncbi.nlm.nih.gov/protein/91992157","Aak1")</f>
        <v>Aak1</v>
      </c>
      <c r="E11" t="str">
        <f>HYPERLINK("J:\Depot - mpkCCD Fractions\Main Web Page\Web Pages_old\proteomic_fractions_linear_files/Yang_linear_img/91992157.jpg","show blot")</f>
        <v>show blot</v>
      </c>
      <c r="G11" t="s">
        <v>10</v>
      </c>
      <c r="I11" s="6">
        <v>4.201654505003269</v>
      </c>
      <c r="K11" s="8"/>
    </row>
    <row r="12" spans="1:11" ht="15" x14ac:dyDescent="0.25">
      <c r="A12" s="3" t="str">
        <f>HYPERLINK("proteomic_fractions_linear_files/Yang_linear_img/295789038.jpg", "295789038")</f>
        <v>295789038</v>
      </c>
      <c r="C12" s="3" t="str">
        <f>HYPERLINK("http://www.ncbi.nlm.nih.gov/protein/295789038","Aamdc")</f>
        <v>Aamdc</v>
      </c>
      <c r="E12" t="str">
        <f>HYPERLINK("J:\Depot - mpkCCD Fractions\Main Web Page\Web Pages_old\proteomic_fractions_linear_files/Yang_linear_img/295789038.jpg","show blot")</f>
        <v>show blot</v>
      </c>
      <c r="G12" t="s">
        <v>11</v>
      </c>
      <c r="I12" s="6">
        <v>5.3199527540632854</v>
      </c>
      <c r="K12" s="8"/>
    </row>
    <row r="13" spans="1:11" ht="15" x14ac:dyDescent="0.25">
      <c r="A13" s="3" t="str">
        <f>HYPERLINK("proteomic_fractions_linear_files/Yang_linear_img/295789042.jpg", "295789042")</f>
        <v>295789042</v>
      </c>
      <c r="C13" s="3" t="str">
        <f>HYPERLINK("http://www.ncbi.nlm.nih.gov/protein/295789042","Aamdc")</f>
        <v>Aamdc</v>
      </c>
      <c r="E13" t="str">
        <f>HYPERLINK("J:\Depot - mpkCCD Fractions\Main Web Page\Web Pages_old\proteomic_fractions_linear_files/Yang_linear_img/295789042.jpg","show blot")</f>
        <v>show blot</v>
      </c>
      <c r="G13" t="s">
        <v>12</v>
      </c>
      <c r="I13" s="6">
        <v>5.3199527540632854</v>
      </c>
      <c r="K13" s="8"/>
    </row>
    <row r="14" spans="1:11" ht="15" x14ac:dyDescent="0.25">
      <c r="A14" s="3" t="str">
        <f>HYPERLINK("proteomic_fractions_linear_files/Yang_linear_img/295789044.jpg", "295789044")</f>
        <v>295789044</v>
      </c>
      <c r="C14" s="3" t="str">
        <f>HYPERLINK("http://www.ncbi.nlm.nih.gov/protein/295789044","Aamdc")</f>
        <v>Aamdc</v>
      </c>
      <c r="E14" t="str">
        <f>HYPERLINK("J:\Depot - mpkCCD Fractions\Main Web Page\Web Pages_old\proteomic_fractions_linear_files/Yang_linear_img/295789044.jpg","show blot")</f>
        <v>show blot</v>
      </c>
      <c r="G14" t="s">
        <v>13</v>
      </c>
      <c r="I14" s="6">
        <v>5.3199527540632854</v>
      </c>
      <c r="K14" s="8"/>
    </row>
    <row r="15" spans="1:11" ht="15" x14ac:dyDescent="0.25">
      <c r="A15" s="3" t="str">
        <f>HYPERLINK("proteomic_fractions_linear_files/Yang_linear_img/40254393.jpg", "40254393")</f>
        <v>40254393</v>
      </c>
      <c r="C15" s="3" t="str">
        <f>HYPERLINK("http://www.ncbi.nlm.nih.gov/protein/40254393","Aamdc")</f>
        <v>Aamdc</v>
      </c>
      <c r="E15" t="str">
        <f>HYPERLINK("J:\Depot - mpkCCD Fractions\Main Web Page\Web Pages_old\proteomic_fractions_linear_files/Yang_linear_img/40254393.jpg","show blot")</f>
        <v>show blot</v>
      </c>
      <c r="G15" t="s">
        <v>14</v>
      </c>
      <c r="I15" s="6">
        <v>5.3199527540632854</v>
      </c>
      <c r="K15" s="8"/>
    </row>
    <row r="16" spans="1:11" ht="15" x14ac:dyDescent="0.25">
      <c r="A16" s="3" t="str">
        <f>HYPERLINK("proteomic_fractions_linear_files/Yang_linear_img/299473737.jpg", "299473737")</f>
        <v>299473737</v>
      </c>
      <c r="C16" s="3" t="str">
        <f>HYPERLINK("http://www.ncbi.nlm.nih.gov/protein/299473737","Aamp")</f>
        <v>Aamp</v>
      </c>
      <c r="E16" t="str">
        <f>HYPERLINK("J:\Depot - mpkCCD Fractions\Main Web Page\Web Pages_old\proteomic_fractions_linear_files/Yang_linear_img/299473737.jpg","show blot")</f>
        <v>show blot</v>
      </c>
      <c r="G16" t="s">
        <v>15</v>
      </c>
      <c r="I16" s="6">
        <v>4.7508920113086139</v>
      </c>
      <c r="K16" s="8"/>
    </row>
    <row r="17" spans="1:11" ht="15" x14ac:dyDescent="0.25">
      <c r="A17" s="3" t="str">
        <f>HYPERLINK("proteomic_fractions_linear_files/Yang_linear_img/82524294.jpg", "82524294")</f>
        <v>82524294</v>
      </c>
      <c r="C17" s="3" t="str">
        <f>HYPERLINK("http://www.ncbi.nlm.nih.gov/protein/82524294","Aamp")</f>
        <v>Aamp</v>
      </c>
      <c r="E17" t="str">
        <f>HYPERLINK("J:\Depot - mpkCCD Fractions\Main Web Page\Web Pages_old\proteomic_fractions_linear_files/Yang_linear_img/82524294.jpg","show blot")</f>
        <v>show blot</v>
      </c>
      <c r="G17" t="s">
        <v>16</v>
      </c>
      <c r="I17" s="6">
        <v>4.7508920113086139</v>
      </c>
      <c r="K17" s="8"/>
    </row>
    <row r="18" spans="1:11" ht="15" x14ac:dyDescent="0.25">
      <c r="A18" s="3" t="str">
        <f>HYPERLINK("proteomic_fractions_linear_files/Yang_linear_img/258679441.jpg", "258679441")</f>
        <v>258679441</v>
      </c>
      <c r="C18" s="3" t="str">
        <f>HYPERLINK("http://www.ncbi.nlm.nih.gov/protein/258679441","Aar2")</f>
        <v>Aar2</v>
      </c>
      <c r="E18" t="str">
        <f>HYPERLINK("J:\Depot - mpkCCD Fractions\Main Web Page\Web Pages_old\proteomic_fractions_linear_files/Yang_linear_img/258679441.jpg","show blot")</f>
        <v>show blot</v>
      </c>
      <c r="G18" t="s">
        <v>17</v>
      </c>
      <c r="I18" s="6">
        <v>4.2024016962494875</v>
      </c>
      <c r="K18" s="8"/>
    </row>
    <row r="19" spans="1:11" ht="15" x14ac:dyDescent="0.25">
      <c r="A19" s="3" t="str">
        <f>HYPERLINK("proteomic_fractions_linear_files/Yang_linear_img/34610207.jpg", "34610207")</f>
        <v>34610207</v>
      </c>
      <c r="C19" s="3" t="str">
        <f>HYPERLINK("http://www.ncbi.nlm.nih.gov/protein/34610207","Aars")</f>
        <v>Aars</v>
      </c>
      <c r="E19" t="str">
        <f>HYPERLINK("J:\Depot - mpkCCD Fractions\Main Web Page\Web Pages_old\proteomic_fractions_linear_files/Yang_linear_img/34610207.jpg","show blot")</f>
        <v>show blot</v>
      </c>
      <c r="G19" t="s">
        <v>18</v>
      </c>
      <c r="I19" s="6">
        <v>5.8247121873022145</v>
      </c>
      <c r="K19" s="8"/>
    </row>
    <row r="20" spans="1:11" ht="15" x14ac:dyDescent="0.25">
      <c r="A20" s="3" t="str">
        <f>HYPERLINK("proteomic_fractions_linear_files/Yang_linear_img/52630311.jpg", "52630311")</f>
        <v>52630311</v>
      </c>
      <c r="C20" s="3" t="str">
        <f>HYPERLINK("http://www.ncbi.nlm.nih.gov/protein/52630311","Aars2")</f>
        <v>Aars2</v>
      </c>
      <c r="E20" t="str">
        <f>HYPERLINK("J:\Depot - mpkCCD Fractions\Main Web Page\Web Pages_old\proteomic_fractions_linear_files/Yang_linear_img/52630311.jpg","show blot")</f>
        <v>show blot</v>
      </c>
      <c r="G20" t="s">
        <v>19</v>
      </c>
      <c r="I20" s="6">
        <v>2.9036249746255018</v>
      </c>
      <c r="K20" s="8"/>
    </row>
    <row r="21" spans="1:11" ht="15" x14ac:dyDescent="0.25">
      <c r="A21" s="3" t="str">
        <f>HYPERLINK("proteomic_fractions_linear_files/Yang_linear_img/21450213.jpg", "21450213")</f>
        <v>21450213</v>
      </c>
      <c r="C21" s="3" t="str">
        <f>HYPERLINK("http://www.ncbi.nlm.nih.gov/protein/21450213","Aarsd1")</f>
        <v>Aarsd1</v>
      </c>
      <c r="E21" t="str">
        <f>HYPERLINK("J:\Depot - mpkCCD Fractions\Main Web Page\Web Pages_old\proteomic_fractions_linear_files/Yang_linear_img/21450213.jpg","show blot")</f>
        <v>show blot</v>
      </c>
      <c r="G21" t="s">
        <v>20</v>
      </c>
      <c r="I21" s="6">
        <v>5.4439856766534493</v>
      </c>
      <c r="K21" s="8"/>
    </row>
    <row r="22" spans="1:11" ht="15" x14ac:dyDescent="0.25">
      <c r="A22" s="3" t="str">
        <f>HYPERLINK("proteomic_fractions_linear_files/Yang_linear_img/227496837.jpg", "227496837")</f>
        <v>227496837</v>
      </c>
      <c r="C22" s="3" t="str">
        <f>HYPERLINK("http://www.ncbi.nlm.nih.gov/protein/227496837","Aasdhppt")</f>
        <v>Aasdhppt</v>
      </c>
      <c r="E22" t="str">
        <f>HYPERLINK("J:\Depot - mpkCCD Fractions\Main Web Page\Web Pages_old\proteomic_fractions_linear_files/Yang_linear_img/227496837.jpg","show blot")</f>
        <v>show blot</v>
      </c>
      <c r="G22" t="s">
        <v>21</v>
      </c>
      <c r="I22" s="6">
        <v>3.0877240394929233</v>
      </c>
      <c r="K22" s="8"/>
    </row>
    <row r="23" spans="1:11" ht="15" x14ac:dyDescent="0.25">
      <c r="A23" s="3" t="str">
        <f>HYPERLINK("proteomic_fractions_linear_files/Yang_linear_img/9790013.jpg", "9790013")</f>
        <v>9790013</v>
      </c>
      <c r="C23" s="3" t="str">
        <f>HYPERLINK("http://www.ncbi.nlm.nih.gov/protein/9790013","Aatf")</f>
        <v>Aatf</v>
      </c>
      <c r="E23" t="str">
        <f>HYPERLINK("J:\Depot - mpkCCD Fractions\Main Web Page\Web Pages_old\proteomic_fractions_linear_files/Yang_linear_img/9790013.jpg","show blot")</f>
        <v>show blot</v>
      </c>
      <c r="G23" t="s">
        <v>22</v>
      </c>
      <c r="I23" s="6">
        <v>3.3005217709759664</v>
      </c>
      <c r="K23" s="8"/>
    </row>
    <row r="24" spans="1:11" ht="15" x14ac:dyDescent="0.25">
      <c r="A24" s="3" t="str">
        <f>HYPERLINK("proteomic_fractions_linear_files/Yang_linear_img/283483966.jpg", "283483966")</f>
        <v>283483966</v>
      </c>
      <c r="C24" s="3" t="str">
        <f>HYPERLINK("http://www.ncbi.nlm.nih.gov/protein/283483966","Abat")</f>
        <v>Abat</v>
      </c>
      <c r="E24" t="str">
        <f>HYPERLINK("J:\Depot - mpkCCD Fractions\Main Web Page\Web Pages_old\proteomic_fractions_linear_files/Yang_linear_img/283483966.jpg","show blot")</f>
        <v>show blot</v>
      </c>
      <c r="G24" t="s">
        <v>23</v>
      </c>
      <c r="I24" s="6">
        <v>3.5932136939523076</v>
      </c>
      <c r="K24" s="8"/>
    </row>
    <row r="25" spans="1:11" ht="15" x14ac:dyDescent="0.25">
      <c r="A25" s="3" t="str">
        <f>HYPERLINK("proteomic_fractions_linear_files/Yang_linear_img/37202121.jpg", "37202121")</f>
        <v>37202121</v>
      </c>
      <c r="C25" s="3" t="str">
        <f>HYPERLINK("http://www.ncbi.nlm.nih.gov/protein/37202121","Abat")</f>
        <v>Abat</v>
      </c>
      <c r="E25" t="str">
        <f>HYPERLINK("J:\Depot - mpkCCD Fractions\Main Web Page\Web Pages_old\proteomic_fractions_linear_files/Yang_linear_img/37202121.jpg","show blot")</f>
        <v>show blot</v>
      </c>
      <c r="G25" t="s">
        <v>24</v>
      </c>
      <c r="I25" s="6">
        <v>3.5932136939523076</v>
      </c>
      <c r="K25" s="8"/>
    </row>
    <row r="26" spans="1:11" ht="15" x14ac:dyDescent="0.25">
      <c r="A26" s="3" t="str">
        <f>HYPERLINK("proteomic_fractions_linear_files/Yang_linear_img/116292744.jpg", "116292744")</f>
        <v>116292744</v>
      </c>
      <c r="C26" s="3" t="str">
        <f>HYPERLINK("http://www.ncbi.nlm.nih.gov/protein/116292744","Abca13")</f>
        <v>Abca13</v>
      </c>
      <c r="E26" t="str">
        <f>HYPERLINK("J:\Depot - mpkCCD Fractions\Main Web Page\Web Pages_old\proteomic_fractions_linear_files/Yang_linear_img/116292744.jpg","show blot")</f>
        <v>show blot</v>
      </c>
      <c r="G26" t="s">
        <v>25</v>
      </c>
      <c r="I26" s="6">
        <v>2.7018848833913904</v>
      </c>
      <c r="K26" s="8"/>
    </row>
    <row r="27" spans="1:11" ht="15" x14ac:dyDescent="0.25">
      <c r="A27" s="3" t="str">
        <f>HYPERLINK("proteomic_fractions_linear_files/Yang_linear_img/110225379.jpg", "110225379")</f>
        <v>110225379</v>
      </c>
      <c r="C27" s="3" t="str">
        <f>HYPERLINK("http://www.ncbi.nlm.nih.gov/protein/110225379","Abca2")</f>
        <v>Abca2</v>
      </c>
      <c r="E27" t="str">
        <f>HYPERLINK("J:\Depot - mpkCCD Fractions\Main Web Page\Web Pages_old\proteomic_fractions_linear_files/Yang_linear_img/110225379.jpg","show blot")</f>
        <v>show blot</v>
      </c>
      <c r="G27" t="s">
        <v>26</v>
      </c>
      <c r="I27" s="6">
        <v>1.9766216571491488</v>
      </c>
      <c r="K27" s="8"/>
    </row>
    <row r="28" spans="1:11" ht="15" x14ac:dyDescent="0.25">
      <c r="A28" s="3" t="str">
        <f>HYPERLINK("proteomic_fractions_linear_files/Yang_linear_img/88759350.jpg", "88759350")</f>
        <v>88759350</v>
      </c>
      <c r="C28" s="3" t="str">
        <f>HYPERLINK("http://www.ncbi.nlm.nih.gov/protein/88759350","Abca3")</f>
        <v>Abca3</v>
      </c>
      <c r="E28" t="str">
        <f>HYPERLINK("J:\Depot - mpkCCD Fractions\Main Web Page\Web Pages_old\proteomic_fractions_linear_files/Yang_linear_img/88759350.jpg","show blot")</f>
        <v>show blot</v>
      </c>
      <c r="G28" t="s">
        <v>27</v>
      </c>
      <c r="I28" s="6">
        <v>3.5220933137916357</v>
      </c>
      <c r="K28" s="8"/>
    </row>
    <row r="29" spans="1:11" ht="15" x14ac:dyDescent="0.25">
      <c r="A29" s="3" t="str">
        <f>HYPERLINK("proteomic_fractions_linear_files/Yang_linear_img/6671495.jpg", "6671495")</f>
        <v>6671495</v>
      </c>
      <c r="C29" s="3" t="str">
        <f>HYPERLINK("http://www.ncbi.nlm.nih.gov/protein/6671495","Abca4")</f>
        <v>Abca4</v>
      </c>
      <c r="E29" t="str">
        <f>HYPERLINK("J:\Depot - mpkCCD Fractions\Main Web Page\Web Pages_old\proteomic_fractions_linear_files/Yang_linear_img/6671495.jpg","show blot")</f>
        <v>show blot</v>
      </c>
      <c r="G29" t="s">
        <v>28</v>
      </c>
      <c r="I29" s="6">
        <v>2.3377509968867054</v>
      </c>
      <c r="K29" s="8"/>
    </row>
    <row r="30" spans="1:11" ht="15" x14ac:dyDescent="0.25">
      <c r="A30" s="3" t="str">
        <f>HYPERLINK("proteomic_fractions_linear_files/Yang_linear_img/146134400.jpg", "146134400")</f>
        <v>146134400</v>
      </c>
      <c r="C30" s="3" t="str">
        <f>HYPERLINK("http://www.ncbi.nlm.nih.gov/protein/146134400","Abca5")</f>
        <v>Abca5</v>
      </c>
      <c r="E30" t="str">
        <f>HYPERLINK("J:\Depot - mpkCCD Fractions\Main Web Page\Web Pages_old\proteomic_fractions_linear_files/Yang_linear_img/146134400.jpg","show blot")</f>
        <v>show blot</v>
      </c>
      <c r="G30" t="s">
        <v>29</v>
      </c>
      <c r="I30" s="6">
        <v>2.8956898206382204</v>
      </c>
      <c r="K30" s="8"/>
    </row>
    <row r="31" spans="1:11" ht="15" x14ac:dyDescent="0.25">
      <c r="A31" s="3" t="str">
        <f>HYPERLINK("proteomic_fractions_linear_files/Yang_linear_img/15451840.jpg", "15451840")</f>
        <v>15451840</v>
      </c>
      <c r="C31" s="3" t="str">
        <f>HYPERLINK("http://www.ncbi.nlm.nih.gov/protein/15451840","Abca7")</f>
        <v>Abca7</v>
      </c>
      <c r="E31" t="str">
        <f>HYPERLINK("J:\Depot - mpkCCD Fractions\Main Web Page\Web Pages_old\proteomic_fractions_linear_files/Yang_linear_img/15451840.jpg","show blot")</f>
        <v>show blot</v>
      </c>
      <c r="G31" t="s">
        <v>30</v>
      </c>
      <c r="I31" s="6">
        <v>1.0713511710577923</v>
      </c>
      <c r="K31" s="8"/>
    </row>
    <row r="32" spans="1:11" ht="15" x14ac:dyDescent="0.25">
      <c r="A32" s="3" t="str">
        <f>HYPERLINK("proteomic_fractions_linear_files/Yang_linear_img/153792543.jpg", "153792543")</f>
        <v>153792543</v>
      </c>
      <c r="C32" s="3" t="str">
        <f>HYPERLINK("http://www.ncbi.nlm.nih.gov/protein/153792543","Abca9")</f>
        <v>Abca9</v>
      </c>
      <c r="E32" t="str">
        <f>HYPERLINK("J:\Depot - mpkCCD Fractions\Main Web Page\Web Pages_old\proteomic_fractions_linear_files/Yang_linear_img/153792543.jpg","show blot")</f>
        <v>show blot</v>
      </c>
      <c r="G32" t="s">
        <v>31</v>
      </c>
      <c r="I32" s="6">
        <v>2.9670025898900869</v>
      </c>
      <c r="K32" s="8"/>
    </row>
    <row r="33" spans="1:11" ht="15" x14ac:dyDescent="0.25">
      <c r="A33" s="3" t="str">
        <f>HYPERLINK("proteomic_fractions_linear_files/Yang_linear_img/9506367.jpg", "9506367")</f>
        <v>9506367</v>
      </c>
      <c r="C33" s="3" t="str">
        <f>HYPERLINK("http://www.ncbi.nlm.nih.gov/protein/9506367","Abcb10")</f>
        <v>Abcb10</v>
      </c>
      <c r="E33" t="str">
        <f>HYPERLINK("J:\Depot - mpkCCD Fractions\Main Web Page\Web Pages_old\proteomic_fractions_linear_files/Yang_linear_img/9506367.jpg","show blot")</f>
        <v>show blot</v>
      </c>
      <c r="G33" t="s">
        <v>32</v>
      </c>
      <c r="I33" s="6">
        <v>3.1616175115003484</v>
      </c>
      <c r="K33" s="8"/>
    </row>
    <row r="34" spans="1:11" ht="15" x14ac:dyDescent="0.25">
      <c r="A34" s="3" t="str">
        <f>HYPERLINK("proteomic_fractions_linear_files/Yang_linear_img/17647117.jpg", "17647117")</f>
        <v>17647117</v>
      </c>
      <c r="C34" s="3" t="str">
        <f>HYPERLINK("http://www.ncbi.nlm.nih.gov/protein/17647117","Abcb6")</f>
        <v>Abcb6</v>
      </c>
      <c r="E34" t="str">
        <f>HYPERLINK("J:\Depot - mpkCCD Fractions\Main Web Page\Web Pages_old\proteomic_fractions_linear_files/Yang_linear_img/17647117.jpg","show blot")</f>
        <v>show blot</v>
      </c>
      <c r="G34" t="s">
        <v>33</v>
      </c>
      <c r="I34" s="6">
        <v>3.2422936870298855</v>
      </c>
      <c r="K34" s="8"/>
    </row>
    <row r="35" spans="1:11" ht="15" x14ac:dyDescent="0.25">
      <c r="A35" s="3" t="str">
        <f>HYPERLINK("proteomic_fractions_linear_files/Yang_linear_img/169234938.jpg", "169234938")</f>
        <v>169234938</v>
      </c>
      <c r="C35" s="3" t="str">
        <f>HYPERLINK("http://www.ncbi.nlm.nih.gov/protein/169234938","Abcb7")</f>
        <v>Abcb7</v>
      </c>
      <c r="E35" t="str">
        <f>HYPERLINK("J:\Depot - mpkCCD Fractions\Main Web Page\Web Pages_old\proteomic_fractions_linear_files/Yang_linear_img/169234938.jpg","show blot")</f>
        <v>show blot</v>
      </c>
      <c r="G35" t="s">
        <v>34</v>
      </c>
      <c r="I35" s="6">
        <v>2.9520388420024934</v>
      </c>
      <c r="K35" s="8"/>
    </row>
    <row r="36" spans="1:11" ht="15" x14ac:dyDescent="0.25">
      <c r="A36" s="3" t="str">
        <f>HYPERLINK("proteomic_fractions_linear_files/Yang_linear_img/27753995.jpg", "27753995")</f>
        <v>27753995</v>
      </c>
      <c r="C36" s="3" t="str">
        <f>HYPERLINK("http://www.ncbi.nlm.nih.gov/protein/27753995","Abcb8")</f>
        <v>Abcb8</v>
      </c>
      <c r="E36" t="str">
        <f>HYPERLINK("J:\Depot - mpkCCD Fractions\Main Web Page\Web Pages_old\proteomic_fractions_linear_files/Yang_linear_img/27753995.jpg","show blot")</f>
        <v>show blot</v>
      </c>
      <c r="G36" t="s">
        <v>35</v>
      </c>
      <c r="I36" s="6">
        <v>3.0858441589969994</v>
      </c>
      <c r="K36" s="8"/>
    </row>
    <row r="37" spans="1:11" ht="15" x14ac:dyDescent="0.25">
      <c r="A37" s="3" t="str">
        <f>HYPERLINK("proteomic_fractions_linear_files/Yang_linear_img/6678848.jpg", "6678848")</f>
        <v>6678848</v>
      </c>
      <c r="C37" s="3" t="str">
        <f>HYPERLINK("http://www.ncbi.nlm.nih.gov/protein/6678848","Abcc1")</f>
        <v>Abcc1</v>
      </c>
      <c r="E37" t="str">
        <f>HYPERLINK("J:\Depot - mpkCCD Fractions\Main Web Page\Web Pages_old\proteomic_fractions_linear_files/Yang_linear_img/6678848.jpg","show blot")</f>
        <v>show blot</v>
      </c>
      <c r="G37" t="s">
        <v>36</v>
      </c>
      <c r="I37" s="6">
        <v>4.0720234894408289</v>
      </c>
      <c r="K37" s="8"/>
    </row>
    <row r="38" spans="1:11" ht="15" x14ac:dyDescent="0.25">
      <c r="A38" s="3" t="str">
        <f>HYPERLINK("proteomic_fractions_linear_files/Yang_linear_img/116063566.jpg", "116063566")</f>
        <v>116063566</v>
      </c>
      <c r="C38" s="3" t="str">
        <f>HYPERLINK("http://www.ncbi.nlm.nih.gov/protein/116063566","Abcc2")</f>
        <v>Abcc2</v>
      </c>
      <c r="E38" t="str">
        <f>HYPERLINK("J:\Depot - mpkCCD Fractions\Main Web Page\Web Pages_old\proteomic_fractions_linear_files/Yang_linear_img/116063566.jpg","show blot")</f>
        <v>show blot</v>
      </c>
      <c r="G38" t="s">
        <v>37</v>
      </c>
      <c r="I38" s="6">
        <v>3.2490856052039616</v>
      </c>
      <c r="K38" s="8"/>
    </row>
    <row r="39" spans="1:11" ht="15" x14ac:dyDescent="0.25">
      <c r="A39" s="3" t="str">
        <f>HYPERLINK("proteomic_fractions_linear_files/Yang_linear_img/90403595.jpg", "90403595")</f>
        <v>90403595</v>
      </c>
      <c r="C39" s="3" t="str">
        <f>HYPERLINK("http://www.ncbi.nlm.nih.gov/protein/90403595","Abcc3")</f>
        <v>Abcc3</v>
      </c>
      <c r="E39" t="str">
        <f>HYPERLINK("J:\Depot - mpkCCD Fractions\Main Web Page\Web Pages_old\proteomic_fractions_linear_files/Yang_linear_img/90403595.jpg","show blot")</f>
        <v>show blot</v>
      </c>
      <c r="G39" t="s">
        <v>38</v>
      </c>
      <c r="I39" s="6">
        <v>2.7922291249221542</v>
      </c>
      <c r="K39" s="8"/>
    </row>
    <row r="40" spans="1:11" ht="15" x14ac:dyDescent="0.25">
      <c r="A40" s="3" t="str">
        <f>HYPERLINK("proteomic_fractions_linear_files/Yang_linear_img/255683320.jpg", "255683320")</f>
        <v>255683320</v>
      </c>
      <c r="C40" s="3" t="str">
        <f>HYPERLINK("http://www.ncbi.nlm.nih.gov/protein/255683320","Abcc4")</f>
        <v>Abcc4</v>
      </c>
      <c r="E40" t="str">
        <f>HYPERLINK("J:\Depot - mpkCCD Fractions\Main Web Page\Web Pages_old\proteomic_fractions_linear_files/Yang_linear_img/255683320.jpg","show blot")</f>
        <v>show blot</v>
      </c>
      <c r="G40" t="s">
        <v>39</v>
      </c>
      <c r="I40" s="6">
        <v>4.0603321622908082</v>
      </c>
      <c r="K40" s="8"/>
    </row>
    <row r="41" spans="1:11" ht="15" x14ac:dyDescent="0.25">
      <c r="A41" s="3" t="str">
        <f>HYPERLINK("proteomic_fractions_linear_files/Yang_linear_img/255683324.jpg", "255683324")</f>
        <v>255683324</v>
      </c>
      <c r="C41" s="3" t="str">
        <f>HYPERLINK("http://www.ncbi.nlm.nih.gov/protein/255683324","Abcc4")</f>
        <v>Abcc4</v>
      </c>
      <c r="E41" t="str">
        <f>HYPERLINK("J:\Depot - mpkCCD Fractions\Main Web Page\Web Pages_old\proteomic_fractions_linear_files/Yang_linear_img/255683324.jpg","show blot")</f>
        <v>show blot</v>
      </c>
      <c r="G41" t="s">
        <v>40</v>
      </c>
      <c r="I41" s="6">
        <v>4.0603321622908082</v>
      </c>
      <c r="K41" s="8"/>
    </row>
    <row r="42" spans="1:11" ht="15" x14ac:dyDescent="0.25">
      <c r="A42" s="3" t="str">
        <f>HYPERLINK("proteomic_fractions_linear_files/Yang_linear_img/255683328.jpg", "255683328")</f>
        <v>255683328</v>
      </c>
      <c r="C42" s="3" t="str">
        <f>HYPERLINK("http://www.ncbi.nlm.nih.gov/protein/255683328","Abcc4")</f>
        <v>Abcc4</v>
      </c>
      <c r="E42" t="str">
        <f>HYPERLINK("J:\Depot - mpkCCD Fractions\Main Web Page\Web Pages_old\proteomic_fractions_linear_files/Yang_linear_img/255683328.jpg","show blot")</f>
        <v>show blot</v>
      </c>
      <c r="G42" t="s">
        <v>41</v>
      </c>
      <c r="I42" s="6">
        <v>4.0603321622908082</v>
      </c>
      <c r="K42" s="8"/>
    </row>
    <row r="43" spans="1:11" ht="15" x14ac:dyDescent="0.25">
      <c r="A43" s="3" t="str">
        <f>HYPERLINK("proteomic_fractions_linear_files/Yang_linear_img/6671497.jpg", "6671497")</f>
        <v>6671497</v>
      </c>
      <c r="C43" s="3" t="str">
        <f>HYPERLINK("http://www.ncbi.nlm.nih.gov/protein/6671497","Abcd1")</f>
        <v>Abcd1</v>
      </c>
      <c r="E43" t="str">
        <f>HYPERLINK("J:\Depot - mpkCCD Fractions\Main Web Page\Web Pages_old\proteomic_fractions_linear_files/Yang_linear_img/6671497.jpg","show blot")</f>
        <v>show blot</v>
      </c>
      <c r="G43" t="s">
        <v>42</v>
      </c>
      <c r="I43" s="6">
        <v>3.2004750292042896</v>
      </c>
      <c r="K43" s="8"/>
    </row>
    <row r="44" spans="1:11" ht="15" x14ac:dyDescent="0.25">
      <c r="A44" s="3" t="str">
        <f>HYPERLINK("proteomic_fractions_linear_files/Yang_linear_img/60218877.jpg", "60218877")</f>
        <v>60218877</v>
      </c>
      <c r="C44" s="3" t="str">
        <f>HYPERLINK("http://www.ncbi.nlm.nih.gov/protein/60218877","Abcd3")</f>
        <v>Abcd3</v>
      </c>
      <c r="E44" t="str">
        <f>HYPERLINK("J:\Depot - mpkCCD Fractions\Main Web Page\Web Pages_old\proteomic_fractions_linear_files/Yang_linear_img/60218877.jpg","show blot")</f>
        <v>show blot</v>
      </c>
      <c r="G44" t="s">
        <v>43</v>
      </c>
      <c r="I44" s="6">
        <v>5.6929560142755689</v>
      </c>
      <c r="K44" s="8"/>
    </row>
    <row r="45" spans="1:11" ht="15" x14ac:dyDescent="0.25">
      <c r="A45" s="3" t="str">
        <f>HYPERLINK("proteomic_fractions_linear_files/Yang_linear_img/226052788.jpg", "226052788")</f>
        <v>226052788</v>
      </c>
      <c r="C45" s="3" t="str">
        <f>HYPERLINK("http://www.ncbi.nlm.nih.gov/protein/226052788","Abcd4")</f>
        <v>Abcd4</v>
      </c>
      <c r="E45" t="str">
        <f>HYPERLINK("J:\Depot - mpkCCD Fractions\Main Web Page\Web Pages_old\proteomic_fractions_linear_files/Yang_linear_img/226052788.jpg","show blot")</f>
        <v>show blot</v>
      </c>
      <c r="G45" t="s">
        <v>44</v>
      </c>
      <c r="I45" s="6">
        <v>2.7951032025225153</v>
      </c>
      <c r="K45" s="8"/>
    </row>
    <row r="46" spans="1:11" ht="15" x14ac:dyDescent="0.25">
      <c r="A46" s="3" t="str">
        <f>HYPERLINK("proteomic_fractions_linear_files/Yang_linear_img/114205431.jpg", "114205431")</f>
        <v>114205431</v>
      </c>
      <c r="C46" s="3" t="str">
        <f>HYPERLINK("http://www.ncbi.nlm.nih.gov/protein/114205431","Abce1")</f>
        <v>Abce1</v>
      </c>
      <c r="E46" t="str">
        <f>HYPERLINK("J:\Depot - mpkCCD Fractions\Main Web Page\Web Pages_old\proteomic_fractions_linear_files/Yang_linear_img/114205431.jpg","show blot")</f>
        <v>show blot</v>
      </c>
      <c r="G46" t="s">
        <v>45</v>
      </c>
      <c r="I46" s="6">
        <v>5.7994895265704534</v>
      </c>
      <c r="K46" s="8"/>
    </row>
    <row r="47" spans="1:11" ht="15" x14ac:dyDescent="0.25">
      <c r="A47" s="3" t="str">
        <f>HYPERLINK("proteomic_fractions_linear_files/Yang_linear_img/39930335.jpg", "39930335")</f>
        <v>39930335</v>
      </c>
      <c r="C47" s="3" t="str">
        <f>HYPERLINK("http://www.ncbi.nlm.nih.gov/protein/39930335","Abcf1")</f>
        <v>Abcf1</v>
      </c>
      <c r="E47" t="str">
        <f>HYPERLINK("J:\Depot - mpkCCD Fractions\Main Web Page\Web Pages_old\proteomic_fractions_linear_files/Yang_linear_img/39930335.jpg","show blot")</f>
        <v>show blot</v>
      </c>
      <c r="G47" t="s">
        <v>46</v>
      </c>
      <c r="I47" s="6">
        <v>5.4172430902761324</v>
      </c>
      <c r="K47" s="8"/>
    </row>
    <row r="48" spans="1:11" ht="15" x14ac:dyDescent="0.25">
      <c r="A48" s="3" t="str">
        <f>HYPERLINK("proteomic_fractions_linear_files/Yang_linear_img/23956078.jpg", "23956078")</f>
        <v>23956078</v>
      </c>
      <c r="C48" s="3" t="str">
        <f>HYPERLINK("http://www.ncbi.nlm.nih.gov/protein/23956078","Abcf2")</f>
        <v>Abcf2</v>
      </c>
      <c r="E48" t="str">
        <f>HYPERLINK("J:\Depot - mpkCCD Fractions\Main Web Page\Web Pages_old\proteomic_fractions_linear_files/Yang_linear_img/23956078.jpg","show blot")</f>
        <v>show blot</v>
      </c>
      <c r="G48" t="s">
        <v>47</v>
      </c>
      <c r="I48" s="6">
        <v>5.7300824960834946</v>
      </c>
      <c r="K48" s="8"/>
    </row>
    <row r="49" spans="1:11" ht="15" x14ac:dyDescent="0.25">
      <c r="A49" s="3" t="str">
        <f>HYPERLINK("proteomic_fractions_linear_files/Yang_linear_img/299473734.jpg", "299473734")</f>
        <v>299473734</v>
      </c>
      <c r="C49" s="3" t="str">
        <f>HYPERLINK("http://www.ncbi.nlm.nih.gov/protein/299473734","Abcf2")</f>
        <v>Abcf2</v>
      </c>
      <c r="E49" t="str">
        <f>HYPERLINK("J:\Depot - mpkCCD Fractions\Main Web Page\Web Pages_old\proteomic_fractions_linear_files/Yang_linear_img/299473734.jpg","show blot")</f>
        <v>show blot</v>
      </c>
      <c r="G49" t="s">
        <v>48</v>
      </c>
      <c r="I49" s="6">
        <v>5.7300824960834946</v>
      </c>
      <c r="K49" s="8"/>
    </row>
    <row r="50" spans="1:11" ht="15" x14ac:dyDescent="0.25">
      <c r="A50" s="3" t="str">
        <f>HYPERLINK("proteomic_fractions_linear_files/Yang_linear_img/29789050.jpg", "29789050")</f>
        <v>29789050</v>
      </c>
      <c r="C50" s="3" t="str">
        <f>HYPERLINK("http://www.ncbi.nlm.nih.gov/protein/29789050","Abcf3")</f>
        <v>Abcf3</v>
      </c>
      <c r="E50" t="str">
        <f>HYPERLINK("J:\Depot - mpkCCD Fractions\Main Web Page\Web Pages_old\proteomic_fractions_linear_files/Yang_linear_img/29789050.jpg","show blot")</f>
        <v>show blot</v>
      </c>
      <c r="G50" t="s">
        <v>49</v>
      </c>
      <c r="I50" s="6">
        <v>4.5199831505719184</v>
      </c>
      <c r="K50" s="8"/>
    </row>
    <row r="51" spans="1:11" ht="15" x14ac:dyDescent="0.25">
      <c r="A51" s="3" t="str">
        <f>HYPERLINK("proteomic_fractions_linear_files/Yang_linear_img/6752944.jpg", "6752944")</f>
        <v>6752944</v>
      </c>
      <c r="C51" s="3" t="str">
        <f>HYPERLINK("http://www.ncbi.nlm.nih.gov/protein/6752944","Abcg2")</f>
        <v>Abcg2</v>
      </c>
      <c r="E51" t="str">
        <f>HYPERLINK("J:\Depot - mpkCCD Fractions\Main Web Page\Web Pages_old\proteomic_fractions_linear_files/Yang_linear_img/6752944.jpg","show blot")</f>
        <v>show blot</v>
      </c>
      <c r="G51" t="s">
        <v>50</v>
      </c>
      <c r="I51" s="6">
        <v>4.0334724440918848</v>
      </c>
      <c r="K51" s="8"/>
    </row>
    <row r="52" spans="1:11" ht="15" x14ac:dyDescent="0.25">
      <c r="A52" s="3" t="str">
        <f>HYPERLINK("proteomic_fractions_linear_files/Yang_linear_img/269784760.jpg", "269784760")</f>
        <v>269784760</v>
      </c>
      <c r="C52" s="3" t="str">
        <f>HYPERLINK("http://www.ncbi.nlm.nih.gov/protein/269784760","Abhd10")</f>
        <v>Abhd10</v>
      </c>
      <c r="E52" t="str">
        <f>HYPERLINK("J:\Depot - mpkCCD Fractions\Main Web Page\Web Pages_old\proteomic_fractions_linear_files/Yang_linear_img/269784760.jpg","show blot")</f>
        <v>show blot</v>
      </c>
      <c r="G52" t="s">
        <v>51</v>
      </c>
      <c r="I52" s="6">
        <v>3.9898379849871874</v>
      </c>
      <c r="K52" s="8"/>
    </row>
    <row r="53" spans="1:11" ht="15" x14ac:dyDescent="0.25">
      <c r="A53" s="3" t="str">
        <f>HYPERLINK("proteomic_fractions_linear_files/Yang_linear_img/440918693.jpg", "440918693")</f>
        <v>440918693</v>
      </c>
      <c r="C53" s="3" t="str">
        <f>HYPERLINK("http://www.ncbi.nlm.nih.gov/protein/440918693","Abhd10")</f>
        <v>Abhd10</v>
      </c>
      <c r="E53" t="str">
        <f>HYPERLINK("J:\Depot - mpkCCD Fractions\Main Web Page\Web Pages_old\proteomic_fractions_linear_files/Yang_linear_img/440918693.jpg","show blot")</f>
        <v>show blot</v>
      </c>
      <c r="G53" t="s">
        <v>52</v>
      </c>
      <c r="I53" s="6">
        <v>3.9898379849871874</v>
      </c>
      <c r="K53" s="8"/>
    </row>
    <row r="54" spans="1:11" ht="15" x14ac:dyDescent="0.25">
      <c r="A54" s="3" t="str">
        <f>HYPERLINK("proteomic_fractions_linear_files/Yang_linear_img/159110817.jpg", "159110817")</f>
        <v>159110817</v>
      </c>
      <c r="C54" s="3" t="str">
        <f>HYPERLINK("http://www.ncbi.nlm.nih.gov/protein/159110817","Abhd12")</f>
        <v>Abhd12</v>
      </c>
      <c r="E54" t="str">
        <f>HYPERLINK("J:\Depot - mpkCCD Fractions\Main Web Page\Web Pages_old\proteomic_fractions_linear_files/Yang_linear_img/159110817.jpg","show blot")</f>
        <v>show blot</v>
      </c>
      <c r="G54" t="s">
        <v>53</v>
      </c>
      <c r="I54" s="6">
        <v>5.0446318227020512</v>
      </c>
      <c r="K54" s="8"/>
    </row>
    <row r="55" spans="1:11" ht="15" x14ac:dyDescent="0.25">
      <c r="A55" s="3" t="str">
        <f>HYPERLINK("proteomic_fractions_linear_files/Yang_linear_img/124487441.jpg", "124487441")</f>
        <v>124487441</v>
      </c>
      <c r="C55" s="3" t="str">
        <f>HYPERLINK("http://www.ncbi.nlm.nih.gov/protein/124487441","Abhd13")</f>
        <v>Abhd13</v>
      </c>
      <c r="E55" t="str">
        <f>HYPERLINK("J:\Depot - mpkCCD Fractions\Main Web Page\Web Pages_old\proteomic_fractions_linear_files/Yang_linear_img/124487441.jpg","show blot")</f>
        <v>show blot</v>
      </c>
      <c r="G55" t="s">
        <v>54</v>
      </c>
      <c r="I55" s="6">
        <v>3.1082009998909235</v>
      </c>
      <c r="K55" s="8"/>
    </row>
    <row r="56" spans="1:11" ht="15" x14ac:dyDescent="0.25">
      <c r="A56" s="3" t="str">
        <f>HYPERLINK("proteomic_fractions_linear_files/Yang_linear_img/171460960.jpg", "171460960")</f>
        <v>171460960</v>
      </c>
      <c r="C56" s="3" t="str">
        <f>HYPERLINK("http://www.ncbi.nlm.nih.gov/protein/171460960","Abhd14b")</f>
        <v>Abhd14b</v>
      </c>
      <c r="E56" t="str">
        <f>HYPERLINK("J:\Depot - mpkCCD Fractions\Main Web Page\Web Pages_old\proteomic_fractions_linear_files/Yang_linear_img/171460960.jpg","show blot")</f>
        <v>show blot</v>
      </c>
      <c r="G56" t="s">
        <v>55</v>
      </c>
      <c r="I56" s="6">
        <v>6.3480229859092354</v>
      </c>
      <c r="K56" s="8"/>
    </row>
    <row r="57" spans="1:11" ht="15" x14ac:dyDescent="0.25">
      <c r="A57" s="3" t="str">
        <f>HYPERLINK("proteomic_fractions_linear_files/Yang_linear_img/30519896.jpg", "30519896")</f>
        <v>30519896</v>
      </c>
      <c r="C57" s="3" t="str">
        <f>HYPERLINK("http://www.ncbi.nlm.nih.gov/protein/30519896","Abhd16a")</f>
        <v>Abhd16a</v>
      </c>
      <c r="E57" t="str">
        <f>HYPERLINK("J:\Depot - mpkCCD Fractions\Main Web Page\Web Pages_old\proteomic_fractions_linear_files/Yang_linear_img/30519896.jpg","show blot")</f>
        <v>show blot</v>
      </c>
      <c r="G57" t="s">
        <v>56</v>
      </c>
      <c r="I57" s="6">
        <v>4.0434394474462794</v>
      </c>
      <c r="K57" s="8"/>
    </row>
    <row r="58" spans="1:11" ht="15" x14ac:dyDescent="0.25">
      <c r="A58" s="3" t="str">
        <f>HYPERLINK("proteomic_fractions_linear_files/Yang_linear_img/38142456.jpg", "38142456")</f>
        <v>38142456</v>
      </c>
      <c r="C58" s="3" t="str">
        <f>HYPERLINK("http://www.ncbi.nlm.nih.gov/protein/38142456","Abhd17b")</f>
        <v>Abhd17b</v>
      </c>
      <c r="E58" t="str">
        <f>HYPERLINK("J:\Depot - mpkCCD Fractions\Main Web Page\Web Pages_old\proteomic_fractions_linear_files/Yang_linear_img/38142456.jpg","show blot")</f>
        <v>show blot</v>
      </c>
      <c r="G58" t="s">
        <v>57</v>
      </c>
      <c r="I58" s="6">
        <v>2.6546577546495249</v>
      </c>
      <c r="K58" s="8"/>
    </row>
    <row r="59" spans="1:11" ht="15" x14ac:dyDescent="0.25">
      <c r="A59" s="3" t="str">
        <f>HYPERLINK("proteomic_fractions_linear_files/Yang_linear_img/326937491.jpg", "326937491")</f>
        <v>326937491</v>
      </c>
      <c r="C59" s="3" t="str">
        <f>HYPERLINK("http://www.ncbi.nlm.nih.gov/protein/326937491","Abhd4")</f>
        <v>Abhd4</v>
      </c>
      <c r="E59" t="str">
        <f>HYPERLINK("J:\Depot - mpkCCD Fractions\Main Web Page\Web Pages_old\proteomic_fractions_linear_files/Yang_linear_img/326937491.jpg","show blot")</f>
        <v>show blot</v>
      </c>
      <c r="G59" t="s">
        <v>58</v>
      </c>
      <c r="I59" s="6">
        <v>4.7256204722199664</v>
      </c>
      <c r="K59" s="8"/>
    </row>
    <row r="60" spans="1:11" ht="15" x14ac:dyDescent="0.25">
      <c r="A60" s="3" t="str">
        <f>HYPERLINK("proteomic_fractions_linear_files/Yang_linear_img/326937494.jpg", "326937494")</f>
        <v>326937494</v>
      </c>
      <c r="C60" s="3" t="str">
        <f>HYPERLINK("http://www.ncbi.nlm.nih.gov/protein/326937494","Abhd4")</f>
        <v>Abhd4</v>
      </c>
      <c r="E60" t="str">
        <f>HYPERLINK("J:\Depot - mpkCCD Fractions\Main Web Page\Web Pages_old\proteomic_fractions_linear_files/Yang_linear_img/326937494.jpg","show blot")</f>
        <v>show blot</v>
      </c>
      <c r="G60" t="s">
        <v>59</v>
      </c>
      <c r="I60" s="6">
        <v>4.7256204722199664</v>
      </c>
      <c r="K60" s="8"/>
    </row>
    <row r="61" spans="1:11" ht="15" x14ac:dyDescent="0.25">
      <c r="A61" s="3" t="str">
        <f>HYPERLINK("proteomic_fractions_linear_files/Yang_linear_img/13385690.jpg", "13385690")</f>
        <v>13385690</v>
      </c>
      <c r="C61" s="3" t="str">
        <f>HYPERLINK("http://www.ncbi.nlm.nih.gov/protein/13385690","Abhd5")</f>
        <v>Abhd5</v>
      </c>
      <c r="E61" t="str">
        <f>HYPERLINK("J:\Depot - mpkCCD Fractions\Main Web Page\Web Pages_old\proteomic_fractions_linear_files/Yang_linear_img/13385690.jpg","show blot")</f>
        <v>show blot</v>
      </c>
      <c r="G61" t="s">
        <v>60</v>
      </c>
      <c r="I61" s="6">
        <v>4.2507160424848145</v>
      </c>
      <c r="K61" s="8"/>
    </row>
    <row r="62" spans="1:11" ht="15" x14ac:dyDescent="0.25">
      <c r="A62" s="3" t="str">
        <f>HYPERLINK("proteomic_fractions_linear_files/Yang_linear_img/31560264.jpg", "31560264")</f>
        <v>31560264</v>
      </c>
      <c r="C62" s="3" t="str">
        <f>HYPERLINK("http://www.ncbi.nlm.nih.gov/protein/31560264","Abhd6")</f>
        <v>Abhd6</v>
      </c>
      <c r="E62" t="str">
        <f>HYPERLINK("J:\Depot - mpkCCD Fractions\Main Web Page\Web Pages_old\proteomic_fractions_linear_files/Yang_linear_img/31560264.jpg","show blot")</f>
        <v>show blot</v>
      </c>
      <c r="G62" t="s">
        <v>61</v>
      </c>
      <c r="I62" s="6">
        <v>4.6439918956249491</v>
      </c>
      <c r="K62" s="8"/>
    </row>
    <row r="63" spans="1:11" ht="15" x14ac:dyDescent="0.25">
      <c r="A63" s="3" t="str">
        <f>HYPERLINK("proteomic_fractions_linear_files/Yang_linear_img/116089341.jpg", "116089341")</f>
        <v>116089341</v>
      </c>
      <c r="C63" s="3" t="str">
        <f>HYPERLINK("http://www.ncbi.nlm.nih.gov/protein/116089341","Abi1")</f>
        <v>Abi1</v>
      </c>
      <c r="E63" t="str">
        <f>HYPERLINK("J:\Depot - mpkCCD Fractions\Main Web Page\Web Pages_old\proteomic_fractions_linear_files/Yang_linear_img/116089341.jpg","show blot")</f>
        <v>show blot</v>
      </c>
      <c r="G63" t="s">
        <v>62</v>
      </c>
      <c r="I63" s="6">
        <v>4.7423629963917158</v>
      </c>
      <c r="K63" s="8"/>
    </row>
    <row r="64" spans="1:11" ht="15" x14ac:dyDescent="0.25">
      <c r="A64" s="3" t="str">
        <f>HYPERLINK("proteomic_fractions_linear_files/Yang_linear_img/116089343.jpg", "116089343")</f>
        <v>116089343</v>
      </c>
      <c r="C64" s="3" t="str">
        <f>HYPERLINK("http://www.ncbi.nlm.nih.gov/protein/116089343","Abi1")</f>
        <v>Abi1</v>
      </c>
      <c r="E64" t="str">
        <f>HYPERLINK("J:\Depot - mpkCCD Fractions\Main Web Page\Web Pages_old\proteomic_fractions_linear_files/Yang_linear_img/116089343.jpg","show blot")</f>
        <v>show blot</v>
      </c>
      <c r="G64" t="s">
        <v>63</v>
      </c>
      <c r="I64" s="6">
        <v>4.7423629963917158</v>
      </c>
      <c r="K64" s="8"/>
    </row>
    <row r="65" spans="1:11" ht="15" x14ac:dyDescent="0.25">
      <c r="A65" s="3" t="str">
        <f>HYPERLINK("proteomic_fractions_linear_files/Yang_linear_img/116089345.jpg", "116089345")</f>
        <v>116089345</v>
      </c>
      <c r="C65" s="3" t="str">
        <f>HYPERLINK("http://www.ncbi.nlm.nih.gov/protein/116089345","Abi1")</f>
        <v>Abi1</v>
      </c>
      <c r="E65" t="str">
        <f>HYPERLINK("J:\Depot - mpkCCD Fractions\Main Web Page\Web Pages_old\proteomic_fractions_linear_files/Yang_linear_img/116089345.jpg","show blot")</f>
        <v>show blot</v>
      </c>
      <c r="G65" t="s">
        <v>64</v>
      </c>
      <c r="I65" s="6">
        <v>4.7423629963917158</v>
      </c>
      <c r="K65" s="8"/>
    </row>
    <row r="66" spans="1:11" ht="15" x14ac:dyDescent="0.25">
      <c r="A66" s="3" t="str">
        <f>HYPERLINK("proteomic_fractions_linear_files/Yang_linear_img/116089347.jpg", "116089347")</f>
        <v>116089347</v>
      </c>
      <c r="C66" s="3" t="str">
        <f>HYPERLINK("http://www.ncbi.nlm.nih.gov/protein/116089347","Abi1")</f>
        <v>Abi1</v>
      </c>
      <c r="E66" t="str">
        <f>HYPERLINK("J:\Depot - mpkCCD Fractions\Main Web Page\Web Pages_old\proteomic_fractions_linear_files/Yang_linear_img/116089347.jpg","show blot")</f>
        <v>show blot</v>
      </c>
      <c r="G66" t="s">
        <v>65</v>
      </c>
      <c r="I66" s="6">
        <v>4.7423629963917158</v>
      </c>
      <c r="K66" s="8"/>
    </row>
    <row r="67" spans="1:11" ht="15" x14ac:dyDescent="0.25">
      <c r="A67" s="3" t="str">
        <f>HYPERLINK("proteomic_fractions_linear_files/Yang_linear_img/116089351.jpg", "116089351")</f>
        <v>116089351</v>
      </c>
      <c r="C67" s="3" t="str">
        <f>HYPERLINK("http://www.ncbi.nlm.nih.gov/protein/116089351","Abi1")</f>
        <v>Abi1</v>
      </c>
      <c r="E67" t="str">
        <f>HYPERLINK("J:\Depot - mpkCCD Fractions\Main Web Page\Web Pages_old\proteomic_fractions_linear_files/Yang_linear_img/116089351.jpg","show blot")</f>
        <v>show blot</v>
      </c>
      <c r="G67" t="s">
        <v>66</v>
      </c>
      <c r="I67" s="6">
        <v>4.7423629963917158</v>
      </c>
      <c r="K67" s="8"/>
    </row>
    <row r="68" spans="1:11" ht="15" x14ac:dyDescent="0.25">
      <c r="A68" s="3" t="str">
        <f>HYPERLINK("proteomic_fractions_linear_files/Yang_linear_img/162951865.jpg", "162951865")</f>
        <v>162951865</v>
      </c>
      <c r="C68" s="3" t="str">
        <f>HYPERLINK("http://www.ncbi.nlm.nih.gov/protein/162951865","Abl1")</f>
        <v>Abl1</v>
      </c>
      <c r="E68" t="str">
        <f>HYPERLINK("J:\Depot - mpkCCD Fractions\Main Web Page\Web Pages_old\proteomic_fractions_linear_files/Yang_linear_img/162951865.jpg","show blot")</f>
        <v>show blot</v>
      </c>
      <c r="G68" t="s">
        <v>67</v>
      </c>
      <c r="I68" s="6">
        <v>0.38866138415444546</v>
      </c>
      <c r="K68" s="8"/>
    </row>
    <row r="69" spans="1:11" ht="15" x14ac:dyDescent="0.25">
      <c r="A69" s="3" t="str">
        <f>HYPERLINK("proteomic_fractions_linear_files/Yang_linear_img/162951870.jpg", "162951870")</f>
        <v>162951870</v>
      </c>
      <c r="C69" s="3" t="str">
        <f>HYPERLINK("http://www.ncbi.nlm.nih.gov/protein/162951870","Abl1")</f>
        <v>Abl1</v>
      </c>
      <c r="E69" t="str">
        <f>HYPERLINK("J:\Depot - mpkCCD Fractions\Main Web Page\Web Pages_old\proteomic_fractions_linear_files/Yang_linear_img/162951870.jpg","show blot")</f>
        <v>show blot</v>
      </c>
      <c r="G69" t="s">
        <v>68</v>
      </c>
      <c r="I69" s="6">
        <v>0.38866138415444546</v>
      </c>
      <c r="K69" s="8"/>
    </row>
    <row r="70" spans="1:11" ht="15" x14ac:dyDescent="0.25">
      <c r="A70" s="3" t="str">
        <f>HYPERLINK("proteomic_fractions_linear_files/Yang_linear_img/157057145.jpg", "157057145")</f>
        <v>157057145</v>
      </c>
      <c r="C70" s="3" t="str">
        <f>HYPERLINK("http://www.ncbi.nlm.nih.gov/protein/157057145","Ablim1")</f>
        <v>Ablim1</v>
      </c>
      <c r="E70" t="str">
        <f>HYPERLINK("J:\Depot - mpkCCD Fractions\Main Web Page\Web Pages_old\proteomic_fractions_linear_files/Yang_linear_img/157057145.jpg","show blot")</f>
        <v>show blot</v>
      </c>
      <c r="G70" t="s">
        <v>69</v>
      </c>
      <c r="I70" s="6">
        <v>3.6233965387329983</v>
      </c>
      <c r="K70" s="8"/>
    </row>
    <row r="71" spans="1:11" ht="15" x14ac:dyDescent="0.25">
      <c r="A71" s="3" t="str">
        <f>HYPERLINK("proteomic_fractions_linear_files/Yang_linear_img/157057174.jpg", "157057174")</f>
        <v>157057174</v>
      </c>
      <c r="C71" s="3" t="str">
        <f>HYPERLINK("http://www.ncbi.nlm.nih.gov/protein/157057174","Ablim1")</f>
        <v>Ablim1</v>
      </c>
      <c r="E71" t="str">
        <f>HYPERLINK("J:\Depot - mpkCCD Fractions\Main Web Page\Web Pages_old\proteomic_fractions_linear_files/Yang_linear_img/157057174.jpg","show blot")</f>
        <v>show blot</v>
      </c>
      <c r="G71" t="s">
        <v>70</v>
      </c>
      <c r="I71" s="6">
        <v>3.6233965387329983</v>
      </c>
      <c r="K71" s="8"/>
    </row>
    <row r="72" spans="1:11" ht="15" x14ac:dyDescent="0.25">
      <c r="A72" s="3" t="str">
        <f>HYPERLINK("proteomic_fractions_linear_files/Yang_linear_img/157057554.jpg", "157057554")</f>
        <v>157057554</v>
      </c>
      <c r="C72" s="3" t="str">
        <f>HYPERLINK("http://www.ncbi.nlm.nih.gov/protein/157057554","Ablim1")</f>
        <v>Ablim1</v>
      </c>
      <c r="E72" t="str">
        <f>HYPERLINK("J:\Depot - mpkCCD Fractions\Main Web Page\Web Pages_old\proteomic_fractions_linear_files/Yang_linear_img/157057554.jpg","show blot")</f>
        <v>show blot</v>
      </c>
      <c r="G72" t="s">
        <v>71</v>
      </c>
      <c r="I72" s="6">
        <v>3.6233965387329983</v>
      </c>
      <c r="K72" s="8"/>
    </row>
    <row r="73" spans="1:11" ht="15" x14ac:dyDescent="0.25">
      <c r="A73" s="3" t="str">
        <f>HYPERLINK("proteomic_fractions_linear_files/Yang_linear_img/37574113.jpg", "37574113")</f>
        <v>37574113</v>
      </c>
      <c r="C73" s="3" t="str">
        <f>HYPERLINK("http://www.ncbi.nlm.nih.gov/protein/37574113","Abr")</f>
        <v>Abr</v>
      </c>
      <c r="E73" t="str">
        <f>HYPERLINK("J:\Depot - mpkCCD Fractions\Main Web Page\Web Pages_old\proteomic_fractions_linear_files/Yang_linear_img/37574113.jpg","show blot")</f>
        <v>show blot</v>
      </c>
      <c r="G73" t="s">
        <v>72</v>
      </c>
      <c r="I73" s="6">
        <v>1.9571355264956696</v>
      </c>
      <c r="K73" s="8"/>
    </row>
    <row r="74" spans="1:11" ht="15" x14ac:dyDescent="0.25">
      <c r="A74" s="3" t="str">
        <f>HYPERLINK("proteomic_fractions_linear_files/Yang_linear_img/38683820.jpg", "38683820")</f>
        <v>38683820</v>
      </c>
      <c r="C74" s="3" t="str">
        <f>HYPERLINK("http://www.ncbi.nlm.nih.gov/protein/38683820","Abr")</f>
        <v>Abr</v>
      </c>
      <c r="E74" t="str">
        <f>HYPERLINK("J:\Depot - mpkCCD Fractions\Main Web Page\Web Pages_old\proteomic_fractions_linear_files/Yang_linear_img/38683820.jpg","show blot")</f>
        <v>show blot</v>
      </c>
      <c r="G74" t="s">
        <v>73</v>
      </c>
      <c r="I74" s="6">
        <v>1.9571355264956696</v>
      </c>
      <c r="K74" s="8"/>
    </row>
    <row r="75" spans="1:11" ht="15" x14ac:dyDescent="0.25">
      <c r="A75" s="3" t="str">
        <f>HYPERLINK("proteomic_fractions_linear_files/Yang_linear_img/38683822.jpg", "38683822")</f>
        <v>38683822</v>
      </c>
      <c r="C75" s="3" t="str">
        <f>HYPERLINK("http://www.ncbi.nlm.nih.gov/protein/38683822","Abr")</f>
        <v>Abr</v>
      </c>
      <c r="E75" t="str">
        <f>HYPERLINK("J:\Depot - mpkCCD Fractions\Main Web Page\Web Pages_old\proteomic_fractions_linear_files/Yang_linear_img/38683822.jpg","show blot")</f>
        <v>show blot</v>
      </c>
      <c r="G75" t="s">
        <v>74</v>
      </c>
      <c r="I75" s="6">
        <v>1.9571355264956696</v>
      </c>
      <c r="K75" s="8"/>
    </row>
    <row r="76" spans="1:11" ht="15" x14ac:dyDescent="0.25">
      <c r="A76" s="3" t="str">
        <f>HYPERLINK("proteomic_fractions_linear_files/Yang_linear_img/153791468.jpg", "153791468")</f>
        <v>153791468</v>
      </c>
      <c r="C76" s="3" t="str">
        <f>HYPERLINK("http://www.ncbi.nlm.nih.gov/protein/153791468","Abracl")</f>
        <v>Abracl</v>
      </c>
      <c r="E76" t="str">
        <f>HYPERLINK("J:\Depot - mpkCCD Fractions\Main Web Page\Web Pages_old\proteomic_fractions_linear_files/Yang_linear_img/153791468.jpg","show blot")</f>
        <v>show blot</v>
      </c>
      <c r="G76" t="s">
        <v>75</v>
      </c>
      <c r="I76" s="6">
        <v>5.3367592315040948</v>
      </c>
      <c r="K76" s="8"/>
    </row>
    <row r="77" spans="1:11" ht="15" x14ac:dyDescent="0.25">
      <c r="A77" s="3" t="str">
        <f>HYPERLINK("proteomic_fractions_linear_files/Yang_linear_img/49402267.jpg", "49402267")</f>
        <v>49402267</v>
      </c>
      <c r="C77" s="3" t="str">
        <f>HYPERLINK("http://www.ncbi.nlm.nih.gov/protein/49402267","Abtb2")</f>
        <v>Abtb2</v>
      </c>
      <c r="E77" t="str">
        <f>HYPERLINK("J:\Depot - mpkCCD Fractions\Main Web Page\Web Pages_old\proteomic_fractions_linear_files/Yang_linear_img/49402267.jpg","show blot")</f>
        <v>show blot</v>
      </c>
      <c r="G77" t="s">
        <v>76</v>
      </c>
      <c r="I77" s="6">
        <v>2.477405231801078</v>
      </c>
      <c r="K77" s="8"/>
    </row>
    <row r="78" spans="1:11" ht="15" x14ac:dyDescent="0.25">
      <c r="A78" s="3" t="str">
        <f>HYPERLINK("proteomic_fractions_linear_files/Yang_linear_img/18700004.jpg", "18700004")</f>
        <v>18700004</v>
      </c>
      <c r="C78" s="3" t="str">
        <f>HYPERLINK("http://www.ncbi.nlm.nih.gov/protein/18700004","Acaa1a")</f>
        <v>Acaa1a</v>
      </c>
      <c r="E78" t="str">
        <f>HYPERLINK("J:\Depot - mpkCCD Fractions\Main Web Page\Web Pages_old\proteomic_fractions_linear_files/Yang_linear_img/18700004.jpg","show blot")</f>
        <v>show blot</v>
      </c>
      <c r="G78" t="s">
        <v>77</v>
      </c>
      <c r="I78" s="6">
        <v>5.7699534338714367</v>
      </c>
      <c r="K78" s="8"/>
    </row>
    <row r="79" spans="1:11" ht="15" x14ac:dyDescent="0.25">
      <c r="A79" s="3" t="str">
        <f>HYPERLINK("proteomic_fractions_linear_files/Yang_linear_img/22122797.jpg", "22122797")</f>
        <v>22122797</v>
      </c>
      <c r="C79" s="3" t="str">
        <f>HYPERLINK("http://www.ncbi.nlm.nih.gov/protein/22122797","Acaa1b")</f>
        <v>Acaa1b</v>
      </c>
      <c r="E79" t="str">
        <f>HYPERLINK("J:\Depot - mpkCCD Fractions\Main Web Page\Web Pages_old\proteomic_fractions_linear_files/Yang_linear_img/22122797.jpg","show blot")</f>
        <v>show blot</v>
      </c>
      <c r="G79" t="s">
        <v>78</v>
      </c>
      <c r="I79" s="6">
        <v>5.4540185221982895</v>
      </c>
      <c r="K79" s="8"/>
    </row>
    <row r="80" spans="1:11" ht="15" x14ac:dyDescent="0.25">
      <c r="A80" s="3" t="str">
        <f>HYPERLINK("proteomic_fractions_linear_files/Yang_linear_img/29126205.jpg", "29126205")</f>
        <v>29126205</v>
      </c>
      <c r="C80" s="3" t="str">
        <f>HYPERLINK("http://www.ncbi.nlm.nih.gov/protein/29126205","Acaa2")</f>
        <v>Acaa2</v>
      </c>
      <c r="E80" t="str">
        <f>HYPERLINK("J:\Depot - mpkCCD Fractions\Main Web Page\Web Pages_old\proteomic_fractions_linear_files/Yang_linear_img/29126205.jpg","show blot")</f>
        <v>show blot</v>
      </c>
      <c r="G80" t="s">
        <v>79</v>
      </c>
      <c r="I80" s="6">
        <v>6.6723085852537993</v>
      </c>
      <c r="K80" s="8"/>
    </row>
    <row r="81" spans="1:11" ht="15" x14ac:dyDescent="0.25">
      <c r="A81" s="3" t="str">
        <f>HYPERLINK("proteomic_fractions_linear_files/Yang_linear_img/125656173.jpg", "125656173")</f>
        <v>125656173</v>
      </c>
      <c r="C81" s="3" t="str">
        <f>HYPERLINK("http://www.ncbi.nlm.nih.gov/protein/125656173","Acaca")</f>
        <v>Acaca</v>
      </c>
      <c r="E81" t="str">
        <f>HYPERLINK("J:\Depot - mpkCCD Fractions\Main Web Page\Web Pages_old\proteomic_fractions_linear_files/Yang_linear_img/125656173.jpg","show blot")</f>
        <v>show blot</v>
      </c>
      <c r="G81" t="s">
        <v>80</v>
      </c>
      <c r="I81" s="6">
        <v>4.5858718158949738</v>
      </c>
      <c r="K81" s="8"/>
    </row>
    <row r="82" spans="1:11" ht="15" x14ac:dyDescent="0.25">
      <c r="A82" s="3" t="str">
        <f>HYPERLINK("proteomic_fractions_linear_files/Yang_linear_img/157042798.jpg", "157042798")</f>
        <v>157042798</v>
      </c>
      <c r="C82" s="3" t="str">
        <f>HYPERLINK("http://www.ncbi.nlm.nih.gov/protein/157042798","Acacb")</f>
        <v>Acacb</v>
      </c>
      <c r="E82" t="str">
        <f>HYPERLINK("J:\Depot - mpkCCD Fractions\Main Web Page\Web Pages_old\proteomic_fractions_linear_files/Yang_linear_img/157042798.jpg","show blot")</f>
        <v>show blot</v>
      </c>
      <c r="G82" t="s">
        <v>81</v>
      </c>
      <c r="I82" s="6">
        <v>4.01405398661218</v>
      </c>
      <c r="K82" s="8"/>
    </row>
    <row r="83" spans="1:11" ht="15" x14ac:dyDescent="0.25">
      <c r="A83" s="3" t="str">
        <f>HYPERLINK("proteomic_fractions_linear_files/Yang_linear_img/156255157.jpg", "156255157")</f>
        <v>156255157</v>
      </c>
      <c r="C83" s="3" t="str">
        <f>HYPERLINK("http://www.ncbi.nlm.nih.gov/protein/156255157","Acad10")</f>
        <v>Acad10</v>
      </c>
      <c r="E83" t="str">
        <f>HYPERLINK("J:\Depot - mpkCCD Fractions\Main Web Page\Web Pages_old\proteomic_fractions_linear_files/Yang_linear_img/156255157.jpg","show blot")</f>
        <v>show blot</v>
      </c>
      <c r="G83" t="s">
        <v>82</v>
      </c>
      <c r="I83" s="6">
        <v>3.891191145603949</v>
      </c>
      <c r="K83" s="8"/>
    </row>
    <row r="84" spans="1:11" ht="15" x14ac:dyDescent="0.25">
      <c r="A84" s="3" t="str">
        <f>HYPERLINK("proteomic_fractions_linear_files/Yang_linear_img/74271799.jpg", "74271799")</f>
        <v>74271799</v>
      </c>
      <c r="C84" s="3" t="str">
        <f>HYPERLINK("http://www.ncbi.nlm.nih.gov/protein/74271799","Acad11")</f>
        <v>Acad11</v>
      </c>
      <c r="E84" t="str">
        <f>HYPERLINK("J:\Depot - mpkCCD Fractions\Main Web Page\Web Pages_old\proteomic_fractions_linear_files/Yang_linear_img/74271799.jpg","show blot")</f>
        <v>show blot</v>
      </c>
      <c r="G84" t="s">
        <v>83</v>
      </c>
      <c r="I84" s="6">
        <v>4.7024644358251857</v>
      </c>
      <c r="K84" s="8"/>
    </row>
    <row r="85" spans="1:11" ht="15" x14ac:dyDescent="0.25">
      <c r="A85" s="3" t="str">
        <f>HYPERLINK("proteomic_fractions_linear_files/Yang_linear_img/257467675.jpg", "257467675")</f>
        <v>257467675</v>
      </c>
      <c r="C85" s="3" t="str">
        <f>HYPERLINK("http://www.ncbi.nlm.nih.gov/protein/257467675","Acad12")</f>
        <v>Acad12</v>
      </c>
      <c r="E85" t="str">
        <f>HYPERLINK("J:\Depot - mpkCCD Fractions\Main Web Page\Web Pages_old\proteomic_fractions_linear_files/Yang_linear_img/257467675.jpg","show blot")</f>
        <v>show blot</v>
      </c>
      <c r="G85" t="s">
        <v>84</v>
      </c>
      <c r="I85" s="6">
        <v>4.1168061387551882</v>
      </c>
      <c r="K85" s="8"/>
    </row>
    <row r="86" spans="1:11" ht="15" x14ac:dyDescent="0.25">
      <c r="A86" s="3" t="str">
        <f>HYPERLINK("proteomic_fractions_linear_files/Yang_linear_img/118403322.jpg", "118403322")</f>
        <v>118403322</v>
      </c>
      <c r="C86" s="3" t="str">
        <f>HYPERLINK("http://www.ncbi.nlm.nih.gov/protein/118403322","Acad8")</f>
        <v>Acad8</v>
      </c>
      <c r="E86" t="str">
        <f>HYPERLINK("J:\Depot - mpkCCD Fractions\Main Web Page\Web Pages_old\proteomic_fractions_linear_files/Yang_linear_img/118403322.jpg","show blot")</f>
        <v>show blot</v>
      </c>
      <c r="G86" t="s">
        <v>85</v>
      </c>
      <c r="I86" s="6">
        <v>4.4065071718464406</v>
      </c>
      <c r="K86" s="8"/>
    </row>
    <row r="87" spans="1:11" ht="15" x14ac:dyDescent="0.25">
      <c r="A87" s="3" t="str">
        <f>HYPERLINK("proteomic_fractions_linear_files/Yang_linear_img/100817933.jpg", "100817933")</f>
        <v>100817933</v>
      </c>
      <c r="C87" s="3" t="str">
        <f>HYPERLINK("http://www.ncbi.nlm.nih.gov/protein/100817933","Acad9")</f>
        <v>Acad9</v>
      </c>
      <c r="E87" t="str">
        <f>HYPERLINK("J:\Depot - mpkCCD Fractions\Main Web Page\Web Pages_old\proteomic_fractions_linear_files/Yang_linear_img/100817933.jpg","show blot")</f>
        <v>show blot</v>
      </c>
      <c r="G87" t="s">
        <v>86</v>
      </c>
      <c r="I87" s="6">
        <v>5.2617371694136663</v>
      </c>
      <c r="K87" s="8"/>
    </row>
    <row r="88" spans="1:11" ht="15" x14ac:dyDescent="0.25">
      <c r="A88" s="3" t="str">
        <f>HYPERLINK("proteomic_fractions_linear_files/Yang_linear_img/31982520.jpg", "31982520")</f>
        <v>31982520</v>
      </c>
      <c r="C88" s="3" t="str">
        <f>HYPERLINK("http://www.ncbi.nlm.nih.gov/protein/31982520","Acadl")</f>
        <v>Acadl</v>
      </c>
      <c r="E88" t="str">
        <f>HYPERLINK("J:\Depot - mpkCCD Fractions\Main Web Page\Web Pages_old\proteomic_fractions_linear_files/Yang_linear_img/31982520.jpg","show blot")</f>
        <v>show blot</v>
      </c>
      <c r="G88" t="s">
        <v>87</v>
      </c>
      <c r="I88" s="6">
        <v>6.2878850498438066</v>
      </c>
      <c r="K88" s="8"/>
    </row>
    <row r="89" spans="1:11" ht="15" x14ac:dyDescent="0.25">
      <c r="A89" s="3" t="str">
        <f>HYPERLINK("proteomic_fractions_linear_files/Yang_linear_img/6680618.jpg", "6680618")</f>
        <v>6680618</v>
      </c>
      <c r="C89" s="3" t="str">
        <f>HYPERLINK("http://www.ncbi.nlm.nih.gov/protein/6680618","Acadm")</f>
        <v>Acadm</v>
      </c>
      <c r="E89" t="str">
        <f>HYPERLINK("J:\Depot - mpkCCD Fractions\Main Web Page\Web Pages_old\proteomic_fractions_linear_files/Yang_linear_img/6680618.jpg","show blot")</f>
        <v>show blot</v>
      </c>
      <c r="G89" t="s">
        <v>88</v>
      </c>
      <c r="I89" s="6">
        <v>6.0470089042384254</v>
      </c>
      <c r="K89" s="8"/>
    </row>
    <row r="90" spans="1:11" ht="15" x14ac:dyDescent="0.25">
      <c r="A90" s="3" t="str">
        <f>HYPERLINK("proteomic_fractions_linear_files/Yang_linear_img/31982522.jpg", "31982522")</f>
        <v>31982522</v>
      </c>
      <c r="C90" s="3" t="str">
        <f>HYPERLINK("http://www.ncbi.nlm.nih.gov/protein/31982522","Acads")</f>
        <v>Acads</v>
      </c>
      <c r="E90" t="str">
        <f>HYPERLINK("J:\Depot - mpkCCD Fractions\Main Web Page\Web Pages_old\proteomic_fractions_linear_files/Yang_linear_img/31982522.jpg","show blot")</f>
        <v>show blot</v>
      </c>
      <c r="G90" t="s">
        <v>89</v>
      </c>
      <c r="I90" s="6">
        <v>5.489764510850053</v>
      </c>
      <c r="K90" s="8"/>
    </row>
    <row r="91" spans="1:11" ht="15" x14ac:dyDescent="0.25">
      <c r="A91" s="3" t="str">
        <f>HYPERLINK("proteomic_fractions_linear_files/Yang_linear_img/17647119.jpg", "17647119")</f>
        <v>17647119</v>
      </c>
      <c r="C91" s="3" t="str">
        <f>HYPERLINK("http://www.ncbi.nlm.nih.gov/protein/17647119","Acadsb")</f>
        <v>Acadsb</v>
      </c>
      <c r="E91" t="str">
        <f>HYPERLINK("J:\Depot - mpkCCD Fractions\Main Web Page\Web Pages_old\proteomic_fractions_linear_files/Yang_linear_img/17647119.jpg","show blot")</f>
        <v>show blot</v>
      </c>
      <c r="G91" t="s">
        <v>90</v>
      </c>
      <c r="I91" s="6">
        <v>3.6991977899619521</v>
      </c>
      <c r="K91" s="8"/>
    </row>
    <row r="92" spans="1:11" ht="15" x14ac:dyDescent="0.25">
      <c r="A92" s="3" t="str">
        <f>HYPERLINK("proteomic_fractions_linear_files/Yang_linear_img/23956084.jpg", "23956084")</f>
        <v>23956084</v>
      </c>
      <c r="C92" s="3" t="str">
        <f>HYPERLINK("http://www.ncbi.nlm.nih.gov/protein/23956084","Acadvl")</f>
        <v>Acadvl</v>
      </c>
      <c r="E92" t="str">
        <f>HYPERLINK("J:\Depot - mpkCCD Fractions\Main Web Page\Web Pages_old\proteomic_fractions_linear_files/Yang_linear_img/23956084.jpg","show blot")</f>
        <v>show blot</v>
      </c>
      <c r="G92" t="s">
        <v>91</v>
      </c>
      <c r="I92" s="6">
        <v>5.6328003420356332</v>
      </c>
      <c r="K92" s="8"/>
    </row>
    <row r="93" spans="1:11" ht="15" x14ac:dyDescent="0.25">
      <c r="A93" s="3" t="str">
        <f>HYPERLINK("proteomic_fractions_linear_files/Yang_linear_img/62079289.jpg", "62079289")</f>
        <v>62079289</v>
      </c>
      <c r="C93" s="3" t="str">
        <f>HYPERLINK("http://www.ncbi.nlm.nih.gov/protein/62079289","Acap2")</f>
        <v>Acap2</v>
      </c>
      <c r="E93" t="str">
        <f>HYPERLINK("J:\Depot - mpkCCD Fractions\Main Web Page\Web Pages_old\proteomic_fractions_linear_files/Yang_linear_img/62079289.jpg","show blot")</f>
        <v>show blot</v>
      </c>
      <c r="G93" t="s">
        <v>92</v>
      </c>
      <c r="I93" s="6">
        <v>4.6361437223433288</v>
      </c>
      <c r="K93" s="8"/>
    </row>
    <row r="94" spans="1:11" ht="15" x14ac:dyDescent="0.25">
      <c r="A94" s="3" t="str">
        <f>HYPERLINK("proteomic_fractions_linear_files/Yang_linear_img/21450129.jpg", "21450129")</f>
        <v>21450129</v>
      </c>
      <c r="C94" s="3" t="str">
        <f>HYPERLINK("http://www.ncbi.nlm.nih.gov/protein/21450129","Acat1")</f>
        <v>Acat1</v>
      </c>
      <c r="E94" t="str">
        <f>HYPERLINK("J:\Depot - mpkCCD Fractions\Main Web Page\Web Pages_old\proteomic_fractions_linear_files/Yang_linear_img/21450129.jpg","show blot")</f>
        <v>show blot</v>
      </c>
      <c r="G94" t="s">
        <v>93</v>
      </c>
      <c r="I94" s="6">
        <v>5.7870171155868517</v>
      </c>
      <c r="K94" s="8"/>
    </row>
    <row r="95" spans="1:11" ht="15" x14ac:dyDescent="0.25">
      <c r="A95" s="3" t="str">
        <f>HYPERLINK("proteomic_fractions_linear_files/Yang_linear_img/148747461.jpg", "148747461")</f>
        <v>148747461</v>
      </c>
      <c r="C95" s="3" t="str">
        <f>HYPERLINK("http://www.ncbi.nlm.nih.gov/protein/148747461","Acat2")</f>
        <v>Acat2</v>
      </c>
      <c r="E95" t="str">
        <f>HYPERLINK("J:\Depot - mpkCCD Fractions\Main Web Page\Web Pages_old\proteomic_fractions_linear_files/Yang_linear_img/148747461.jpg","show blot")</f>
        <v>show blot</v>
      </c>
      <c r="G95" t="s">
        <v>94</v>
      </c>
      <c r="I95" s="6">
        <v>5.5778991106358857</v>
      </c>
      <c r="K95" s="8"/>
    </row>
    <row r="96" spans="1:11" ht="15" x14ac:dyDescent="0.25">
      <c r="A96" s="3" t="str">
        <f>HYPERLINK("proteomic_fractions_linear_files/Yang_linear_img/110625948.jpg", "110625948")</f>
        <v>110625948</v>
      </c>
      <c r="C96" s="3" t="str">
        <f>HYPERLINK("http://www.ncbi.nlm.nih.gov/protein/110625948","Acat3")</f>
        <v>Acat3</v>
      </c>
      <c r="E96" t="str">
        <f>HYPERLINK("J:\Depot - mpkCCD Fractions\Main Web Page\Web Pages_old\proteomic_fractions_linear_files/Yang_linear_img/110625948.jpg","show blot")</f>
        <v>show blot</v>
      </c>
      <c r="G96" t="s">
        <v>95</v>
      </c>
      <c r="I96" s="6">
        <v>5.3319078685868542</v>
      </c>
      <c r="K96" s="8"/>
    </row>
    <row r="97" spans="1:11" ht="15" x14ac:dyDescent="0.25">
      <c r="A97" s="3" t="str">
        <f>HYPERLINK("proteomic_fractions_linear_files/Yang_linear_img/229608928.jpg", "229608928")</f>
        <v>229608928</v>
      </c>
      <c r="C97" s="3" t="str">
        <f>HYPERLINK("http://www.ncbi.nlm.nih.gov/protein/229608928","Acbd3")</f>
        <v>Acbd3</v>
      </c>
      <c r="E97" t="str">
        <f>HYPERLINK("J:\Depot - mpkCCD Fractions\Main Web Page\Web Pages_old\proteomic_fractions_linear_files/Yang_linear_img/229608928.jpg","show blot")</f>
        <v>show blot</v>
      </c>
      <c r="G97" t="s">
        <v>96</v>
      </c>
      <c r="I97" s="6">
        <v>4.7851983338849475</v>
      </c>
      <c r="K97" s="8"/>
    </row>
    <row r="98" spans="1:11" ht="15" x14ac:dyDescent="0.25">
      <c r="A98" s="3" t="str">
        <f>HYPERLINK("proteomic_fractions_linear_files/Yang_linear_img/156255161.jpg", "156255161")</f>
        <v>156255161</v>
      </c>
      <c r="C98" s="3" t="str">
        <f>HYPERLINK("http://www.ncbi.nlm.nih.gov/protein/156255161","Acbd5")</f>
        <v>Acbd5</v>
      </c>
      <c r="E98" t="str">
        <f>HYPERLINK("J:\Depot - mpkCCD Fractions\Main Web Page\Web Pages_old\proteomic_fractions_linear_files/Yang_linear_img/156255161.jpg","show blot")</f>
        <v>show blot</v>
      </c>
      <c r="G98" t="s">
        <v>97</v>
      </c>
      <c r="I98" s="6">
        <v>4.3148458117113151</v>
      </c>
      <c r="K98" s="8"/>
    </row>
    <row r="99" spans="1:11" ht="15" x14ac:dyDescent="0.25">
      <c r="A99" s="3" t="str">
        <f>HYPERLINK("proteomic_fractions_linear_files/Yang_linear_img/156255163.jpg", "156255163")</f>
        <v>156255163</v>
      </c>
      <c r="C99" s="3" t="str">
        <f>HYPERLINK("http://www.ncbi.nlm.nih.gov/protein/156255163","Acbd5")</f>
        <v>Acbd5</v>
      </c>
      <c r="E99" t="str">
        <f>HYPERLINK("J:\Depot - mpkCCD Fractions\Main Web Page\Web Pages_old\proteomic_fractions_linear_files/Yang_linear_img/156255163.jpg","show blot")</f>
        <v>show blot</v>
      </c>
      <c r="G99" t="s">
        <v>98</v>
      </c>
      <c r="I99" s="6">
        <v>4.3148458117113151</v>
      </c>
      <c r="K99" s="8"/>
    </row>
    <row r="100" spans="1:11" ht="15" x14ac:dyDescent="0.25">
      <c r="A100" s="3" t="str">
        <f>HYPERLINK("proteomic_fractions_linear_files/Yang_linear_img/156255165.jpg", "156255165")</f>
        <v>156255165</v>
      </c>
      <c r="C100" s="3" t="str">
        <f>HYPERLINK("http://www.ncbi.nlm.nih.gov/protein/156255165","Acbd5")</f>
        <v>Acbd5</v>
      </c>
      <c r="E100" t="str">
        <f>HYPERLINK("J:\Depot - mpkCCD Fractions\Main Web Page\Web Pages_old\proteomic_fractions_linear_files/Yang_linear_img/156255165.jpg","show blot")</f>
        <v>show blot</v>
      </c>
      <c r="G100" t="s">
        <v>99</v>
      </c>
      <c r="I100" s="6">
        <v>4.3148458117113151</v>
      </c>
      <c r="K100" s="8"/>
    </row>
    <row r="101" spans="1:11" ht="15" x14ac:dyDescent="0.25">
      <c r="A101" s="3" t="str">
        <f>HYPERLINK("proteomic_fractions_linear_files/Yang_linear_img/27229192.jpg", "27229192")</f>
        <v>27229192</v>
      </c>
      <c r="C101" s="3" t="str">
        <f>HYPERLINK("http://www.ncbi.nlm.nih.gov/protein/27229192","Acbd5")</f>
        <v>Acbd5</v>
      </c>
      <c r="E101" t="str">
        <f>HYPERLINK("J:\Depot - mpkCCD Fractions\Main Web Page\Web Pages_old\proteomic_fractions_linear_files/Yang_linear_img/27229192.jpg","show blot")</f>
        <v>show blot</v>
      </c>
      <c r="G101" t="s">
        <v>100</v>
      </c>
      <c r="I101" s="6">
        <v>4.3148458117113151</v>
      </c>
      <c r="K101" s="8"/>
    </row>
    <row r="102" spans="1:11" ht="15" x14ac:dyDescent="0.25">
      <c r="A102" s="3" t="str">
        <f>HYPERLINK("proteomic_fractions_linear_files/Yang_linear_img/224809391.jpg", "224809391")</f>
        <v>224809391</v>
      </c>
      <c r="C102" s="3" t="str">
        <f>HYPERLINK("http://www.ncbi.nlm.nih.gov/protein/224809391","Acbd6")</f>
        <v>Acbd6</v>
      </c>
      <c r="E102" t="str">
        <f>HYPERLINK("J:\Depot - mpkCCD Fractions\Main Web Page\Web Pages_old\proteomic_fractions_linear_files/Yang_linear_img/224809391.jpg","show blot")</f>
        <v>show blot</v>
      </c>
      <c r="G102" t="s">
        <v>101</v>
      </c>
      <c r="I102" s="6">
        <v>4.3142464432783694</v>
      </c>
      <c r="K102" s="8"/>
    </row>
    <row r="103" spans="1:11" ht="15" x14ac:dyDescent="0.25">
      <c r="A103" s="3" t="str">
        <f>HYPERLINK("proteomic_fractions_linear_files/Yang_linear_img/224809393.jpg", "224809393")</f>
        <v>224809393</v>
      </c>
      <c r="C103" s="3" t="str">
        <f>HYPERLINK("http://www.ncbi.nlm.nih.gov/protein/224809393","Acbd6")</f>
        <v>Acbd6</v>
      </c>
      <c r="E103" t="str">
        <f>HYPERLINK("J:\Depot - mpkCCD Fractions\Main Web Page\Web Pages_old\proteomic_fractions_linear_files/Yang_linear_img/224809393.jpg","show blot")</f>
        <v>show blot</v>
      </c>
      <c r="G103" t="s">
        <v>102</v>
      </c>
      <c r="I103" s="6">
        <v>4.3142464432783694</v>
      </c>
      <c r="K103" s="8"/>
    </row>
    <row r="104" spans="1:11" ht="15" x14ac:dyDescent="0.25">
      <c r="A104" s="3" t="str">
        <f>HYPERLINK("proteomic_fractions_linear_files/Yang_linear_img/224809389.jpg", "224809389")</f>
        <v>224809389</v>
      </c>
      <c r="C104" s="3" t="str">
        <f>HYPERLINK("http://www.ncbi.nlm.nih.gov/protein/224809389","Acbd6")</f>
        <v>Acbd6</v>
      </c>
      <c r="E104" t="str">
        <f>HYPERLINK("J:\Depot - mpkCCD Fractions\Main Web Page\Web Pages_old\proteomic_fractions_linear_files/Yang_linear_img/224809389.jpg","show blot")</f>
        <v>show blot</v>
      </c>
      <c r="G104" t="s">
        <v>103</v>
      </c>
      <c r="I104" s="6">
        <v>4.3142464432783694</v>
      </c>
      <c r="K104" s="8"/>
    </row>
    <row r="105" spans="1:11" ht="15" x14ac:dyDescent="0.25">
      <c r="A105" s="3" t="str">
        <f>HYPERLINK("proteomic_fractions_linear_files/Yang_linear_img/60593059.jpg", "60593059")</f>
        <v>60593059</v>
      </c>
      <c r="C105" s="3" t="str">
        <f>HYPERLINK("http://www.ncbi.nlm.nih.gov/protein/60593059","Acd")</f>
        <v>Acd</v>
      </c>
      <c r="E105" t="str">
        <f>HYPERLINK("J:\Depot - mpkCCD Fractions\Main Web Page\Web Pages_old\proteomic_fractions_linear_files/Yang_linear_img/60593059.jpg","show blot")</f>
        <v>show blot</v>
      </c>
      <c r="G105" t="s">
        <v>104</v>
      </c>
      <c r="I105" s="6">
        <v>3.4914001409103212</v>
      </c>
      <c r="K105" s="8"/>
    </row>
    <row r="106" spans="1:11" ht="15" x14ac:dyDescent="0.25">
      <c r="A106" s="3" t="str">
        <f>HYPERLINK("proteomic_fractions_linear_files/Yang_linear_img/194394192.jpg", "194394192")</f>
        <v>194394192</v>
      </c>
      <c r="C106" s="3" t="str">
        <f>HYPERLINK("http://www.ncbi.nlm.nih.gov/protein/194394192","Acin1")</f>
        <v>Acin1</v>
      </c>
      <c r="E106" t="str">
        <f>HYPERLINK("J:\Depot - mpkCCD Fractions\Main Web Page\Web Pages_old\proteomic_fractions_linear_files/Yang_linear_img/194394192.jpg","show blot")</f>
        <v>show blot</v>
      </c>
      <c r="G106" t="s">
        <v>105</v>
      </c>
      <c r="I106" s="6">
        <v>4.9974503312269682</v>
      </c>
      <c r="K106" s="8"/>
    </row>
    <row r="107" spans="1:11" ht="15" x14ac:dyDescent="0.25">
      <c r="A107" s="3" t="str">
        <f>HYPERLINK("proteomic_fractions_linear_files/Yang_linear_img/194394195.jpg", "194394195")</f>
        <v>194394195</v>
      </c>
      <c r="C107" s="3" t="str">
        <f>HYPERLINK("http://www.ncbi.nlm.nih.gov/protein/194394195","Acin1")</f>
        <v>Acin1</v>
      </c>
      <c r="E107" t="str">
        <f>HYPERLINK("J:\Depot - mpkCCD Fractions\Main Web Page\Web Pages_old\proteomic_fractions_linear_files/Yang_linear_img/194394195.jpg","show blot")</f>
        <v>show blot</v>
      </c>
      <c r="G107" t="s">
        <v>106</v>
      </c>
      <c r="I107" s="6">
        <v>4.9974503312269682</v>
      </c>
      <c r="K107" s="8"/>
    </row>
    <row r="108" spans="1:11" ht="15" x14ac:dyDescent="0.25">
      <c r="A108" s="3" t="str">
        <f>HYPERLINK("proteomic_fractions_linear_files/Yang_linear_img/336176080.jpg", "336176080")</f>
        <v>336176080</v>
      </c>
      <c r="C108" s="3" t="str">
        <f>HYPERLINK("http://www.ncbi.nlm.nih.gov/protein/336176080","Acin1")</f>
        <v>Acin1</v>
      </c>
      <c r="E108" t="str">
        <f>HYPERLINK("J:\Depot - mpkCCD Fractions\Main Web Page\Web Pages_old\proteomic_fractions_linear_files/Yang_linear_img/336176080.jpg","show blot")</f>
        <v>show blot</v>
      </c>
      <c r="G108" t="s">
        <v>107</v>
      </c>
      <c r="I108" s="6">
        <v>4.9974503312269682</v>
      </c>
      <c r="K108" s="8"/>
    </row>
    <row r="109" spans="1:11" ht="15" x14ac:dyDescent="0.25">
      <c r="A109" s="3" t="str">
        <f>HYPERLINK("proteomic_fractions_linear_files/Yang_linear_img/336176082.jpg", "336176082")</f>
        <v>336176082</v>
      </c>
      <c r="C109" s="3" t="str">
        <f>HYPERLINK("http://www.ncbi.nlm.nih.gov/protein/336176082","Acin1")</f>
        <v>Acin1</v>
      </c>
      <c r="E109" t="str">
        <f>HYPERLINK("J:\Depot - mpkCCD Fractions\Main Web Page\Web Pages_old\proteomic_fractions_linear_files/Yang_linear_img/336176082.jpg","show blot")</f>
        <v>show blot</v>
      </c>
      <c r="G109" t="s">
        <v>108</v>
      </c>
      <c r="I109" s="6">
        <v>4.9974503312269682</v>
      </c>
      <c r="K109" s="8"/>
    </row>
    <row r="110" spans="1:11" ht="15" x14ac:dyDescent="0.25">
      <c r="A110" s="3" t="str">
        <f>HYPERLINK("proteomic_fractions_linear_files/Yang_linear_img/146231985.jpg", "146231985")</f>
        <v>146231985</v>
      </c>
      <c r="C110" s="3" t="str">
        <f>HYPERLINK("http://www.ncbi.nlm.nih.gov/protein/146231985","Acin1")</f>
        <v>Acin1</v>
      </c>
      <c r="E110" t="str">
        <f>HYPERLINK("J:\Depot - mpkCCD Fractions\Main Web Page\Web Pages_old\proteomic_fractions_linear_files/Yang_linear_img/146231985.jpg","show blot")</f>
        <v>show blot</v>
      </c>
      <c r="G110" t="s">
        <v>109</v>
      </c>
      <c r="I110" s="6">
        <v>4.9974503312269682</v>
      </c>
      <c r="K110" s="8"/>
    </row>
    <row r="111" spans="1:11" ht="15" x14ac:dyDescent="0.25">
      <c r="A111" s="3" t="str">
        <f>HYPERLINK("proteomic_fractions_linear_files/Yang_linear_img/194394197.jpg", "194394197")</f>
        <v>194394197</v>
      </c>
      <c r="C111" s="3" t="str">
        <f>HYPERLINK("http://www.ncbi.nlm.nih.gov/protein/194394197","Acin1")</f>
        <v>Acin1</v>
      </c>
      <c r="E111" t="str">
        <f>HYPERLINK("J:\Depot - mpkCCD Fractions\Main Web Page\Web Pages_old\proteomic_fractions_linear_files/Yang_linear_img/194394197.jpg","show blot")</f>
        <v>show blot</v>
      </c>
      <c r="G111" t="s">
        <v>110</v>
      </c>
      <c r="I111" s="6">
        <v>4.9974503312269682</v>
      </c>
      <c r="K111" s="8"/>
    </row>
    <row r="112" spans="1:11" ht="15" x14ac:dyDescent="0.25">
      <c r="A112" s="3" t="str">
        <f>HYPERLINK("proteomic_fractions_linear_files/Yang_linear_img/29293809.jpg", "29293809")</f>
        <v>29293809</v>
      </c>
      <c r="C112" s="3" t="str">
        <f>HYPERLINK("http://www.ncbi.nlm.nih.gov/protein/29293809","Acly")</f>
        <v>Acly</v>
      </c>
      <c r="E112" t="str">
        <f>HYPERLINK("J:\Depot - mpkCCD Fractions\Main Web Page\Web Pages_old\proteomic_fractions_linear_files/Yang_linear_img/29293809.jpg","show blot")</f>
        <v>show blot</v>
      </c>
      <c r="G112" t="s">
        <v>111</v>
      </c>
      <c r="I112" s="6">
        <v>6.1351442054235559</v>
      </c>
      <c r="K112" s="8"/>
    </row>
    <row r="113" spans="1:11" ht="15" x14ac:dyDescent="0.25">
      <c r="A113" s="3" t="str">
        <f>HYPERLINK("proteomic_fractions_linear_files/Yang_linear_img/313151222.jpg", "313151222")</f>
        <v>313151222</v>
      </c>
      <c r="C113" s="3" t="str">
        <f>HYPERLINK("http://www.ncbi.nlm.nih.gov/protein/313151222","Acly")</f>
        <v>Acly</v>
      </c>
      <c r="E113" t="str">
        <f>HYPERLINK("J:\Depot - mpkCCD Fractions\Main Web Page\Web Pages_old\proteomic_fractions_linear_files/Yang_linear_img/313151222.jpg","show blot")</f>
        <v>show blot</v>
      </c>
      <c r="G113" t="s">
        <v>112</v>
      </c>
      <c r="I113" s="6">
        <v>6.1351442054235559</v>
      </c>
      <c r="K113" s="8"/>
    </row>
    <row r="114" spans="1:11" ht="15" x14ac:dyDescent="0.25">
      <c r="A114" s="3" t="str">
        <f>HYPERLINK("proteomic_fractions_linear_files/Yang_linear_img/110347487.jpg", "110347487")</f>
        <v>110347487</v>
      </c>
      <c r="C114" s="3" t="str">
        <f>HYPERLINK("http://www.ncbi.nlm.nih.gov/protein/110347487","Aco1")</f>
        <v>Aco1</v>
      </c>
      <c r="E114" t="str">
        <f>HYPERLINK("J:\Depot - mpkCCD Fractions\Main Web Page\Web Pages_old\proteomic_fractions_linear_files/Yang_linear_img/110347487.jpg","show blot")</f>
        <v>show blot</v>
      </c>
      <c r="G114" t="s">
        <v>113</v>
      </c>
      <c r="I114" s="6">
        <v>5.2925553257002456</v>
      </c>
      <c r="K114" s="8"/>
    </row>
    <row r="115" spans="1:11" ht="15" x14ac:dyDescent="0.25">
      <c r="A115" s="3" t="str">
        <f>HYPERLINK("proteomic_fractions_linear_files/Yang_linear_img/18079339.jpg", "18079339")</f>
        <v>18079339</v>
      </c>
      <c r="C115" s="3" t="str">
        <f>HYPERLINK("http://www.ncbi.nlm.nih.gov/protein/18079339","Aco2")</f>
        <v>Aco2</v>
      </c>
      <c r="E115" t="str">
        <f>HYPERLINK("J:\Depot - mpkCCD Fractions\Main Web Page\Web Pages_old\proteomic_fractions_linear_files/Yang_linear_img/18079339.jpg","show blot")</f>
        <v>show blot</v>
      </c>
      <c r="G115" t="s">
        <v>114</v>
      </c>
      <c r="I115" s="6">
        <v>6.5546307102681869</v>
      </c>
      <c r="K115" s="8"/>
    </row>
    <row r="116" spans="1:11" ht="15" x14ac:dyDescent="0.25">
      <c r="A116" s="3" t="str">
        <f>HYPERLINK("proteomic_fractions_linear_files/Yang_linear_img/6753550.jpg", "6753550")</f>
        <v>6753550</v>
      </c>
      <c r="C116" s="3" t="str">
        <f>HYPERLINK("http://www.ncbi.nlm.nih.gov/protein/6753550","Acot1")</f>
        <v>Acot1</v>
      </c>
      <c r="E116" t="str">
        <f>HYPERLINK("J:\Depot - mpkCCD Fractions\Main Web Page\Web Pages_old\proteomic_fractions_linear_files/Yang_linear_img/6753550.jpg","show blot")</f>
        <v>show blot</v>
      </c>
      <c r="G116" t="s">
        <v>115</v>
      </c>
      <c r="I116" s="6">
        <v>5.8957596342852225</v>
      </c>
      <c r="K116" s="8"/>
    </row>
    <row r="117" spans="1:11" ht="15" x14ac:dyDescent="0.25">
      <c r="A117" s="3" t="str">
        <f>HYPERLINK("proteomic_fractions_linear_files/Yang_linear_img/154426268.jpg", "154426268")</f>
        <v>154426268</v>
      </c>
      <c r="C117" s="3" t="str">
        <f>HYPERLINK("http://www.ncbi.nlm.nih.gov/protein/154426268","Acot10")</f>
        <v>Acot10</v>
      </c>
      <c r="E117" t="str">
        <f>HYPERLINK("J:\Depot - mpkCCD Fractions\Main Web Page\Web Pages_old\proteomic_fractions_linear_files/Yang_linear_img/154426268.jpg","show blot")</f>
        <v>show blot</v>
      </c>
      <c r="G117" t="s">
        <v>116</v>
      </c>
      <c r="I117" s="6">
        <v>4.2010583080610511</v>
      </c>
      <c r="K117" s="8"/>
    </row>
    <row r="118" spans="1:11" ht="15" x14ac:dyDescent="0.25">
      <c r="A118" s="3" t="str">
        <f>HYPERLINK("proteomic_fractions_linear_files/Yang_linear_img/18482377.jpg", "18482377")</f>
        <v>18482377</v>
      </c>
      <c r="C118" s="3" t="str">
        <f>HYPERLINK("http://www.ncbi.nlm.nih.gov/protein/18482377","Acot12")</f>
        <v>Acot12</v>
      </c>
      <c r="E118" t="str">
        <f>HYPERLINK("J:\Depot - mpkCCD Fractions\Main Web Page\Web Pages_old\proteomic_fractions_linear_files/Yang_linear_img/18482377.jpg","show blot")</f>
        <v>show blot</v>
      </c>
      <c r="G118" t="s">
        <v>117</v>
      </c>
      <c r="I118" s="6">
        <v>2.7325594971862825</v>
      </c>
      <c r="K118" s="8"/>
    </row>
    <row r="119" spans="1:11" ht="15" x14ac:dyDescent="0.25">
      <c r="A119" s="3" t="str">
        <f>HYPERLINK("proteomic_fractions_linear_files/Yang_linear_img/13385260.jpg", "13385260")</f>
        <v>13385260</v>
      </c>
      <c r="C119" s="3" t="str">
        <f>HYPERLINK("http://www.ncbi.nlm.nih.gov/protein/13385260","Acot13")</f>
        <v>Acot13</v>
      </c>
      <c r="E119" t="str">
        <f>HYPERLINK("J:\Depot - mpkCCD Fractions\Main Web Page\Web Pages_old\proteomic_fractions_linear_files/Yang_linear_img/13385260.jpg","show blot")</f>
        <v>show blot</v>
      </c>
      <c r="G119" t="s">
        <v>118</v>
      </c>
      <c r="I119" s="6">
        <v>5.2873564729031521</v>
      </c>
      <c r="K119" s="8"/>
    </row>
    <row r="120" spans="1:11" ht="15" x14ac:dyDescent="0.25">
      <c r="A120" s="3" t="str">
        <f>HYPERLINK("proteomic_fractions_linear_files/Yang_linear_img/238624114.jpg", "238624114")</f>
        <v>238624114</v>
      </c>
      <c r="C120" s="3" t="str">
        <f>HYPERLINK("http://www.ncbi.nlm.nih.gov/protein/238624114","Acot2")</f>
        <v>Acot2</v>
      </c>
      <c r="E120" t="str">
        <f>HYPERLINK("J:\Depot - mpkCCD Fractions\Main Web Page\Web Pages_old\proteomic_fractions_linear_files/Yang_linear_img/238624114.jpg","show blot")</f>
        <v>show blot</v>
      </c>
      <c r="G120" t="s">
        <v>119</v>
      </c>
      <c r="I120" s="6">
        <v>6.0614605004775868</v>
      </c>
      <c r="K120" s="8"/>
    </row>
    <row r="121" spans="1:11" ht="15" x14ac:dyDescent="0.25">
      <c r="A121" s="3" t="str">
        <f>HYPERLINK("proteomic_fractions_linear_files/Yang_linear_img/19527406.jpg", "19527406")</f>
        <v>19527406</v>
      </c>
      <c r="C121" s="3" t="str">
        <f>HYPERLINK("http://www.ncbi.nlm.nih.gov/protein/19527406","Acot3")</f>
        <v>Acot3</v>
      </c>
      <c r="E121" t="str">
        <f>HYPERLINK("J:\Depot - mpkCCD Fractions\Main Web Page\Web Pages_old\proteomic_fractions_linear_files/Yang_linear_img/19527406.jpg","show blot")</f>
        <v>show blot</v>
      </c>
      <c r="G121" t="s">
        <v>120</v>
      </c>
      <c r="I121" s="6">
        <v>4.0841984507417637</v>
      </c>
      <c r="K121" s="8"/>
    </row>
    <row r="122" spans="1:11" ht="15" x14ac:dyDescent="0.25">
      <c r="A122" s="3" t="str">
        <f>HYPERLINK("proteomic_fractions_linear_files/Yang_linear_img/269308227.jpg", "269308227")</f>
        <v>269308227</v>
      </c>
      <c r="C122" s="3" t="str">
        <f>HYPERLINK("http://www.ncbi.nlm.nih.gov/protein/269308227","Acot4")</f>
        <v>Acot4</v>
      </c>
      <c r="E122" t="str">
        <f>HYPERLINK("J:\Depot - mpkCCD Fractions\Main Web Page\Web Pages_old\proteomic_fractions_linear_files/Yang_linear_img/269308227.jpg","show blot")</f>
        <v>show blot</v>
      </c>
      <c r="G122" t="s">
        <v>121</v>
      </c>
      <c r="I122" s="6">
        <v>5.4609928928895677</v>
      </c>
      <c r="K122" s="8"/>
    </row>
    <row r="123" spans="1:11" ht="15" x14ac:dyDescent="0.25">
      <c r="A123" s="3" t="str">
        <f>HYPERLINK("proteomic_fractions_linear_files/Yang_linear_img/238550185.jpg", "238550185")</f>
        <v>238550185</v>
      </c>
      <c r="C123" s="3" t="str">
        <f>HYPERLINK("http://www.ncbi.nlm.nih.gov/protein/238550185","Acot5")</f>
        <v>Acot5</v>
      </c>
      <c r="E123" t="str">
        <f>HYPERLINK("J:\Depot - mpkCCD Fractions\Main Web Page\Web Pages_old\proteomic_fractions_linear_files/Yang_linear_img/238550185.jpg","show blot")</f>
        <v>show blot</v>
      </c>
      <c r="G123" t="s">
        <v>122</v>
      </c>
      <c r="I123" s="6">
        <v>4.0935384769959073</v>
      </c>
      <c r="K123" s="8"/>
    </row>
    <row r="124" spans="1:11" ht="15" x14ac:dyDescent="0.25">
      <c r="A124" s="3" t="str">
        <f>HYPERLINK("proteomic_fractions_linear_files/Yang_linear_img/110626167.jpg", "110626167")</f>
        <v>110626167</v>
      </c>
      <c r="C124" s="3" t="str">
        <f>HYPERLINK("http://www.ncbi.nlm.nih.gov/protein/110626167","Acot6")</f>
        <v>Acot6</v>
      </c>
      <c r="E124" t="str">
        <f>HYPERLINK("J:\Depot - mpkCCD Fractions\Main Web Page\Web Pages_old\proteomic_fractions_linear_files/Yang_linear_img/110626167.jpg","show blot")</f>
        <v>show blot</v>
      </c>
      <c r="G124" t="s">
        <v>123</v>
      </c>
      <c r="I124" s="6">
        <v>5.4516528666354249</v>
      </c>
      <c r="K124" s="8"/>
    </row>
    <row r="125" spans="1:11" ht="15" x14ac:dyDescent="0.25">
      <c r="A125" s="3" t="str">
        <f>HYPERLINK("proteomic_fractions_linear_files/Yang_linear_img/225690614.jpg", "225690614")</f>
        <v>225690614</v>
      </c>
      <c r="C125" s="3" t="str">
        <f>HYPERLINK("http://www.ncbi.nlm.nih.gov/protein/225690614","Acot7")</f>
        <v>Acot7</v>
      </c>
      <c r="E125" t="str">
        <f>HYPERLINK("J:\Depot - mpkCCD Fractions\Main Web Page\Web Pages_old\proteomic_fractions_linear_files/Yang_linear_img/225690614.jpg","show blot")</f>
        <v>show blot</v>
      </c>
      <c r="G125" t="s">
        <v>124</v>
      </c>
      <c r="I125" s="6">
        <v>5.084776556663579</v>
      </c>
      <c r="K125" s="8"/>
    </row>
    <row r="126" spans="1:11" ht="15" x14ac:dyDescent="0.25">
      <c r="A126" s="3" t="str">
        <f>HYPERLINK("proteomic_fractions_linear_files/Yang_linear_img/225690616.jpg", "225690616")</f>
        <v>225690616</v>
      </c>
      <c r="C126" s="3" t="str">
        <f>HYPERLINK("http://www.ncbi.nlm.nih.gov/protein/225690616","Acot7")</f>
        <v>Acot7</v>
      </c>
      <c r="E126" t="str">
        <f>HYPERLINK("J:\Depot - mpkCCD Fractions\Main Web Page\Web Pages_old\proteomic_fractions_linear_files/Yang_linear_img/225690616.jpg","show blot")</f>
        <v>show blot</v>
      </c>
      <c r="G126" t="s">
        <v>125</v>
      </c>
      <c r="I126" s="6">
        <v>5.084776556663579</v>
      </c>
      <c r="K126" s="8"/>
    </row>
    <row r="127" spans="1:11" ht="15" x14ac:dyDescent="0.25">
      <c r="A127" s="3" t="str">
        <f>HYPERLINK("proteomic_fractions_linear_files/Yang_linear_img/225690618.jpg", "225690618")</f>
        <v>225690618</v>
      </c>
      <c r="C127" s="3" t="str">
        <f>HYPERLINK("http://www.ncbi.nlm.nih.gov/protein/225690618","Acot7")</f>
        <v>Acot7</v>
      </c>
      <c r="E127" t="str">
        <f>HYPERLINK("J:\Depot - mpkCCD Fractions\Main Web Page\Web Pages_old\proteomic_fractions_linear_files/Yang_linear_img/225690618.jpg","show blot")</f>
        <v>show blot</v>
      </c>
      <c r="G127" t="s">
        <v>126</v>
      </c>
      <c r="I127" s="6">
        <v>5.084776556663579</v>
      </c>
      <c r="K127" s="8"/>
    </row>
    <row r="128" spans="1:11" ht="15" x14ac:dyDescent="0.25">
      <c r="A128" s="3" t="str">
        <f>HYPERLINK("proteomic_fractions_linear_files/Yang_linear_img/254587964.jpg", "254587964")</f>
        <v>254587964</v>
      </c>
      <c r="C128" s="3" t="str">
        <f>HYPERLINK("http://www.ncbi.nlm.nih.gov/protein/254587964","Acot8")</f>
        <v>Acot8</v>
      </c>
      <c r="E128" t="str">
        <f>HYPERLINK("J:\Depot - mpkCCD Fractions\Main Web Page\Web Pages_old\proteomic_fractions_linear_files/Yang_linear_img/254587964.jpg","show blot")</f>
        <v>show blot</v>
      </c>
      <c r="G128" t="s">
        <v>127</v>
      </c>
      <c r="I128" s="6">
        <v>4.8110001738366819</v>
      </c>
      <c r="K128" s="8"/>
    </row>
    <row r="129" spans="1:11" ht="15" x14ac:dyDescent="0.25">
      <c r="A129" s="3" t="str">
        <f>HYPERLINK("proteomic_fractions_linear_files/Yang_linear_img/31980998.jpg", "31980998")</f>
        <v>31980998</v>
      </c>
      <c r="C129" s="3" t="str">
        <f>HYPERLINK("http://www.ncbi.nlm.nih.gov/protein/31980998","Acot9")</f>
        <v>Acot9</v>
      </c>
      <c r="E129" t="str">
        <f>HYPERLINK("J:\Depot - mpkCCD Fractions\Main Web Page\Web Pages_old\proteomic_fractions_linear_files/Yang_linear_img/31980998.jpg","show blot")</f>
        <v>show blot</v>
      </c>
      <c r="G129" t="s">
        <v>128</v>
      </c>
      <c r="I129" s="6">
        <v>4.7319898815422459</v>
      </c>
      <c r="K129" s="8"/>
    </row>
    <row r="130" spans="1:11" ht="15" x14ac:dyDescent="0.25">
      <c r="A130" s="3" t="str">
        <f>HYPERLINK("proteomic_fractions_linear_files/Yang_linear_img/429484484.jpg", "429484484")</f>
        <v>429484484</v>
      </c>
      <c r="C130" s="3" t="str">
        <f>HYPERLINK("http://www.ncbi.nlm.nih.gov/protein/429484484","Acox1")</f>
        <v>Acox1</v>
      </c>
      <c r="E130" t="str">
        <f>HYPERLINK("J:\Depot - mpkCCD Fractions\Main Web Page\Web Pages_old\proteomic_fractions_linear_files/Yang_linear_img/429484484.jpg","show blot")</f>
        <v>show blot</v>
      </c>
      <c r="G130" t="s">
        <v>129</v>
      </c>
      <c r="I130" s="6">
        <v>5.281444783759448</v>
      </c>
      <c r="K130" s="8"/>
    </row>
    <row r="131" spans="1:11" ht="15" x14ac:dyDescent="0.25">
      <c r="A131" s="3" t="str">
        <f>HYPERLINK("proteomic_fractions_linear_files/Yang_linear_img/66793429.jpg", "66793429")</f>
        <v>66793429</v>
      </c>
      <c r="C131" s="3" t="str">
        <f>HYPERLINK("http://www.ncbi.nlm.nih.gov/protein/66793429","Acox1")</f>
        <v>Acox1</v>
      </c>
      <c r="E131" t="str">
        <f>HYPERLINK("J:\Depot - mpkCCD Fractions\Main Web Page\Web Pages_old\proteomic_fractions_linear_files/Yang_linear_img/66793429.jpg","show blot")</f>
        <v>show blot</v>
      </c>
      <c r="G131" t="s">
        <v>130</v>
      </c>
      <c r="I131" s="6">
        <v>5.281444783759448</v>
      </c>
      <c r="K131" s="8"/>
    </row>
    <row r="132" spans="1:11" ht="15" x14ac:dyDescent="0.25">
      <c r="A132" s="3" t="str">
        <f>HYPERLINK("proteomic_fractions_linear_files/Yang_linear_img/34328334.jpg", "34328334")</f>
        <v>34328334</v>
      </c>
      <c r="C132" s="3" t="str">
        <f>HYPERLINK("http://www.ncbi.nlm.nih.gov/protein/34328334","Acox3")</f>
        <v>Acox3</v>
      </c>
      <c r="E132" t="str">
        <f>HYPERLINK("J:\Depot - mpkCCD Fractions\Main Web Page\Web Pages_old\proteomic_fractions_linear_files/Yang_linear_img/34328334.jpg","show blot")</f>
        <v>show blot</v>
      </c>
      <c r="G132" t="s">
        <v>131</v>
      </c>
      <c r="I132" s="6">
        <v>3.8321485730733986</v>
      </c>
      <c r="K132" s="8"/>
    </row>
    <row r="133" spans="1:11" ht="15" x14ac:dyDescent="0.25">
      <c r="A133" s="3" t="str">
        <f>HYPERLINK("proteomic_fractions_linear_files/Yang_linear_img/159032062.jpg", "159032062")</f>
        <v>159032062</v>
      </c>
      <c r="C133" s="3" t="str">
        <f>HYPERLINK("http://www.ncbi.nlm.nih.gov/protein/159032062","Acp1")</f>
        <v>Acp1</v>
      </c>
      <c r="E133" t="str">
        <f>HYPERLINK("J:\Depot - mpkCCD Fractions\Main Web Page\Web Pages_old\proteomic_fractions_linear_files/Yang_linear_img/159032062.jpg","show blot")</f>
        <v>show blot</v>
      </c>
      <c r="G133" t="s">
        <v>132</v>
      </c>
      <c r="I133" s="6">
        <v>5.9235997610755069</v>
      </c>
      <c r="K133" s="8"/>
    </row>
    <row r="134" spans="1:11" ht="15" x14ac:dyDescent="0.25">
      <c r="A134" s="3" t="str">
        <f>HYPERLINK("proteomic_fractions_linear_files/Yang_linear_img/29150253.jpg", "29150253")</f>
        <v>29150253</v>
      </c>
      <c r="C134" s="3" t="str">
        <f>HYPERLINK("http://www.ncbi.nlm.nih.gov/protein/29150253","Acp2")</f>
        <v>Acp2</v>
      </c>
      <c r="E134" t="str">
        <f>HYPERLINK("J:\Depot - mpkCCD Fractions\Main Web Page\Web Pages_old\proteomic_fractions_linear_files/Yang_linear_img/29150253.jpg","show blot")</f>
        <v>show blot</v>
      </c>
      <c r="G134" t="s">
        <v>133</v>
      </c>
      <c r="I134" s="6">
        <v>4.9941622271294079</v>
      </c>
      <c r="K134" s="8"/>
    </row>
    <row r="135" spans="1:11" ht="15" x14ac:dyDescent="0.25">
      <c r="A135" s="3" t="str">
        <f>HYPERLINK("proteomic_fractions_linear_files/Yang_linear_img/66773165.jpg", "66773165")</f>
        <v>66773165</v>
      </c>
      <c r="C135" s="3" t="str">
        <f>HYPERLINK("http://www.ncbi.nlm.nih.gov/protein/66773165","Acp6")</f>
        <v>Acp6</v>
      </c>
      <c r="E135" t="str">
        <f>HYPERLINK("J:\Depot - mpkCCD Fractions\Main Web Page\Web Pages_old\proteomic_fractions_linear_files/Yang_linear_img/66773165.jpg","show blot")</f>
        <v>show blot</v>
      </c>
      <c r="G135" t="s">
        <v>134</v>
      </c>
      <c r="I135" s="6">
        <v>4.5932364182792016</v>
      </c>
      <c r="K135" s="8"/>
    </row>
    <row r="136" spans="1:11" ht="15" x14ac:dyDescent="0.25">
      <c r="A136" s="3" t="str">
        <f>HYPERLINK("proteomic_fractions_linear_files/Yang_linear_img/24418933.jpg", "24418933")</f>
        <v>24418933</v>
      </c>
      <c r="C136" s="3" t="str">
        <f>HYPERLINK("http://www.ncbi.nlm.nih.gov/protein/24418933","Acsf2")</f>
        <v>Acsf2</v>
      </c>
      <c r="E136" t="str">
        <f>HYPERLINK("J:\Depot - mpkCCD Fractions\Main Web Page\Web Pages_old\proteomic_fractions_linear_files/Yang_linear_img/24418933.jpg","show blot")</f>
        <v>show blot</v>
      </c>
      <c r="G136" t="s">
        <v>135</v>
      </c>
      <c r="I136" s="6">
        <v>5.038266109733863</v>
      </c>
      <c r="K136" s="8"/>
    </row>
    <row r="137" spans="1:11" ht="15" x14ac:dyDescent="0.25">
      <c r="A137" s="3" t="str">
        <f>HYPERLINK("proteomic_fractions_linear_files/Yang_linear_img/113199775.jpg", "113199775")</f>
        <v>113199775</v>
      </c>
      <c r="C137" s="3" t="str">
        <f>HYPERLINK("http://www.ncbi.nlm.nih.gov/protein/113199775","Acsf3")</f>
        <v>Acsf3</v>
      </c>
      <c r="E137" t="str">
        <f>HYPERLINK("J:\Depot - mpkCCD Fractions\Main Web Page\Web Pages_old\proteomic_fractions_linear_files/Yang_linear_img/113199775.jpg","show blot")</f>
        <v>show blot</v>
      </c>
      <c r="G137" t="s">
        <v>136</v>
      </c>
      <c r="I137" s="6">
        <v>3.9303988713159641</v>
      </c>
      <c r="K137" s="8"/>
    </row>
    <row r="138" spans="1:11" ht="15" x14ac:dyDescent="0.25">
      <c r="A138" s="3" t="str">
        <f>HYPERLINK("proteomic_fractions_linear_files/Yang_linear_img/31560705.jpg", "31560705")</f>
        <v>31560705</v>
      </c>
      <c r="C138" s="3" t="str">
        <f>HYPERLINK("http://www.ncbi.nlm.nih.gov/protein/31560705","Acsl1")</f>
        <v>Acsl1</v>
      </c>
      <c r="E138" t="str">
        <f>HYPERLINK("J:\Depot - mpkCCD Fractions\Main Web Page\Web Pages_old\proteomic_fractions_linear_files/Yang_linear_img/31560705.jpg","show blot")</f>
        <v>show blot</v>
      </c>
      <c r="G138" t="s">
        <v>137</v>
      </c>
      <c r="I138" s="6">
        <v>4.4205569273243537</v>
      </c>
      <c r="K138" s="8"/>
    </row>
    <row r="139" spans="1:11" ht="15" x14ac:dyDescent="0.25">
      <c r="A139" s="3" t="str">
        <f>HYPERLINK("proteomic_fractions_linear_files/Yang_linear_img/209977076.jpg", "209977076")</f>
        <v>209977076</v>
      </c>
      <c r="C139" s="3" t="str">
        <f>HYPERLINK("http://www.ncbi.nlm.nih.gov/protein/209977076","Acsl3")</f>
        <v>Acsl3</v>
      </c>
      <c r="E139" t="str">
        <f>HYPERLINK("J:\Depot - mpkCCD Fractions\Main Web Page\Web Pages_old\proteomic_fractions_linear_files/Yang_linear_img/209977076.jpg","show blot")</f>
        <v>show blot</v>
      </c>
      <c r="G139" t="s">
        <v>138</v>
      </c>
      <c r="I139" s="6">
        <v>4.8149716205499153</v>
      </c>
      <c r="K139" s="8"/>
    </row>
    <row r="140" spans="1:11" ht="15" x14ac:dyDescent="0.25">
      <c r="A140" s="3" t="str">
        <f>HYPERLINK("proteomic_fractions_linear_files/Yang_linear_img/75992920.jpg", "75992920")</f>
        <v>75992920</v>
      </c>
      <c r="C140" s="3" t="str">
        <f>HYPERLINK("http://www.ncbi.nlm.nih.gov/protein/75992920","Acsl3")</f>
        <v>Acsl3</v>
      </c>
      <c r="E140" t="str">
        <f>HYPERLINK("J:\Depot - mpkCCD Fractions\Main Web Page\Web Pages_old\proteomic_fractions_linear_files/Yang_linear_img/75992920.jpg","show blot")</f>
        <v>show blot</v>
      </c>
      <c r="G140" t="s">
        <v>139</v>
      </c>
      <c r="I140" s="6">
        <v>4.8149716205499153</v>
      </c>
      <c r="K140" s="8"/>
    </row>
    <row r="141" spans="1:11" ht="15" x14ac:dyDescent="0.25">
      <c r="A141" s="3" t="str">
        <f>HYPERLINK("proteomic_fractions_linear_files/Yang_linear_img/46518528.jpg", "46518528")</f>
        <v>46518528</v>
      </c>
      <c r="C141" s="3" t="str">
        <f>HYPERLINK("http://www.ncbi.nlm.nih.gov/protein/46518528","Acsl4")</f>
        <v>Acsl4</v>
      </c>
      <c r="E141" t="str">
        <f>HYPERLINK("J:\Depot - mpkCCD Fractions\Main Web Page\Web Pages_old\proteomic_fractions_linear_files/Yang_linear_img/46518528.jpg","show blot")</f>
        <v>show blot</v>
      </c>
      <c r="G141" t="s">
        <v>140</v>
      </c>
      <c r="I141" s="6">
        <v>4.7752603321566678</v>
      </c>
      <c r="K141" s="8"/>
    </row>
    <row r="142" spans="1:11" ht="15" x14ac:dyDescent="0.25">
      <c r="A142" s="3" t="str">
        <f>HYPERLINK("proteomic_fractions_linear_files/Yang_linear_img/75992925.jpg", "75992925")</f>
        <v>75992925</v>
      </c>
      <c r="C142" s="3" t="str">
        <f>HYPERLINK("http://www.ncbi.nlm.nih.gov/protein/75992925","Acsl4")</f>
        <v>Acsl4</v>
      </c>
      <c r="E142" t="str">
        <f>HYPERLINK("J:\Depot - mpkCCD Fractions\Main Web Page\Web Pages_old\proteomic_fractions_linear_files/Yang_linear_img/75992925.jpg","show blot")</f>
        <v>show blot</v>
      </c>
      <c r="G142" t="s">
        <v>141</v>
      </c>
      <c r="I142" s="6">
        <v>4.7752603321566678</v>
      </c>
      <c r="K142" s="8"/>
    </row>
    <row r="143" spans="1:11" ht="15" x14ac:dyDescent="0.25">
      <c r="A143" s="3" t="str">
        <f>HYPERLINK("proteomic_fractions_linear_files/Yang_linear_img/58218988.jpg", "58218988")</f>
        <v>58218988</v>
      </c>
      <c r="C143" s="3" t="str">
        <f>HYPERLINK("http://www.ncbi.nlm.nih.gov/protein/58218988","Acsl5")</f>
        <v>Acsl5</v>
      </c>
      <c r="E143" t="str">
        <f>HYPERLINK("J:\Depot - mpkCCD Fractions\Main Web Page\Web Pages_old\proteomic_fractions_linear_files/Yang_linear_img/58218988.jpg","show blot")</f>
        <v>show blot</v>
      </c>
      <c r="G143" t="s">
        <v>142</v>
      </c>
      <c r="I143" s="6">
        <v>4.8238353878032783</v>
      </c>
      <c r="K143" s="8"/>
    </row>
    <row r="144" spans="1:11" ht="15" x14ac:dyDescent="0.25">
      <c r="A144" s="3" t="str">
        <f>HYPERLINK("proteomic_fractions_linear_files/Yang_linear_img/31980996.jpg", "31980996")</f>
        <v>31980996</v>
      </c>
      <c r="C144" s="3" t="str">
        <f>HYPERLINK("http://www.ncbi.nlm.nih.gov/protein/31980996","Acss2")</f>
        <v>Acss2</v>
      </c>
      <c r="E144" t="str">
        <f>HYPERLINK("J:\Depot - mpkCCD Fractions\Main Web Page\Web Pages_old\proteomic_fractions_linear_files/Yang_linear_img/31980996.jpg","show blot")</f>
        <v>show blot</v>
      </c>
      <c r="G144" t="s">
        <v>143</v>
      </c>
      <c r="I144" s="6">
        <v>3.7218312574790322</v>
      </c>
      <c r="K144" s="8"/>
    </row>
    <row r="145" spans="1:11" ht="15" x14ac:dyDescent="0.25">
      <c r="A145" s="3" t="str">
        <f>HYPERLINK("proteomic_fractions_linear_files/Yang_linear_img/33563240.jpg", "33563240")</f>
        <v>33563240</v>
      </c>
      <c r="C145" s="3" t="str">
        <f>HYPERLINK("http://www.ncbi.nlm.nih.gov/protein/33563240","Acta1")</f>
        <v>Acta1</v>
      </c>
      <c r="E145" t="str">
        <f>HYPERLINK("J:\Depot - mpkCCD Fractions\Main Web Page\Web Pages_old\proteomic_fractions_linear_files/Yang_linear_img/33563240.jpg","show blot")</f>
        <v>show blot</v>
      </c>
      <c r="G145" t="s">
        <v>144</v>
      </c>
      <c r="I145" s="6">
        <v>7.769374145720751</v>
      </c>
      <c r="K145" s="8"/>
    </row>
    <row r="146" spans="1:11" ht="15" x14ac:dyDescent="0.25">
      <c r="A146" s="3" t="str">
        <f>HYPERLINK("proteomic_fractions_linear_files/Yang_linear_img/6671507.jpg", "6671507")</f>
        <v>6671507</v>
      </c>
      <c r="C146" s="3" t="str">
        <f>HYPERLINK("http://www.ncbi.nlm.nih.gov/protein/6671507","Acta2")</f>
        <v>Acta2</v>
      </c>
      <c r="E146" t="str">
        <f>HYPERLINK("J:\Depot - mpkCCD Fractions\Main Web Page\Web Pages_old\proteomic_fractions_linear_files/Yang_linear_img/6671507.jpg","show blot")</f>
        <v>show blot</v>
      </c>
      <c r="G146" t="s">
        <v>145</v>
      </c>
      <c r="I146" s="6">
        <v>7.7294998124214933</v>
      </c>
      <c r="K146" s="8"/>
    </row>
    <row r="147" spans="1:11" ht="15" x14ac:dyDescent="0.25">
      <c r="A147" s="3" t="str">
        <f>HYPERLINK("proteomic_fractions_linear_files/Yang_linear_img/6671509.jpg", "6671509")</f>
        <v>6671509</v>
      </c>
      <c r="C147" s="3" t="str">
        <f>HYPERLINK("http://www.ncbi.nlm.nih.gov/protein/6671509","Actb")</f>
        <v>Actb</v>
      </c>
      <c r="E147" t="str">
        <f>HYPERLINK("J:\Depot - mpkCCD Fractions\Main Web Page\Web Pages_old\proteomic_fractions_linear_files/Yang_linear_img/6671509.jpg","show blot")</f>
        <v>show blot</v>
      </c>
      <c r="G147" t="s">
        <v>146</v>
      </c>
      <c r="I147" s="6">
        <v>7.9943449994447597</v>
      </c>
      <c r="K147" s="8"/>
    </row>
    <row r="148" spans="1:11" ht="15" x14ac:dyDescent="0.25">
      <c r="A148" s="3" t="str">
        <f>HYPERLINK("proteomic_fractions_linear_files/Yang_linear_img/30425250.jpg", "30425250")</f>
        <v>30425250</v>
      </c>
      <c r="C148" s="3" t="str">
        <f>HYPERLINK("http://www.ncbi.nlm.nih.gov/protein/30425250","Actbl2")</f>
        <v>Actbl2</v>
      </c>
      <c r="E148" t="str">
        <f>HYPERLINK("J:\Depot - mpkCCD Fractions\Main Web Page\Web Pages_old\proteomic_fractions_linear_files/Yang_linear_img/30425250.jpg","show blot")</f>
        <v>show blot</v>
      </c>
      <c r="G148" t="s">
        <v>147</v>
      </c>
      <c r="I148" s="6">
        <v>7.5060441939514266</v>
      </c>
      <c r="K148" s="8"/>
    </row>
    <row r="149" spans="1:11" ht="15" x14ac:dyDescent="0.25">
      <c r="A149" s="3" t="str">
        <f>HYPERLINK("proteomic_fractions_linear_files/Yang_linear_img/14192922.jpg", "14192922")</f>
        <v>14192922</v>
      </c>
      <c r="C149" s="3" t="str">
        <f>HYPERLINK("http://www.ncbi.nlm.nih.gov/protein/14192922","Actc1")</f>
        <v>Actc1</v>
      </c>
      <c r="E149" t="str">
        <f>HYPERLINK("J:\Depot - mpkCCD Fractions\Main Web Page\Web Pages_old\proteomic_fractions_linear_files/Yang_linear_img/14192922.jpg","show blot")</f>
        <v>show blot</v>
      </c>
      <c r="G149" t="s">
        <v>148</v>
      </c>
      <c r="I149" s="6">
        <v>7.7668435503039994</v>
      </c>
      <c r="K149" s="8"/>
    </row>
    <row r="150" spans="1:11" ht="15" x14ac:dyDescent="0.25">
      <c r="A150" s="3" t="str">
        <f>HYPERLINK("proteomic_fractions_linear_files/Yang_linear_img/6752954.jpg", "6752954")</f>
        <v>6752954</v>
      </c>
      <c r="C150" s="3" t="str">
        <f>HYPERLINK("http://www.ncbi.nlm.nih.gov/protein/6752954","Actg1")</f>
        <v>Actg1</v>
      </c>
      <c r="E150" t="str">
        <f>HYPERLINK("J:\Depot - mpkCCD Fractions\Main Web Page\Web Pages_old\proteomic_fractions_linear_files/Yang_linear_img/6752954.jpg","show blot")</f>
        <v>show blot</v>
      </c>
      <c r="G150" t="s">
        <v>149</v>
      </c>
      <c r="I150" s="6">
        <v>7.9892905470123585</v>
      </c>
      <c r="K150" s="8"/>
    </row>
    <row r="151" spans="1:11" ht="15" x14ac:dyDescent="0.25">
      <c r="A151" s="3" t="str">
        <f>HYPERLINK("proteomic_fractions_linear_files/Yang_linear_img/157823889.jpg", "157823889")</f>
        <v>157823889</v>
      </c>
      <c r="C151" s="3" t="str">
        <f>HYPERLINK("http://www.ncbi.nlm.nih.gov/protein/157823889","Actg2")</f>
        <v>Actg2</v>
      </c>
      <c r="E151" t="str">
        <f>HYPERLINK("J:\Depot - mpkCCD Fractions\Main Web Page\Web Pages_old\proteomic_fractions_linear_files/Yang_linear_img/157823889.jpg","show blot")</f>
        <v>show blot</v>
      </c>
      <c r="G151" t="s">
        <v>150</v>
      </c>
      <c r="I151" s="6">
        <v>7.6997415015712471</v>
      </c>
      <c r="K151" s="8"/>
    </row>
    <row r="152" spans="1:11" ht="15" x14ac:dyDescent="0.25">
      <c r="A152" s="3" t="str">
        <f>HYPERLINK("proteomic_fractions_linear_files/Yang_linear_img/189181668.jpg", "189181668")</f>
        <v>189181668</v>
      </c>
      <c r="C152" s="3" t="str">
        <f>HYPERLINK("http://www.ncbi.nlm.nih.gov/protein/189181668","Actl6a")</f>
        <v>Actl6a</v>
      </c>
      <c r="E152" t="str">
        <f>HYPERLINK("J:\Depot - mpkCCD Fractions\Main Web Page\Web Pages_old\proteomic_fractions_linear_files/Yang_linear_img/189181668.jpg","show blot")</f>
        <v>show blot</v>
      </c>
      <c r="G152" t="s">
        <v>151</v>
      </c>
      <c r="I152" s="6">
        <v>5.5447901165039664</v>
      </c>
      <c r="K152" s="8"/>
    </row>
    <row r="153" spans="1:11" ht="15" x14ac:dyDescent="0.25">
      <c r="A153" s="3" t="str">
        <f>HYPERLINK("proteomic_fractions_linear_files/Yang_linear_img/13937393.jpg", "13937393")</f>
        <v>13937393</v>
      </c>
      <c r="C153" s="3" t="str">
        <f>HYPERLINK("http://www.ncbi.nlm.nih.gov/protein/13937393","Actl6b")</f>
        <v>Actl6b</v>
      </c>
      <c r="E153" t="str">
        <f>HYPERLINK("J:\Depot - mpkCCD Fractions\Main Web Page\Web Pages_old\proteomic_fractions_linear_files/Yang_linear_img/13937393.jpg","show blot")</f>
        <v>show blot</v>
      </c>
      <c r="G153" t="s">
        <v>152</v>
      </c>
      <c r="I153" s="6">
        <v>4.9623612231040539</v>
      </c>
      <c r="K153" s="8"/>
    </row>
    <row r="154" spans="1:11" ht="15" x14ac:dyDescent="0.25">
      <c r="A154" s="3" t="str">
        <f>HYPERLINK("proteomic_fractions_linear_files/Yang_linear_img/61097906.jpg", "61097906")</f>
        <v>61097906</v>
      </c>
      <c r="C154" s="3" t="str">
        <f>HYPERLINK("http://www.ncbi.nlm.nih.gov/protein/61097906","Actn1")</f>
        <v>Actn1</v>
      </c>
      <c r="E154" t="str">
        <f>HYPERLINK("J:\Depot - mpkCCD Fractions\Main Web Page\Web Pages_old\proteomic_fractions_linear_files/Yang_linear_img/61097906.jpg","show blot")</f>
        <v>show blot</v>
      </c>
      <c r="G154" t="s">
        <v>153</v>
      </c>
      <c r="I154" s="6">
        <v>6.6876901318035333</v>
      </c>
      <c r="K154" s="8"/>
    </row>
    <row r="155" spans="1:11" ht="15" x14ac:dyDescent="0.25">
      <c r="A155" s="3" t="str">
        <f>HYPERLINK("proteomic_fractions_linear_files/Yang_linear_img/157951643.jpg", "157951643")</f>
        <v>157951643</v>
      </c>
      <c r="C155" s="3" t="str">
        <f>HYPERLINK("http://www.ncbi.nlm.nih.gov/protein/157951643","Actn2")</f>
        <v>Actn2</v>
      </c>
      <c r="E155" t="str">
        <f>HYPERLINK("J:\Depot - mpkCCD Fractions\Main Web Page\Web Pages_old\proteomic_fractions_linear_files/Yang_linear_img/157951643.jpg","show blot")</f>
        <v>show blot</v>
      </c>
      <c r="G155" t="s">
        <v>154</v>
      </c>
      <c r="I155" s="6">
        <v>6.0724630868888614</v>
      </c>
      <c r="K155" s="8"/>
    </row>
    <row r="156" spans="1:11" ht="15" x14ac:dyDescent="0.25">
      <c r="A156" s="3" t="str">
        <f>HYPERLINK("proteomic_fractions_linear_files/Yang_linear_img/7304855.jpg", "7304855")</f>
        <v>7304855</v>
      </c>
      <c r="C156" s="3" t="str">
        <f>HYPERLINK("http://www.ncbi.nlm.nih.gov/protein/7304855","Actn3")</f>
        <v>Actn3</v>
      </c>
      <c r="E156" t="str">
        <f>HYPERLINK("J:\Depot - mpkCCD Fractions\Main Web Page\Web Pages_old\proteomic_fractions_linear_files/Yang_linear_img/7304855.jpg","show blot")</f>
        <v>show blot</v>
      </c>
      <c r="G156" t="s">
        <v>155</v>
      </c>
      <c r="I156" s="6">
        <v>6.0200924128581716</v>
      </c>
      <c r="K156" s="8"/>
    </row>
    <row r="157" spans="1:11" ht="15" x14ac:dyDescent="0.25">
      <c r="A157" s="3" t="str">
        <f>HYPERLINK("proteomic_fractions_linear_files/Yang_linear_img/11230802.jpg", "11230802")</f>
        <v>11230802</v>
      </c>
      <c r="C157" s="3" t="str">
        <f>HYPERLINK("http://www.ncbi.nlm.nih.gov/protein/11230802","Actn4")</f>
        <v>Actn4</v>
      </c>
      <c r="E157" t="str">
        <f>HYPERLINK("J:\Depot - mpkCCD Fractions\Main Web Page\Web Pages_old\proteomic_fractions_linear_files/Yang_linear_img/11230802.jpg","show blot")</f>
        <v>show blot</v>
      </c>
      <c r="G157" t="s">
        <v>156</v>
      </c>
      <c r="I157" s="6">
        <v>6.570617547352068</v>
      </c>
      <c r="K157" s="8"/>
    </row>
    <row r="158" spans="1:11" ht="15" x14ac:dyDescent="0.25">
      <c r="A158" s="3" t="str">
        <f>HYPERLINK("proteomic_fractions_linear_files/Yang_linear_img/226246593.jpg", "226246593")</f>
        <v>226246593</v>
      </c>
      <c r="C158" s="3" t="str">
        <f>HYPERLINK("http://www.ncbi.nlm.nih.gov/protein/226246593","Actr10")</f>
        <v>Actr10</v>
      </c>
      <c r="E158" t="str">
        <f>HYPERLINK("J:\Depot - mpkCCD Fractions\Main Web Page\Web Pages_old\proteomic_fractions_linear_files/Yang_linear_img/226246593.jpg","show blot")</f>
        <v>show blot</v>
      </c>
      <c r="G158" t="s">
        <v>157</v>
      </c>
      <c r="I158" s="6">
        <v>5.1075975324104119</v>
      </c>
      <c r="K158" s="8"/>
    </row>
    <row r="159" spans="1:11" ht="15" x14ac:dyDescent="0.25">
      <c r="A159" s="3" t="str">
        <f>HYPERLINK("proteomic_fractions_linear_files/Yang_linear_img/8392847.jpg", "8392847")</f>
        <v>8392847</v>
      </c>
      <c r="C159" s="3" t="str">
        <f>HYPERLINK("http://www.ncbi.nlm.nih.gov/protein/8392847","Actr1a")</f>
        <v>Actr1a</v>
      </c>
      <c r="E159" t="str">
        <f>HYPERLINK("J:\Depot - mpkCCD Fractions\Main Web Page\Web Pages_old\proteomic_fractions_linear_files/Yang_linear_img/8392847.jpg","show blot")</f>
        <v>show blot</v>
      </c>
      <c r="G159" t="s">
        <v>158</v>
      </c>
      <c r="I159" s="6">
        <v>6.2473126088563973</v>
      </c>
      <c r="K159" s="8"/>
    </row>
    <row r="160" spans="1:11" ht="15" x14ac:dyDescent="0.25">
      <c r="A160" s="3" t="str">
        <f>HYPERLINK("proteomic_fractions_linear_files/Yang_linear_img/22122615.jpg", "22122615")</f>
        <v>22122615</v>
      </c>
      <c r="C160" s="3" t="str">
        <f>HYPERLINK("http://www.ncbi.nlm.nih.gov/protein/22122615","Actr1b")</f>
        <v>Actr1b</v>
      </c>
      <c r="E160" t="str">
        <f>HYPERLINK("J:\Depot - mpkCCD Fractions\Main Web Page\Web Pages_old\proteomic_fractions_linear_files/Yang_linear_img/22122615.jpg","show blot")</f>
        <v>show blot</v>
      </c>
      <c r="G160" t="s">
        <v>159</v>
      </c>
      <c r="I160" s="6">
        <v>6.2187213835808066</v>
      </c>
      <c r="K160" s="8"/>
    </row>
    <row r="161" spans="1:11" ht="15" x14ac:dyDescent="0.25">
      <c r="A161" s="3" t="str">
        <f>HYPERLINK("proteomic_fractions_linear_files/Yang_linear_img/22122825.jpg", "22122825")</f>
        <v>22122825</v>
      </c>
      <c r="C161" s="3" t="str">
        <f>HYPERLINK("http://www.ncbi.nlm.nih.gov/protein/22122825","Actr2")</f>
        <v>Actr2</v>
      </c>
      <c r="E161" t="str">
        <f>HYPERLINK("J:\Depot - mpkCCD Fractions\Main Web Page\Web Pages_old\proteomic_fractions_linear_files/Yang_linear_img/22122825.jpg","show blot")</f>
        <v>show blot</v>
      </c>
      <c r="G161" t="s">
        <v>160</v>
      </c>
      <c r="I161" s="6">
        <v>6.5116320864897341</v>
      </c>
      <c r="K161" s="8"/>
    </row>
    <row r="162" spans="1:11" ht="15" x14ac:dyDescent="0.25">
      <c r="A162" s="3" t="str">
        <f>HYPERLINK("proteomic_fractions_linear_files/Yang_linear_img/329664963.jpg", "329664963")</f>
        <v>329664963</v>
      </c>
      <c r="C162" s="3" t="str">
        <f>HYPERLINK("http://www.ncbi.nlm.nih.gov/protein/329664963","Actr3")</f>
        <v>Actr3</v>
      </c>
      <c r="E162" t="str">
        <f>HYPERLINK("J:\Depot - mpkCCD Fractions\Main Web Page\Web Pages_old\proteomic_fractions_linear_files/Yang_linear_img/329664963.jpg","show blot")</f>
        <v>show blot</v>
      </c>
      <c r="G162" t="s">
        <v>161</v>
      </c>
      <c r="I162" s="6">
        <v>6.2892499335008667</v>
      </c>
      <c r="K162" s="8"/>
    </row>
    <row r="163" spans="1:11" ht="15" x14ac:dyDescent="0.25">
      <c r="A163" s="3" t="str">
        <f>HYPERLINK("proteomic_fractions_linear_files/Yang_linear_img/52345394.jpg", "52345394")</f>
        <v>52345394</v>
      </c>
      <c r="C163" s="3" t="str">
        <f>HYPERLINK("http://www.ncbi.nlm.nih.gov/protein/52345394","Actr3b")</f>
        <v>Actr3b</v>
      </c>
      <c r="E163" t="str">
        <f>HYPERLINK("J:\Depot - mpkCCD Fractions\Main Web Page\Web Pages_old\proteomic_fractions_linear_files/Yang_linear_img/52345394.jpg","show blot")</f>
        <v>show blot</v>
      </c>
      <c r="G163" t="s">
        <v>162</v>
      </c>
      <c r="I163" s="6">
        <v>5.394820613455316</v>
      </c>
      <c r="K163" s="8"/>
    </row>
    <row r="164" spans="1:11" ht="15" x14ac:dyDescent="0.25">
      <c r="A164" s="3" t="str">
        <f>HYPERLINK("proteomic_fractions_linear_files/Yang_linear_img/13384746.jpg", "13384746")</f>
        <v>13384746</v>
      </c>
      <c r="C164" s="3" t="str">
        <f>HYPERLINK("http://www.ncbi.nlm.nih.gov/protein/13384746","Acy1")</f>
        <v>Acy1</v>
      </c>
      <c r="E164" t="str">
        <f>HYPERLINK("J:\Depot - mpkCCD Fractions\Main Web Page\Web Pages_old\proteomic_fractions_linear_files/Yang_linear_img/13384746.jpg","show blot")</f>
        <v>show blot</v>
      </c>
      <c r="G164" t="s">
        <v>163</v>
      </c>
      <c r="I164" s="6">
        <v>4.8406847261055743</v>
      </c>
      <c r="K164" s="8"/>
    </row>
    <row r="165" spans="1:11" ht="15" x14ac:dyDescent="0.25">
      <c r="A165" s="3" t="str">
        <f>HYPERLINK("proteomic_fractions_linear_files/Yang_linear_img/31982632.jpg", "31982632")</f>
        <v>31982632</v>
      </c>
      <c r="C165" s="3" t="str">
        <f>HYPERLINK("http://www.ncbi.nlm.nih.gov/protein/31982632","Acy3")</f>
        <v>Acy3</v>
      </c>
      <c r="E165" t="str">
        <f>HYPERLINK("J:\Depot - mpkCCD Fractions\Main Web Page\Web Pages_old\proteomic_fractions_linear_files/Yang_linear_img/31982632.jpg","show blot")</f>
        <v>show blot</v>
      </c>
      <c r="G165" t="s">
        <v>164</v>
      </c>
      <c r="I165" s="6">
        <v>5.1942548933153043</v>
      </c>
      <c r="K165" s="8"/>
    </row>
    <row r="166" spans="1:11" ht="15" x14ac:dyDescent="0.25">
      <c r="A166" s="3" t="str">
        <f>HYPERLINK("proteomic_fractions_linear_files/Yang_linear_img/13384810.jpg", "13384810")</f>
        <v>13384810</v>
      </c>
      <c r="C166" s="3" t="str">
        <f>HYPERLINK("http://www.ncbi.nlm.nih.gov/protein/13384810","Acyp1")</f>
        <v>Acyp1</v>
      </c>
      <c r="E166" t="str">
        <f>HYPERLINK("J:\Depot - mpkCCD Fractions\Main Web Page\Web Pages_old\proteomic_fractions_linear_files/Yang_linear_img/13384810.jpg","show blot")</f>
        <v>show blot</v>
      </c>
      <c r="G166" t="s">
        <v>165</v>
      </c>
      <c r="I166" s="6">
        <v>5.9495953621413564</v>
      </c>
      <c r="K166" s="8"/>
    </row>
    <row r="167" spans="1:11" ht="15" x14ac:dyDescent="0.25">
      <c r="A167" s="3" t="str">
        <f>HYPERLINK("proteomic_fractions_linear_files/Yang_linear_img/150378458.jpg", "150378458")</f>
        <v>150378458</v>
      </c>
      <c r="C167" s="3" t="str">
        <f>HYPERLINK("http://www.ncbi.nlm.nih.gov/protein/150378458","Adam10")</f>
        <v>Adam10</v>
      </c>
      <c r="E167" t="str">
        <f>HYPERLINK("J:\Depot - mpkCCD Fractions\Main Web Page\Web Pages_old\proteomic_fractions_linear_files/Yang_linear_img/150378458.jpg","show blot")</f>
        <v>show blot</v>
      </c>
      <c r="G167" t="s">
        <v>166</v>
      </c>
      <c r="I167" s="6">
        <v>4.9374440136110769</v>
      </c>
      <c r="K167" s="8"/>
    </row>
    <row r="168" spans="1:11" ht="15" x14ac:dyDescent="0.25">
      <c r="A168" s="3" t="str">
        <f>HYPERLINK("proteomic_fractions_linear_files/Yang_linear_img/471270257.jpg", "471270257")</f>
        <v>471270257</v>
      </c>
      <c r="C168" s="3" t="str">
        <f>HYPERLINK("http://www.ncbi.nlm.nih.gov/protein/471270257","Adam17")</f>
        <v>Adam17</v>
      </c>
      <c r="E168" t="str">
        <f>HYPERLINK("J:\Depot - mpkCCD Fractions\Main Web Page\Web Pages_old\proteomic_fractions_linear_files/Yang_linear_img/471270257.jpg","show blot")</f>
        <v>show blot</v>
      </c>
      <c r="G168" t="s">
        <v>167</v>
      </c>
      <c r="I168" s="6">
        <v>3.328778537010618</v>
      </c>
      <c r="K168" s="8"/>
    </row>
    <row r="169" spans="1:11" ht="15" x14ac:dyDescent="0.25">
      <c r="A169" s="3" t="str">
        <f>HYPERLINK("proteomic_fractions_linear_files/Yang_linear_img/110347485.jpg", "110347485")</f>
        <v>110347485</v>
      </c>
      <c r="C169" s="3" t="str">
        <f>HYPERLINK("http://www.ncbi.nlm.nih.gov/protein/110347485","Adam17")</f>
        <v>Adam17</v>
      </c>
      <c r="E169" t="str">
        <f>HYPERLINK("J:\Depot - mpkCCD Fractions\Main Web Page\Web Pages_old\proteomic_fractions_linear_files/Yang_linear_img/110347485.jpg","show blot")</f>
        <v>show blot</v>
      </c>
      <c r="G169" t="s">
        <v>168</v>
      </c>
      <c r="I169" s="6">
        <v>3.328778537010618</v>
      </c>
      <c r="K169" s="8"/>
    </row>
    <row r="170" spans="1:11" ht="15" x14ac:dyDescent="0.25">
      <c r="A170" s="3" t="str">
        <f>HYPERLINK("proteomic_fractions_linear_files/Yang_linear_img/160358787.jpg", "160358787")</f>
        <v>160358787</v>
      </c>
      <c r="C170" s="3" t="str">
        <f>HYPERLINK("http://www.ncbi.nlm.nih.gov/protein/160358787","Adam9")</f>
        <v>Adam9</v>
      </c>
      <c r="E170" t="str">
        <f>HYPERLINK("J:\Depot - mpkCCD Fractions\Main Web Page\Web Pages_old\proteomic_fractions_linear_files/Yang_linear_img/160358787.jpg","show blot")</f>
        <v>show blot</v>
      </c>
      <c r="G170" t="s">
        <v>169</v>
      </c>
      <c r="I170" s="6">
        <v>4.1929870599777663</v>
      </c>
      <c r="K170" s="8"/>
    </row>
    <row r="171" spans="1:11" ht="15" x14ac:dyDescent="0.25">
      <c r="A171" s="3" t="str">
        <f>HYPERLINK("proteomic_fractions_linear_files/Yang_linear_img/401782598.jpg", "401782598")</f>
        <v>401782598</v>
      </c>
      <c r="C171" s="3" t="str">
        <f>HYPERLINK("http://www.ncbi.nlm.nih.gov/protein/401782598","Adam9")</f>
        <v>Adam9</v>
      </c>
      <c r="E171" t="str">
        <f>HYPERLINK("J:\Depot - mpkCCD Fractions\Main Web Page\Web Pages_old\proteomic_fractions_linear_files/Yang_linear_img/401782598.jpg","show blot")</f>
        <v>show blot</v>
      </c>
      <c r="G171" t="s">
        <v>170</v>
      </c>
      <c r="I171" s="6">
        <v>4.1929870599777663</v>
      </c>
      <c r="K171" s="8"/>
    </row>
    <row r="172" spans="1:11" ht="15" x14ac:dyDescent="0.25">
      <c r="A172" s="3" t="str">
        <f>HYPERLINK("proteomic_fractions_linear_files/Yang_linear_img/148529020.jpg", "148529020")</f>
        <v>148529020</v>
      </c>
      <c r="C172" s="3" t="str">
        <f>HYPERLINK("http://www.ncbi.nlm.nih.gov/protein/148529020","Adamts17")</f>
        <v>Adamts17</v>
      </c>
      <c r="E172" t="str">
        <f>HYPERLINK("J:\Depot - mpkCCD Fractions\Main Web Page\Web Pages_old\proteomic_fractions_linear_files/Yang_linear_img/148529020.jpg","show blot")</f>
        <v>show blot</v>
      </c>
      <c r="G172" t="s">
        <v>171</v>
      </c>
      <c r="I172" s="6">
        <v>5.3729582455519616</v>
      </c>
      <c r="K172" s="8"/>
    </row>
    <row r="173" spans="1:11" ht="15" x14ac:dyDescent="0.25">
      <c r="A173" s="3" t="str">
        <f>HYPERLINK("proteomic_fractions_linear_files/Yang_linear_img/165905595.jpg", "165905595")</f>
        <v>165905595</v>
      </c>
      <c r="C173" s="3" t="str">
        <f>HYPERLINK("http://www.ncbi.nlm.nih.gov/protein/165905595","Adamtsl5")</f>
        <v>Adamtsl5</v>
      </c>
      <c r="E173" t="str">
        <f>HYPERLINK("J:\Depot - mpkCCD Fractions\Main Web Page\Web Pages_old\proteomic_fractions_linear_files/Yang_linear_img/165905595.jpg","show blot")</f>
        <v>show blot</v>
      </c>
      <c r="G173" t="s">
        <v>172</v>
      </c>
      <c r="I173" s="6">
        <v>3.4391696495672837</v>
      </c>
      <c r="K173" s="8"/>
    </row>
    <row r="174" spans="1:11" ht="15" x14ac:dyDescent="0.25">
      <c r="A174" s="3" t="str">
        <f>HYPERLINK("proteomic_fractions_linear_files/Yang_linear_img/148368976.jpg", "148368976")</f>
        <v>148368976</v>
      </c>
      <c r="C174" s="3" t="str">
        <f>HYPERLINK("http://www.ncbi.nlm.nih.gov/protein/148368976","Adap1")</f>
        <v>Adap1</v>
      </c>
      <c r="E174" t="str">
        <f>HYPERLINK("J:\Depot - mpkCCD Fractions\Main Web Page\Web Pages_old\proteomic_fractions_linear_files/Yang_linear_img/148368976.jpg","show blot")</f>
        <v>show blot</v>
      </c>
      <c r="G174" t="s">
        <v>173</v>
      </c>
      <c r="I174" s="6">
        <v>4.3017048464125098</v>
      </c>
      <c r="K174" s="8"/>
    </row>
    <row r="175" spans="1:11" ht="15" x14ac:dyDescent="0.25">
      <c r="A175" s="3" t="str">
        <f>HYPERLINK("proteomic_fractions_linear_files/Yang_linear_img/26006859.jpg", "26006859")</f>
        <v>26006859</v>
      </c>
      <c r="C175" s="3" t="str">
        <f>HYPERLINK("http://www.ncbi.nlm.nih.gov/protein/26006859","Adap2")</f>
        <v>Adap2</v>
      </c>
      <c r="E175" t="str">
        <f>HYPERLINK("J:\Depot - mpkCCD Fractions\Main Web Page\Web Pages_old\proteomic_fractions_linear_files/Yang_linear_img/26006859.jpg","show blot")</f>
        <v>show blot</v>
      </c>
      <c r="G175" t="s">
        <v>174</v>
      </c>
      <c r="I175" s="6">
        <v>3.0217631628439614</v>
      </c>
      <c r="K175" s="8"/>
    </row>
    <row r="176" spans="1:11" ht="15" x14ac:dyDescent="0.25">
      <c r="A176" s="3" t="str">
        <f>HYPERLINK("proteomic_fractions_linear_files/Yang_linear_img/226371677.jpg", "226371677")</f>
        <v>226371677</v>
      </c>
      <c r="C176" s="3" t="str">
        <f>HYPERLINK("http://www.ncbi.nlm.nih.gov/protein/226371677","Adar")</f>
        <v>Adar</v>
      </c>
      <c r="E176" t="str">
        <f>HYPERLINK("J:\Depot - mpkCCD Fractions\Main Web Page\Web Pages_old\proteomic_fractions_linear_files/Yang_linear_img/226371677.jpg","show blot")</f>
        <v>show blot</v>
      </c>
      <c r="G176" t="s">
        <v>175</v>
      </c>
      <c r="I176" s="6">
        <v>3.3069230608914761</v>
      </c>
      <c r="K176" s="8"/>
    </row>
    <row r="177" spans="1:11" ht="15" x14ac:dyDescent="0.25">
      <c r="A177" s="3" t="str">
        <f>HYPERLINK("proteomic_fractions_linear_files/Yang_linear_img/226371679.jpg", "226371679")</f>
        <v>226371679</v>
      </c>
      <c r="C177" s="3" t="str">
        <f>HYPERLINK("http://www.ncbi.nlm.nih.gov/protein/226371679","Adar")</f>
        <v>Adar</v>
      </c>
      <c r="E177" t="str">
        <f>HYPERLINK("J:\Depot - mpkCCD Fractions\Main Web Page\Web Pages_old\proteomic_fractions_linear_files/Yang_linear_img/226371679.jpg","show blot")</f>
        <v>show blot</v>
      </c>
      <c r="G177" t="s">
        <v>176</v>
      </c>
      <c r="I177" s="6">
        <v>3.3069230608914761</v>
      </c>
      <c r="K177" s="8"/>
    </row>
    <row r="178" spans="1:11" ht="15" x14ac:dyDescent="0.25">
      <c r="A178" s="3" t="str">
        <f>HYPERLINK("proteomic_fractions_linear_files/Yang_linear_img/226371684.jpg", "226371684")</f>
        <v>226371684</v>
      </c>
      <c r="C178" s="3" t="str">
        <f>HYPERLINK("http://www.ncbi.nlm.nih.gov/protein/226371684","Adar")</f>
        <v>Adar</v>
      </c>
      <c r="E178" t="str">
        <f>HYPERLINK("J:\Depot - mpkCCD Fractions\Main Web Page\Web Pages_old\proteomic_fractions_linear_files/Yang_linear_img/226371684.jpg","show blot")</f>
        <v>show blot</v>
      </c>
      <c r="G178" t="s">
        <v>177</v>
      </c>
      <c r="I178" s="6">
        <v>3.3069230608914761</v>
      </c>
      <c r="K178" s="8"/>
    </row>
    <row r="179" spans="1:11" ht="15" x14ac:dyDescent="0.25">
      <c r="A179" s="3" t="str">
        <f>HYPERLINK("proteomic_fractions_linear_files/Yang_linear_img/7304859.jpg", "7304859")</f>
        <v>7304859</v>
      </c>
      <c r="C179" s="3" t="str">
        <f>HYPERLINK("http://www.ncbi.nlm.nih.gov/protein/7304859","Adat1")</f>
        <v>Adat1</v>
      </c>
      <c r="E179" t="str">
        <f>HYPERLINK("J:\Depot - mpkCCD Fractions\Main Web Page\Web Pages_old\proteomic_fractions_linear_files/Yang_linear_img/7304859.jpg","show blot")</f>
        <v>show blot</v>
      </c>
      <c r="G179" t="s">
        <v>178</v>
      </c>
      <c r="I179" s="6">
        <v>3.792965553272277</v>
      </c>
      <c r="K179" s="8"/>
    </row>
    <row r="180" spans="1:11" ht="15" x14ac:dyDescent="0.25">
      <c r="A180" s="3" t="str">
        <f>HYPERLINK("proteomic_fractions_linear_files/Yang_linear_img/61098160.jpg", "61098160")</f>
        <v>61098160</v>
      </c>
      <c r="C180" s="3" t="str">
        <f>HYPERLINK("http://www.ncbi.nlm.nih.gov/protein/61098160","Adat2")</f>
        <v>Adat2</v>
      </c>
      <c r="E180" t="str">
        <f>HYPERLINK("J:\Depot - mpkCCD Fractions\Main Web Page\Web Pages_old\proteomic_fractions_linear_files/Yang_linear_img/61098160.jpg","show blot")</f>
        <v>show blot</v>
      </c>
      <c r="G180" t="s">
        <v>179</v>
      </c>
      <c r="I180" s="6">
        <v>4.9382827594148564</v>
      </c>
      <c r="K180" s="8"/>
    </row>
    <row r="181" spans="1:11" ht="15" x14ac:dyDescent="0.25">
      <c r="A181" s="3" t="str">
        <f>HYPERLINK("proteomic_fractions_linear_files/Yang_linear_img/154759286.jpg", "154759286")</f>
        <v>154759286</v>
      </c>
      <c r="C181" s="3" t="str">
        <f>HYPERLINK("http://www.ncbi.nlm.nih.gov/protein/154759286","Adat3")</f>
        <v>Adat3</v>
      </c>
      <c r="E181" t="str">
        <f>HYPERLINK("J:\Depot - mpkCCD Fractions\Main Web Page\Web Pages_old\proteomic_fractions_linear_files/Yang_linear_img/154759286.jpg","show blot")</f>
        <v>show blot</v>
      </c>
      <c r="G181" t="s">
        <v>180</v>
      </c>
      <c r="I181" s="6">
        <v>4.2250439288485957</v>
      </c>
      <c r="K181" s="8"/>
    </row>
    <row r="182" spans="1:11" ht="15" x14ac:dyDescent="0.25">
      <c r="A182" s="3" t="str">
        <f>HYPERLINK("proteomic_fractions_linear_files/Yang_linear_img/21312430.jpg", "21312430")</f>
        <v>21312430</v>
      </c>
      <c r="C182" s="3" t="str">
        <f>HYPERLINK("http://www.ncbi.nlm.nih.gov/protein/21312430","Adck1")</f>
        <v>Adck1</v>
      </c>
      <c r="E182" t="str">
        <f>HYPERLINK("J:\Depot - mpkCCD Fractions\Main Web Page\Web Pages_old\proteomic_fractions_linear_files/Yang_linear_img/21312430.jpg","show blot")</f>
        <v>show blot</v>
      </c>
      <c r="G182" t="s">
        <v>181</v>
      </c>
      <c r="I182" s="6">
        <v>3.5994028761306747</v>
      </c>
      <c r="K182" s="8"/>
    </row>
    <row r="183" spans="1:11" ht="15" x14ac:dyDescent="0.25">
      <c r="A183" s="3" t="str">
        <f>HYPERLINK("proteomic_fractions_linear_files/Yang_linear_img/169234776.jpg", "169234776")</f>
        <v>169234776</v>
      </c>
      <c r="C183" s="3" t="str">
        <f>HYPERLINK("http://www.ncbi.nlm.nih.gov/protein/169234776","Adck5")</f>
        <v>Adck5</v>
      </c>
      <c r="E183" t="str">
        <f>HYPERLINK("J:\Depot - mpkCCD Fractions\Main Web Page\Web Pages_old\proteomic_fractions_linear_files/Yang_linear_img/169234776.jpg","show blot")</f>
        <v>show blot</v>
      </c>
      <c r="G183" t="s">
        <v>182</v>
      </c>
      <c r="I183" s="6">
        <v>2.9240530769489941</v>
      </c>
      <c r="K183" s="8"/>
    </row>
    <row r="184" spans="1:11" ht="15" x14ac:dyDescent="0.25">
      <c r="A184" s="3" t="str">
        <f>HYPERLINK("proteomic_fractions_linear_files/Yang_linear_img/148747309.jpg", "148747309")</f>
        <v>148747309</v>
      </c>
      <c r="C184" s="3" t="str">
        <f>HYPERLINK("http://www.ncbi.nlm.nih.gov/protein/148747309","Adcy5")</f>
        <v>Adcy5</v>
      </c>
      <c r="E184" t="str">
        <f>HYPERLINK("J:\Depot - mpkCCD Fractions\Main Web Page\Web Pages_old\proteomic_fractions_linear_files/Yang_linear_img/148747309.jpg","show blot")</f>
        <v>show blot</v>
      </c>
      <c r="G184" t="s">
        <v>183</v>
      </c>
      <c r="I184" s="6">
        <v>1.8670306123820035</v>
      </c>
      <c r="K184" s="8"/>
    </row>
    <row r="185" spans="1:11" ht="15" x14ac:dyDescent="0.25">
      <c r="A185" s="3" t="str">
        <f>HYPERLINK("proteomic_fractions_linear_files/Yang_linear_img/86604721.jpg", "86604721")</f>
        <v>86604721</v>
      </c>
      <c r="C185" s="3" t="str">
        <f>HYPERLINK("http://www.ncbi.nlm.nih.gov/protein/86604721","Adcy6")</f>
        <v>Adcy6</v>
      </c>
      <c r="E185" t="str">
        <f>HYPERLINK("J:\Depot - mpkCCD Fractions\Main Web Page\Web Pages_old\proteomic_fractions_linear_files/Yang_linear_img/86604721.jpg","show blot")</f>
        <v>show blot</v>
      </c>
      <c r="G185" t="s">
        <v>184</v>
      </c>
      <c r="I185" s="6">
        <v>2.5977728416916119</v>
      </c>
      <c r="K185" s="8"/>
    </row>
    <row r="186" spans="1:11" ht="15" x14ac:dyDescent="0.25">
      <c r="A186" s="3" t="str">
        <f>HYPERLINK("proteomic_fractions_linear_files/Yang_linear_img/156255171.jpg", "156255171")</f>
        <v>156255171</v>
      </c>
      <c r="C186" s="3" t="str">
        <f>HYPERLINK("http://www.ncbi.nlm.nih.gov/protein/156255171","Add1")</f>
        <v>Add1</v>
      </c>
      <c r="E186" t="str">
        <f>HYPERLINK("J:\Depot - mpkCCD Fractions\Main Web Page\Web Pages_old\proteomic_fractions_linear_files/Yang_linear_img/156255171.jpg","show blot")</f>
        <v>show blot</v>
      </c>
      <c r="G186" t="s">
        <v>185</v>
      </c>
      <c r="I186" s="6">
        <v>4.2186625393380126</v>
      </c>
      <c r="K186" s="8"/>
    </row>
    <row r="187" spans="1:11" ht="15" x14ac:dyDescent="0.25">
      <c r="A187" s="3" t="str">
        <f>HYPERLINK("proteomic_fractions_linear_files/Yang_linear_img/156255173.jpg", "156255173")</f>
        <v>156255173</v>
      </c>
      <c r="C187" s="3" t="str">
        <f>HYPERLINK("http://www.ncbi.nlm.nih.gov/protein/156255173","Add1")</f>
        <v>Add1</v>
      </c>
      <c r="E187" t="str">
        <f>HYPERLINK("J:\Depot - mpkCCD Fractions\Main Web Page\Web Pages_old\proteomic_fractions_linear_files/Yang_linear_img/156255173.jpg","show blot")</f>
        <v>show blot</v>
      </c>
      <c r="G187" t="s">
        <v>186</v>
      </c>
      <c r="I187" s="6">
        <v>4.2186625393380126</v>
      </c>
      <c r="K187" s="8"/>
    </row>
    <row r="188" spans="1:11" ht="15" x14ac:dyDescent="0.25">
      <c r="A188" s="3" t="str">
        <f>HYPERLINK("proteomic_fractions_linear_files/Yang_linear_img/7304861.jpg", "7304861")</f>
        <v>7304861</v>
      </c>
      <c r="C188" s="3" t="str">
        <f>HYPERLINK("http://www.ncbi.nlm.nih.gov/protein/7304861","Add1")</f>
        <v>Add1</v>
      </c>
      <c r="E188" t="str">
        <f>HYPERLINK("J:\Depot - mpkCCD Fractions\Main Web Page\Web Pages_old\proteomic_fractions_linear_files/Yang_linear_img/7304861.jpg","show blot")</f>
        <v>show blot</v>
      </c>
      <c r="G188" t="s">
        <v>187</v>
      </c>
      <c r="I188" s="6">
        <v>4.2186625393380126</v>
      </c>
      <c r="K188" s="8"/>
    </row>
    <row r="189" spans="1:11" ht="15" x14ac:dyDescent="0.25">
      <c r="A189" s="3" t="str">
        <f>HYPERLINK("proteomic_fractions_linear_files/Yang_linear_img/427918090.jpg", "427918090")</f>
        <v>427918090</v>
      </c>
      <c r="C189" s="3" t="str">
        <f>HYPERLINK("http://www.ncbi.nlm.nih.gov/protein/427918090","Add2")</f>
        <v>Add2</v>
      </c>
      <c r="E189" t="str">
        <f>HYPERLINK("J:\Depot - mpkCCD Fractions\Main Web Page\Web Pages_old\proteomic_fractions_linear_files/Yang_linear_img/427918090.jpg","show blot")</f>
        <v>show blot</v>
      </c>
      <c r="G189" t="s">
        <v>188</v>
      </c>
      <c r="I189" s="6">
        <v>3.4441489307901501</v>
      </c>
      <c r="K189" s="8"/>
    </row>
    <row r="190" spans="1:11" ht="15" x14ac:dyDescent="0.25">
      <c r="A190" s="3" t="str">
        <f>HYPERLINK("proteomic_fractions_linear_files/Yang_linear_img/427918097.jpg", "427918097")</f>
        <v>427918097</v>
      </c>
      <c r="C190" s="3" t="str">
        <f>HYPERLINK("http://www.ncbi.nlm.nih.gov/protein/427918097","Add2")</f>
        <v>Add2</v>
      </c>
      <c r="E190" t="str">
        <f>HYPERLINK("J:\Depot - mpkCCD Fractions\Main Web Page\Web Pages_old\proteomic_fractions_linear_files/Yang_linear_img/427918097.jpg","show blot")</f>
        <v>show blot</v>
      </c>
      <c r="G190" t="s">
        <v>189</v>
      </c>
      <c r="I190" s="6">
        <v>3.4441489307901501</v>
      </c>
      <c r="K190" s="8"/>
    </row>
    <row r="191" spans="1:11" ht="15" x14ac:dyDescent="0.25">
      <c r="A191" s="3" t="str">
        <f>HYPERLINK("proteomic_fractions_linear_files/Yang_linear_img/6724311.jpg", "6724311")</f>
        <v>6724311</v>
      </c>
      <c r="C191" s="3" t="str">
        <f>HYPERLINK("http://www.ncbi.nlm.nih.gov/protein/6724311","Adh1")</f>
        <v>Adh1</v>
      </c>
      <c r="E191" t="str">
        <f>HYPERLINK("J:\Depot - mpkCCD Fractions\Main Web Page\Web Pages_old\proteomic_fractions_linear_files/Yang_linear_img/6724311.jpg","show blot")</f>
        <v>show blot</v>
      </c>
      <c r="G191" t="s">
        <v>190</v>
      </c>
      <c r="I191" s="6">
        <v>4.8829024870647579</v>
      </c>
      <c r="K191" s="8"/>
    </row>
    <row r="192" spans="1:11" ht="15" x14ac:dyDescent="0.25">
      <c r="A192" s="3" t="str">
        <f>HYPERLINK("proteomic_fractions_linear_files/Yang_linear_img/31982511.jpg", "31982511")</f>
        <v>31982511</v>
      </c>
      <c r="C192" s="3" t="str">
        <f>HYPERLINK("http://www.ncbi.nlm.nih.gov/protein/31982511","Adh5")</f>
        <v>Adh5</v>
      </c>
      <c r="E192" t="str">
        <f>HYPERLINK("J:\Depot - mpkCCD Fractions\Main Web Page\Web Pages_old\proteomic_fractions_linear_files/Yang_linear_img/31982511.jpg","show blot")</f>
        <v>show blot</v>
      </c>
      <c r="G192" t="s">
        <v>191</v>
      </c>
      <c r="I192" s="6">
        <v>6.3253429147211149</v>
      </c>
      <c r="K192" s="8"/>
    </row>
    <row r="193" spans="1:11" ht="15" x14ac:dyDescent="0.25">
      <c r="A193" s="3" t="str">
        <f>HYPERLINK("proteomic_fractions_linear_files/Yang_linear_img/31560625.jpg", "31560625")</f>
        <v>31560625</v>
      </c>
      <c r="C193" s="3" t="str">
        <f>HYPERLINK("http://www.ncbi.nlm.nih.gov/protein/31560625","Adh7")</f>
        <v>Adh7</v>
      </c>
      <c r="E193" t="str">
        <f>HYPERLINK("J:\Depot - mpkCCD Fractions\Main Web Page\Web Pages_old\proteomic_fractions_linear_files/Yang_linear_img/31560625.jpg","show blot")</f>
        <v>show blot</v>
      </c>
      <c r="G193" t="s">
        <v>192</v>
      </c>
      <c r="I193" s="6">
        <v>5.942926352586996</v>
      </c>
      <c r="K193" s="8"/>
    </row>
    <row r="194" spans="1:11" ht="15" x14ac:dyDescent="0.25">
      <c r="A194" s="3" t="str">
        <f>HYPERLINK("proteomic_fractions_linear_files/Yang_linear_img/19527270.jpg", "19527270")</f>
        <v>19527270</v>
      </c>
      <c r="C194" s="3" t="str">
        <f>HYPERLINK("http://www.ncbi.nlm.nih.gov/protein/19527270","Adi1")</f>
        <v>Adi1</v>
      </c>
      <c r="E194" t="str">
        <f>HYPERLINK("J:\Depot - mpkCCD Fractions\Main Web Page\Web Pages_old\proteomic_fractions_linear_files/Yang_linear_img/19527270.jpg","show blot")</f>
        <v>show blot</v>
      </c>
      <c r="G194" t="s">
        <v>193</v>
      </c>
      <c r="I194" s="6">
        <v>5.2527296816380131</v>
      </c>
      <c r="K194" s="8"/>
    </row>
    <row r="195" spans="1:11" ht="15" x14ac:dyDescent="0.25">
      <c r="A195" s="3" t="str">
        <f>HYPERLINK("proteomic_fractions_linear_files/Yang_linear_img/38259186.jpg", "38259186")</f>
        <v>38259186</v>
      </c>
      <c r="C195" s="3" t="str">
        <f>HYPERLINK("http://www.ncbi.nlm.nih.gov/protein/38259186","Adipor1")</f>
        <v>Adipor1</v>
      </c>
      <c r="E195" t="str">
        <f>HYPERLINK("J:\Depot - mpkCCD Fractions\Main Web Page\Web Pages_old\proteomic_fractions_linear_files/Yang_linear_img/38259186.jpg","show blot")</f>
        <v>show blot</v>
      </c>
      <c r="G195" t="s">
        <v>194</v>
      </c>
      <c r="I195" s="7" t="s">
        <v>8360</v>
      </c>
      <c r="K195" s="8"/>
    </row>
    <row r="196" spans="1:11" ht="15" x14ac:dyDescent="0.25">
      <c r="A196" s="3" t="str">
        <f>HYPERLINK("proteomic_fractions_linear_files/Yang_linear_img/19527306.jpg", "19527306")</f>
        <v>19527306</v>
      </c>
      <c r="C196" s="3" t="str">
        <f>HYPERLINK("http://www.ncbi.nlm.nih.gov/protein/19527306","Adk")</f>
        <v>Adk</v>
      </c>
      <c r="E196" t="str">
        <f>HYPERLINK("J:\Depot - mpkCCD Fractions\Main Web Page\Web Pages_old\proteomic_fractions_linear_files/Yang_linear_img/19527306.jpg","show blot")</f>
        <v>show blot</v>
      </c>
      <c r="G196" t="s">
        <v>195</v>
      </c>
      <c r="I196" s="6">
        <v>5.8172625602675465</v>
      </c>
      <c r="K196" s="8"/>
    </row>
    <row r="197" spans="1:11" ht="15" x14ac:dyDescent="0.25">
      <c r="A197" s="3" t="str">
        <f>HYPERLINK("proteomic_fractions_linear_files/Yang_linear_img/339895909.jpg", "339895909")</f>
        <v>339895909</v>
      </c>
      <c r="C197" s="3" t="str">
        <f>HYPERLINK("http://www.ncbi.nlm.nih.gov/protein/339895909","Adk")</f>
        <v>Adk</v>
      </c>
      <c r="E197" t="str">
        <f>HYPERLINK("J:\Depot - mpkCCD Fractions\Main Web Page\Web Pages_old\proteomic_fractions_linear_files/Yang_linear_img/339895909.jpg","show blot")</f>
        <v>show blot</v>
      </c>
      <c r="G197" t="s">
        <v>196</v>
      </c>
      <c r="I197" s="6">
        <v>5.8172625602675465</v>
      </c>
      <c r="K197" s="8"/>
    </row>
    <row r="198" spans="1:11" ht="15" x14ac:dyDescent="0.25">
      <c r="A198" s="3" t="str">
        <f>HYPERLINK("proteomic_fractions_linear_files/Yang_linear_img/90093349.jpg", "90093349")</f>
        <v>90093349</v>
      </c>
      <c r="C198" s="3" t="str">
        <f>HYPERLINK("http://www.ncbi.nlm.nih.gov/protein/90093349","Adnp")</f>
        <v>Adnp</v>
      </c>
      <c r="E198" t="str">
        <f>HYPERLINK("J:\Depot - mpkCCD Fractions\Main Web Page\Web Pages_old\proteomic_fractions_linear_files/Yang_linear_img/90093349.jpg","show blot")</f>
        <v>show blot</v>
      </c>
      <c r="G198" t="s">
        <v>197</v>
      </c>
      <c r="I198" s="6">
        <v>3.2227620054348534</v>
      </c>
      <c r="K198" s="8"/>
    </row>
    <row r="199" spans="1:11" ht="15" x14ac:dyDescent="0.25">
      <c r="A199" s="3" t="str">
        <f>HYPERLINK("proteomic_fractions_linear_files/Yang_linear_img/225703118.jpg", "225703118")</f>
        <v>225703118</v>
      </c>
      <c r="C199" s="3" t="str">
        <f>HYPERLINK("http://www.ncbi.nlm.nih.gov/protein/225703118","Ado")</f>
        <v>Ado</v>
      </c>
      <c r="E199" t="str">
        <f>HYPERLINK("J:\Depot - mpkCCD Fractions\Main Web Page\Web Pages_old\proteomic_fractions_linear_files/Yang_linear_img/225703118.jpg","show blot")</f>
        <v>show blot</v>
      </c>
      <c r="G199" t="s">
        <v>198</v>
      </c>
      <c r="I199" s="6">
        <v>4.4146449796265239</v>
      </c>
      <c r="K199" s="8"/>
    </row>
    <row r="200" spans="1:11" ht="15" x14ac:dyDescent="0.25">
      <c r="A200" s="3" t="str">
        <f>HYPERLINK("proteomic_fractions_linear_files/Yang_linear_img/21312406.jpg", "21312406")</f>
        <v>21312406</v>
      </c>
      <c r="C200" s="3" t="str">
        <f>HYPERLINK("http://www.ncbi.nlm.nih.gov/protein/21312406","Adpgk")</f>
        <v>Adpgk</v>
      </c>
      <c r="E200" t="str">
        <f>HYPERLINK("J:\Depot - mpkCCD Fractions\Main Web Page\Web Pages_old\proteomic_fractions_linear_files/Yang_linear_img/21312406.jpg","show blot")</f>
        <v>show blot</v>
      </c>
      <c r="G200" t="s">
        <v>199</v>
      </c>
      <c r="I200" s="6">
        <v>3.7682978755498406</v>
      </c>
      <c r="K200" s="8"/>
    </row>
    <row r="201" spans="1:11" ht="15" x14ac:dyDescent="0.25">
      <c r="A201" s="3" t="str">
        <f>HYPERLINK("proteomic_fractions_linear_files/Yang_linear_img/6680658.jpg", "6680658")</f>
        <v>6680658</v>
      </c>
      <c r="C201" s="3" t="str">
        <f>HYPERLINK("http://www.ncbi.nlm.nih.gov/protein/6680658","Adprh")</f>
        <v>Adprh</v>
      </c>
      <c r="E201" t="str">
        <f>HYPERLINK("J:\Depot - mpkCCD Fractions\Main Web Page\Web Pages_old\proteomic_fractions_linear_files/Yang_linear_img/6680658.jpg","show blot")</f>
        <v>show blot</v>
      </c>
      <c r="G201" t="s">
        <v>200</v>
      </c>
      <c r="I201" s="6">
        <v>4.255129221722294</v>
      </c>
      <c r="K201" s="8"/>
    </row>
    <row r="202" spans="1:11" ht="15" x14ac:dyDescent="0.25">
      <c r="A202" s="3" t="str">
        <f>HYPERLINK("proteomic_fractions_linear_files/Yang_linear_img/28916671.jpg", "28916671")</f>
        <v>28916671</v>
      </c>
      <c r="C202" s="3" t="str">
        <f>HYPERLINK("http://www.ncbi.nlm.nih.gov/protein/28916671","Adprhl2")</f>
        <v>Adprhl2</v>
      </c>
      <c r="E202" t="str">
        <f>HYPERLINK("J:\Depot - mpkCCD Fractions\Main Web Page\Web Pages_old\proteomic_fractions_linear_files/Yang_linear_img/28916671.jpg","show blot")</f>
        <v>show blot</v>
      </c>
      <c r="G202" t="s">
        <v>201</v>
      </c>
      <c r="I202" s="6">
        <v>5.4829550895512549</v>
      </c>
      <c r="K202" s="8"/>
    </row>
    <row r="203" spans="1:11" ht="15" x14ac:dyDescent="0.25">
      <c r="A203" s="3" t="str">
        <f>HYPERLINK("proteomic_fractions_linear_files/Yang_linear_img/33859769.jpg", "33859769")</f>
        <v>33859769</v>
      </c>
      <c r="C203" s="3" t="str">
        <f>HYPERLINK("http://www.ncbi.nlm.nih.gov/protein/33859769","Adrbk1")</f>
        <v>Adrbk1</v>
      </c>
      <c r="E203" t="str">
        <f>HYPERLINK("J:\Depot - mpkCCD Fractions\Main Web Page\Web Pages_old\proteomic_fractions_linear_files/Yang_linear_img/33859769.jpg","show blot")</f>
        <v>show blot</v>
      </c>
      <c r="G203" t="s">
        <v>202</v>
      </c>
      <c r="I203" s="6">
        <v>4.3459818612910235</v>
      </c>
      <c r="K203" s="8"/>
    </row>
    <row r="204" spans="1:11" ht="15" x14ac:dyDescent="0.25">
      <c r="A204" s="3" t="str">
        <f>HYPERLINK("proteomic_fractions_linear_files/Yang_linear_img/78711830.jpg", "78711830")</f>
        <v>78711830</v>
      </c>
      <c r="C204" s="3" t="str">
        <f>HYPERLINK("http://www.ncbi.nlm.nih.gov/protein/78711830","Adrbk2")</f>
        <v>Adrbk2</v>
      </c>
      <c r="E204" t="str">
        <f>HYPERLINK("J:\Depot - mpkCCD Fractions\Main Web Page\Web Pages_old\proteomic_fractions_linear_files/Yang_linear_img/78711830.jpg","show blot")</f>
        <v>show blot</v>
      </c>
      <c r="G204" t="s">
        <v>203</v>
      </c>
      <c r="I204" s="6">
        <v>3.9209639841621486</v>
      </c>
      <c r="K204" s="8"/>
    </row>
    <row r="205" spans="1:11" ht="15" x14ac:dyDescent="0.25">
      <c r="A205" s="3" t="str">
        <f>HYPERLINK("proteomic_fractions_linear_files/Yang_linear_img/31981027.jpg", "31981027")</f>
        <v>31981027</v>
      </c>
      <c r="C205" s="3" t="str">
        <f>HYPERLINK("http://www.ncbi.nlm.nih.gov/protein/31981027","Adrm1")</f>
        <v>Adrm1</v>
      </c>
      <c r="E205" t="str">
        <f>HYPERLINK("J:\Depot - mpkCCD Fractions\Main Web Page\Web Pages_old\proteomic_fractions_linear_files/Yang_linear_img/31981027.jpg","show blot")</f>
        <v>show blot</v>
      </c>
      <c r="G205" t="s">
        <v>204</v>
      </c>
      <c r="I205" s="6">
        <v>4.8008975598250379</v>
      </c>
      <c r="K205" s="8"/>
    </row>
    <row r="206" spans="1:11" ht="15" x14ac:dyDescent="0.25">
      <c r="A206" s="3" t="str">
        <f>HYPERLINK("proteomic_fractions_linear_files/Yang_linear_img/29788764.jpg", "29788764")</f>
        <v>29788764</v>
      </c>
      <c r="C206" s="3" t="str">
        <f>HYPERLINK("http://www.ncbi.nlm.nih.gov/protein/29788764","Adsl")</f>
        <v>Adsl</v>
      </c>
      <c r="E206" t="str">
        <f>HYPERLINK("J:\Depot - mpkCCD Fractions\Main Web Page\Web Pages_old\proteomic_fractions_linear_files/Yang_linear_img/29788764.jpg","show blot")</f>
        <v>show blot</v>
      </c>
      <c r="G206" t="s">
        <v>205</v>
      </c>
      <c r="I206" s="6">
        <v>5.7736274439919617</v>
      </c>
      <c r="K206" s="8"/>
    </row>
    <row r="207" spans="1:11" ht="15" x14ac:dyDescent="0.25">
      <c r="A207" s="3" t="str">
        <f>HYPERLINK("proteomic_fractions_linear_files/Yang_linear_img/31560737.jpg", "31560737")</f>
        <v>31560737</v>
      </c>
      <c r="C207" s="3" t="str">
        <f>HYPERLINK("http://www.ncbi.nlm.nih.gov/protein/31560737","Adss")</f>
        <v>Adss</v>
      </c>
      <c r="E207" t="str">
        <f>HYPERLINK("J:\Depot - mpkCCD Fractions\Main Web Page\Web Pages_old\proteomic_fractions_linear_files/Yang_linear_img/31560737.jpg","show blot")</f>
        <v>show blot</v>
      </c>
      <c r="G207" t="s">
        <v>206</v>
      </c>
      <c r="I207" s="6">
        <v>5.9444659054437778</v>
      </c>
      <c r="K207" s="8"/>
    </row>
    <row r="208" spans="1:11" ht="15" x14ac:dyDescent="0.25">
      <c r="A208" s="3" t="str">
        <f>HYPERLINK("proteomic_fractions_linear_files/Yang_linear_img/6671519.jpg", "6671519")</f>
        <v>6671519</v>
      </c>
      <c r="C208" s="3" t="str">
        <f>HYPERLINK("http://www.ncbi.nlm.nih.gov/protein/6671519","Adssl1")</f>
        <v>Adssl1</v>
      </c>
      <c r="E208" t="str">
        <f>HYPERLINK("J:\Depot - mpkCCD Fractions\Main Web Page\Web Pages_old\proteomic_fractions_linear_files/Yang_linear_img/6671519.jpg","show blot")</f>
        <v>show blot</v>
      </c>
      <c r="G208" t="s">
        <v>207</v>
      </c>
      <c r="I208" s="6">
        <v>5.4186167063493267</v>
      </c>
      <c r="K208" s="8"/>
    </row>
    <row r="209" spans="1:11" ht="15" x14ac:dyDescent="0.25">
      <c r="A209" s="3" t="str">
        <f>HYPERLINK("proteomic_fractions_linear_files/Yang_linear_img/33859696.jpg", "33859696")</f>
        <v>33859696</v>
      </c>
      <c r="C209" s="3" t="str">
        <f>HYPERLINK("http://www.ncbi.nlm.nih.gov/protein/33859696","Afap1")</f>
        <v>Afap1</v>
      </c>
      <c r="E209" t="str">
        <f>HYPERLINK("J:\Depot - mpkCCD Fractions\Main Web Page\Web Pages_old\proteomic_fractions_linear_files/Yang_linear_img/33859696.jpg","show blot")</f>
        <v>show blot</v>
      </c>
      <c r="G209" t="s">
        <v>208</v>
      </c>
      <c r="I209" s="6">
        <v>2.6758470537194627</v>
      </c>
      <c r="K209" s="8"/>
    </row>
    <row r="210" spans="1:11" ht="15" x14ac:dyDescent="0.25">
      <c r="A210" s="3" t="str">
        <f>HYPERLINK("proteomic_fractions_linear_files/Yang_linear_img/22122607.jpg", "22122607")</f>
        <v>22122607</v>
      </c>
      <c r="C210" s="3" t="str">
        <f>HYPERLINK("http://www.ncbi.nlm.nih.gov/protein/22122607","Afap1l2")</f>
        <v>Afap1l2</v>
      </c>
      <c r="E210" t="str">
        <f>HYPERLINK("J:\Depot - mpkCCD Fractions\Main Web Page\Web Pages_old\proteomic_fractions_linear_files/Yang_linear_img/22122607.jpg","show blot")</f>
        <v>show blot</v>
      </c>
      <c r="G210" t="s">
        <v>209</v>
      </c>
      <c r="I210" s="6">
        <v>2.437905327038524</v>
      </c>
      <c r="K210" s="8"/>
    </row>
    <row r="211" spans="1:11" ht="15" x14ac:dyDescent="0.25">
      <c r="A211" s="3" t="str">
        <f>HYPERLINK("proteomic_fractions_linear_files/Yang_linear_img/295317357.jpg", "295317357")</f>
        <v>295317357</v>
      </c>
      <c r="C211" s="3" t="str">
        <f>HYPERLINK("http://www.ncbi.nlm.nih.gov/protein/295317357","Afap1l2")</f>
        <v>Afap1l2</v>
      </c>
      <c r="E211" t="str">
        <f>HYPERLINK("J:\Depot - mpkCCD Fractions\Main Web Page\Web Pages_old\proteomic_fractions_linear_files/Yang_linear_img/295317357.jpg","show blot")</f>
        <v>show blot</v>
      </c>
      <c r="G211" t="s">
        <v>210</v>
      </c>
      <c r="I211" s="6">
        <v>2.437905327038524</v>
      </c>
      <c r="K211" s="8"/>
    </row>
    <row r="212" spans="1:11" ht="15" x14ac:dyDescent="0.25">
      <c r="A212" s="3" t="str">
        <f>HYPERLINK("proteomic_fractions_linear_files/Yang_linear_img/295317359.jpg", "295317359")</f>
        <v>295317359</v>
      </c>
      <c r="C212" s="3" t="str">
        <f>HYPERLINK("http://www.ncbi.nlm.nih.gov/protein/295317359","Afap1l2")</f>
        <v>Afap1l2</v>
      </c>
      <c r="E212" t="str">
        <f>HYPERLINK("J:\Depot - mpkCCD Fractions\Main Web Page\Web Pages_old\proteomic_fractions_linear_files/Yang_linear_img/295317359.jpg","show blot")</f>
        <v>show blot</v>
      </c>
      <c r="G212" t="s">
        <v>211</v>
      </c>
      <c r="I212" s="6">
        <v>2.437905327038524</v>
      </c>
      <c r="K212" s="8"/>
    </row>
    <row r="213" spans="1:11" ht="15" x14ac:dyDescent="0.25">
      <c r="A213" s="3" t="str">
        <f>HYPERLINK("proteomic_fractions_linear_files/Yang_linear_img/17298672.jpg", "17298672")</f>
        <v>17298672</v>
      </c>
      <c r="C213" s="3" t="str">
        <f>HYPERLINK("http://www.ncbi.nlm.nih.gov/protein/17298672","Aff4")</f>
        <v>Aff4</v>
      </c>
      <c r="E213" t="str">
        <f>HYPERLINK("J:\Depot - mpkCCD Fractions\Main Web Page\Web Pages_old\proteomic_fractions_linear_files/Yang_linear_img/17298672.jpg","show blot")</f>
        <v>show blot</v>
      </c>
      <c r="G213" t="s">
        <v>212</v>
      </c>
      <c r="I213" s="6">
        <v>1.9762108943803187</v>
      </c>
      <c r="K213" s="8"/>
    </row>
    <row r="214" spans="1:11" ht="15" x14ac:dyDescent="0.25">
      <c r="A214" s="3" t="str">
        <f>HYPERLINK("proteomic_fractions_linear_files/Yang_linear_img/66792806.jpg", "66792806")</f>
        <v>66792806</v>
      </c>
      <c r="C214" s="3" t="str">
        <f>HYPERLINK("http://www.ncbi.nlm.nih.gov/protein/66792806","Afg3l1")</f>
        <v>Afg3l1</v>
      </c>
      <c r="E214" t="str">
        <f>HYPERLINK("J:\Depot - mpkCCD Fractions\Main Web Page\Web Pages_old\proteomic_fractions_linear_files/Yang_linear_img/66792806.jpg","show blot")</f>
        <v>show blot</v>
      </c>
      <c r="G214" t="s">
        <v>213</v>
      </c>
      <c r="I214" s="6">
        <v>3.6012858529877101</v>
      </c>
      <c r="K214" s="8"/>
    </row>
    <row r="215" spans="1:11" ht="15" x14ac:dyDescent="0.25">
      <c r="A215" s="3" t="str">
        <f>HYPERLINK("proteomic_fractions_linear_files/Yang_linear_img/110625761.jpg", "110625761")</f>
        <v>110625761</v>
      </c>
      <c r="C215" s="3" t="str">
        <f>HYPERLINK("http://www.ncbi.nlm.nih.gov/protein/110625761","Afg3l2")</f>
        <v>Afg3l2</v>
      </c>
      <c r="E215" t="str">
        <f>HYPERLINK("J:\Depot - mpkCCD Fractions\Main Web Page\Web Pages_old\proteomic_fractions_linear_files/Yang_linear_img/110625761.jpg","show blot")</f>
        <v>show blot</v>
      </c>
      <c r="G215" t="s">
        <v>214</v>
      </c>
      <c r="I215" s="6">
        <v>3.596051322609874</v>
      </c>
      <c r="K215" s="8"/>
    </row>
    <row r="216" spans="1:11" ht="15" x14ac:dyDescent="0.25">
      <c r="A216" s="3" t="str">
        <f>HYPERLINK("proteomic_fractions_linear_files/Yang_linear_img/21746157.jpg", "21746157")</f>
        <v>21746157</v>
      </c>
      <c r="C216" s="3" t="str">
        <f>HYPERLINK("http://www.ncbi.nlm.nih.gov/protein/21746157","Afmid")</f>
        <v>Afmid</v>
      </c>
      <c r="E216" t="str">
        <f>HYPERLINK("J:\Depot - mpkCCD Fractions\Main Web Page\Web Pages_old\proteomic_fractions_linear_files/Yang_linear_img/21746157.jpg","show blot")</f>
        <v>show blot</v>
      </c>
      <c r="G216" t="s">
        <v>215</v>
      </c>
      <c r="I216" s="6">
        <v>2.2886388822736365</v>
      </c>
      <c r="K216" s="8"/>
    </row>
    <row r="217" spans="1:11" ht="15" x14ac:dyDescent="0.25">
      <c r="A217" s="3" t="str">
        <f>HYPERLINK("proteomic_fractions_linear_files/Yang_linear_img/31088896.jpg", "31088896")</f>
        <v>31088896</v>
      </c>
      <c r="C217" s="3" t="str">
        <f>HYPERLINK("http://www.ncbi.nlm.nih.gov/protein/31088896","Aftph")</f>
        <v>Aftph</v>
      </c>
      <c r="E217" t="str">
        <f>HYPERLINK("J:\Depot - mpkCCD Fractions\Main Web Page\Web Pages_old\proteomic_fractions_linear_files/Yang_linear_img/31088896.jpg","show blot")</f>
        <v>show blot</v>
      </c>
      <c r="G217" t="s">
        <v>216</v>
      </c>
      <c r="I217" s="6">
        <v>4.0336983895068235</v>
      </c>
      <c r="K217" s="8"/>
    </row>
    <row r="218" spans="1:11" ht="15" x14ac:dyDescent="0.25">
      <c r="A218" s="3" t="str">
        <f>HYPERLINK("proteomic_fractions_linear_files/Yang_linear_img/357394879.jpg", "357394879")</f>
        <v>357394879</v>
      </c>
      <c r="C218" s="3" t="str">
        <f>HYPERLINK("http://www.ncbi.nlm.nih.gov/protein/357394879","Aftph")</f>
        <v>Aftph</v>
      </c>
      <c r="E218" t="str">
        <f>HYPERLINK("J:\Depot - mpkCCD Fractions\Main Web Page\Web Pages_old\proteomic_fractions_linear_files/Yang_linear_img/357394879.jpg","show blot")</f>
        <v>show blot</v>
      </c>
      <c r="G218" t="s">
        <v>217</v>
      </c>
      <c r="I218" s="6">
        <v>4.0336983895068235</v>
      </c>
      <c r="K218" s="8"/>
    </row>
    <row r="219" spans="1:11" ht="15" x14ac:dyDescent="0.25">
      <c r="A219" s="3" t="str">
        <f>HYPERLINK("proteomic_fractions_linear_files/Yang_linear_img/326439050.jpg", "326439050")</f>
        <v>326439050</v>
      </c>
      <c r="C219" s="3" t="str">
        <f>HYPERLINK("http://www.ncbi.nlm.nih.gov/protein/326439050","Aga")</f>
        <v>Aga</v>
      </c>
      <c r="E219" t="str">
        <f>HYPERLINK("J:\Depot - mpkCCD Fractions\Main Web Page\Web Pages_old\proteomic_fractions_linear_files/Yang_linear_img/326439050.jpg","show blot")</f>
        <v>show blot</v>
      </c>
      <c r="G219" t="s">
        <v>218</v>
      </c>
      <c r="I219" s="6">
        <v>5.3614638723832311</v>
      </c>
      <c r="K219" s="8"/>
    </row>
    <row r="220" spans="1:11" ht="15" x14ac:dyDescent="0.25">
      <c r="A220" s="3" t="str">
        <f>HYPERLINK("proteomic_fractions_linear_files/Yang_linear_img/54292135.jpg", "54292135")</f>
        <v>54292135</v>
      </c>
      <c r="C220" s="3" t="str">
        <f>HYPERLINK("http://www.ncbi.nlm.nih.gov/protein/54292135","Aga")</f>
        <v>Aga</v>
      </c>
      <c r="E220" t="str">
        <f>HYPERLINK("J:\Depot - mpkCCD Fractions\Main Web Page\Web Pages_old\proteomic_fractions_linear_files/Yang_linear_img/54292135.jpg","show blot")</f>
        <v>show blot</v>
      </c>
      <c r="G220" t="s">
        <v>219</v>
      </c>
      <c r="I220" s="6">
        <v>5.3614638723832311</v>
      </c>
      <c r="K220" s="8"/>
    </row>
    <row r="221" spans="1:11" ht="15" x14ac:dyDescent="0.25">
      <c r="A221" s="3" t="str">
        <f>HYPERLINK("proteomic_fractions_linear_files/Yang_linear_img/312839828.jpg", "312839828")</f>
        <v>312839828</v>
      </c>
      <c r="C221" s="3" t="str">
        <f>HYPERLINK("http://www.ncbi.nlm.nih.gov/protein/312839828","Agbl1")</f>
        <v>Agbl1</v>
      </c>
      <c r="E221" t="str">
        <f>HYPERLINK("J:\Depot - mpkCCD Fractions\Main Web Page\Web Pages_old\proteomic_fractions_linear_files/Yang_linear_img/312839828.jpg","show blot")</f>
        <v>show blot</v>
      </c>
      <c r="G221" t="s">
        <v>220</v>
      </c>
      <c r="I221" s="6">
        <v>4.4652405926403089</v>
      </c>
      <c r="K221" s="8"/>
    </row>
    <row r="222" spans="1:11" ht="15" x14ac:dyDescent="0.25">
      <c r="A222" s="3" t="str">
        <f>HYPERLINK("proteomic_fractions_linear_files/Yang_linear_img/33563260.jpg", "33563260")</f>
        <v>33563260</v>
      </c>
      <c r="C222" s="3" t="str">
        <f>HYPERLINK("http://www.ncbi.nlm.nih.gov/protein/33563260","Agfg1")</f>
        <v>Agfg1</v>
      </c>
      <c r="E222" t="str">
        <f>HYPERLINK("J:\Depot - mpkCCD Fractions\Main Web Page\Web Pages_old\proteomic_fractions_linear_files/Yang_linear_img/33563260.jpg","show blot")</f>
        <v>show blot</v>
      </c>
      <c r="G222" t="s">
        <v>221</v>
      </c>
      <c r="I222" s="6">
        <v>3.6867785206811603</v>
      </c>
      <c r="K222" s="8"/>
    </row>
    <row r="223" spans="1:11" ht="15" x14ac:dyDescent="0.25">
      <c r="A223" s="3" t="str">
        <f>HYPERLINK("proteomic_fractions_linear_files/Yang_linear_img/21704138.jpg", "21704138")</f>
        <v>21704138</v>
      </c>
      <c r="C223" s="3" t="str">
        <f>HYPERLINK("http://www.ncbi.nlm.nih.gov/protein/21704138","Agfg2")</f>
        <v>Agfg2</v>
      </c>
      <c r="E223" t="str">
        <f>HYPERLINK("J:\Depot - mpkCCD Fractions\Main Web Page\Web Pages_old\proteomic_fractions_linear_files/Yang_linear_img/21704138.jpg","show blot")</f>
        <v>show blot</v>
      </c>
      <c r="G223" t="s">
        <v>222</v>
      </c>
      <c r="I223" s="6">
        <v>4.5769443263618532</v>
      </c>
      <c r="K223" s="8"/>
    </row>
    <row r="224" spans="1:11" ht="15" x14ac:dyDescent="0.25">
      <c r="A224" s="3" t="str">
        <f>HYPERLINK("proteomic_fractions_linear_files/Yang_linear_img/30039690.jpg", "30039690")</f>
        <v>30039690</v>
      </c>
      <c r="C224" s="3" t="str">
        <f>HYPERLINK("http://www.ncbi.nlm.nih.gov/protein/30039690","Agfg2")</f>
        <v>Agfg2</v>
      </c>
      <c r="E224" t="str">
        <f>HYPERLINK("J:\Depot - mpkCCD Fractions\Main Web Page\Web Pages_old\proteomic_fractions_linear_files/Yang_linear_img/30039690.jpg","show blot")</f>
        <v>show blot</v>
      </c>
      <c r="G224" t="s">
        <v>223</v>
      </c>
      <c r="I224" s="6">
        <v>4.5769443263618532</v>
      </c>
      <c r="K224" s="8"/>
    </row>
    <row r="225" spans="1:11" ht="15" x14ac:dyDescent="0.25">
      <c r="A225" s="3" t="str">
        <f>HYPERLINK("proteomic_fractions_linear_files/Yang_linear_img/37537518.jpg", "37537518")</f>
        <v>37537518</v>
      </c>
      <c r="C225" s="3" t="str">
        <f>HYPERLINK("http://www.ncbi.nlm.nih.gov/protein/37537518","Agk")</f>
        <v>Agk</v>
      </c>
      <c r="E225" t="str">
        <f>HYPERLINK("J:\Depot - mpkCCD Fractions\Main Web Page\Web Pages_old\proteomic_fractions_linear_files/Yang_linear_img/37537518.jpg","show blot")</f>
        <v>show blot</v>
      </c>
      <c r="G225" t="s">
        <v>224</v>
      </c>
      <c r="I225" s="6">
        <v>3.9073366500267421</v>
      </c>
      <c r="K225" s="8"/>
    </row>
    <row r="226" spans="1:11" ht="15" x14ac:dyDescent="0.25">
      <c r="A226" s="3" t="str">
        <f>HYPERLINK("proteomic_fractions_linear_files/Yang_linear_img/124486747.jpg", "124486747")</f>
        <v>124486747</v>
      </c>
      <c r="C226" s="3" t="str">
        <f>HYPERLINK("http://www.ncbi.nlm.nih.gov/protein/124486747","Agl")</f>
        <v>Agl</v>
      </c>
      <c r="E226" t="str">
        <f>HYPERLINK("J:\Depot - mpkCCD Fractions\Main Web Page\Web Pages_old\proteomic_fractions_linear_files/Yang_linear_img/124486747.jpg","show blot")</f>
        <v>show blot</v>
      </c>
      <c r="G226" t="s">
        <v>225</v>
      </c>
      <c r="I226" s="6">
        <v>3.4986466434093662</v>
      </c>
      <c r="K226" s="8"/>
    </row>
    <row r="227" spans="1:11" ht="15" x14ac:dyDescent="0.25">
      <c r="A227" s="3" t="str">
        <f>HYPERLINK("proteomic_fractions_linear_files/Yang_linear_img/251823852.jpg", "251823852")</f>
        <v>251823852</v>
      </c>
      <c r="C227" s="3" t="str">
        <f>HYPERLINK("http://www.ncbi.nlm.nih.gov/protein/251823852","Ago1")</f>
        <v>Ago1</v>
      </c>
      <c r="E227" t="str">
        <f>HYPERLINK("J:\Depot - mpkCCD Fractions\Main Web Page\Web Pages_old\proteomic_fractions_linear_files/Yang_linear_img/251823852.jpg","show blot")</f>
        <v>show blot</v>
      </c>
      <c r="G227" t="s">
        <v>226</v>
      </c>
      <c r="I227" s="6">
        <v>4.7403243932196695</v>
      </c>
      <c r="K227" s="8"/>
    </row>
    <row r="228" spans="1:11" ht="15" x14ac:dyDescent="0.25">
      <c r="A228" s="3" t="str">
        <f>HYPERLINK("proteomic_fractions_linear_files/Yang_linear_img/219842353.jpg", "219842353")</f>
        <v>219842353</v>
      </c>
      <c r="C228" s="3" t="str">
        <f>HYPERLINK("http://www.ncbi.nlm.nih.gov/protein/219842353","Ago2")</f>
        <v>Ago2</v>
      </c>
      <c r="E228" t="str">
        <f>HYPERLINK("J:\Depot - mpkCCD Fractions\Main Web Page\Web Pages_old\proteomic_fractions_linear_files/Yang_linear_img/219842353.jpg","show blot")</f>
        <v>show blot</v>
      </c>
      <c r="G228" t="s">
        <v>227</v>
      </c>
      <c r="I228" s="6">
        <v>5.2917442348003805</v>
      </c>
      <c r="K228" s="8"/>
    </row>
    <row r="229" spans="1:11" ht="15" x14ac:dyDescent="0.25">
      <c r="A229" s="3" t="str">
        <f>HYPERLINK("proteomic_fractions_linear_files/Yang_linear_img/240120065.jpg", "240120065")</f>
        <v>240120065</v>
      </c>
      <c r="C229" s="3" t="str">
        <f>HYPERLINK("http://www.ncbi.nlm.nih.gov/protein/240120065","Ago3")</f>
        <v>Ago3</v>
      </c>
      <c r="E229" t="str">
        <f>HYPERLINK("J:\Depot - mpkCCD Fractions\Main Web Page\Web Pages_old\proteomic_fractions_linear_files/Yang_linear_img/240120065.jpg","show blot")</f>
        <v>show blot</v>
      </c>
      <c r="G229" t="s">
        <v>228</v>
      </c>
      <c r="I229" s="6">
        <v>4.6780640868331105</v>
      </c>
      <c r="K229" s="8"/>
    </row>
    <row r="230" spans="1:11" ht="15" x14ac:dyDescent="0.25">
      <c r="A230" s="3" t="str">
        <f>HYPERLINK("proteomic_fractions_linear_files/Yang_linear_img/68448547.jpg", "68448547")</f>
        <v>68448547</v>
      </c>
      <c r="C230" s="3" t="str">
        <f>HYPERLINK("http://www.ncbi.nlm.nih.gov/protein/68448547","Ago4")</f>
        <v>Ago4</v>
      </c>
      <c r="E230" t="str">
        <f>HYPERLINK("J:\Depot - mpkCCD Fractions\Main Web Page\Web Pages_old\proteomic_fractions_linear_files/Yang_linear_img/68448547.jpg","show blot")</f>
        <v>show blot</v>
      </c>
      <c r="G230" t="s">
        <v>229</v>
      </c>
      <c r="I230" s="6">
        <v>4.4114430446518931</v>
      </c>
      <c r="K230" s="8"/>
    </row>
    <row r="231" spans="1:11" ht="15" x14ac:dyDescent="0.25">
      <c r="A231" s="3" t="str">
        <f>HYPERLINK("proteomic_fractions_linear_files/Yang_linear_img/23956162.jpg", "23956162")</f>
        <v>23956162</v>
      </c>
      <c r="C231" s="3" t="str">
        <f>HYPERLINK("http://www.ncbi.nlm.nih.gov/protein/23956162","Agpat2")</f>
        <v>Agpat2</v>
      </c>
      <c r="E231" t="str">
        <f>HYPERLINK("J:\Depot - mpkCCD Fractions\Main Web Page\Web Pages_old\proteomic_fractions_linear_files/Yang_linear_img/23956162.jpg","show blot")</f>
        <v>show blot</v>
      </c>
      <c r="G231" t="s">
        <v>230</v>
      </c>
      <c r="I231" s="6">
        <v>4.0670090667581631</v>
      </c>
      <c r="K231" s="8"/>
    </row>
    <row r="232" spans="1:11" ht="15" x14ac:dyDescent="0.25">
      <c r="A232" s="3" t="str">
        <f>HYPERLINK("proteomic_fractions_linear_files/Yang_linear_img/27229278.jpg", "27229278")</f>
        <v>27229278</v>
      </c>
      <c r="C232" s="3" t="str">
        <f>HYPERLINK("http://www.ncbi.nlm.nih.gov/protein/27229278","Agpat3")</f>
        <v>Agpat3</v>
      </c>
      <c r="E232" t="str">
        <f>HYPERLINK("J:\Depot - mpkCCD Fractions\Main Web Page\Web Pages_old\proteomic_fractions_linear_files/Yang_linear_img/27229278.jpg","show blot")</f>
        <v>show blot</v>
      </c>
      <c r="G232" t="s">
        <v>231</v>
      </c>
      <c r="I232" s="6">
        <v>4.8514993464206304</v>
      </c>
      <c r="K232" s="8"/>
    </row>
    <row r="233" spans="1:11" ht="15" x14ac:dyDescent="0.25">
      <c r="A233" s="3" t="str">
        <f>HYPERLINK("proteomic_fractions_linear_files/Yang_linear_img/27229064.jpg", "27229064")</f>
        <v>27229064</v>
      </c>
      <c r="C233" s="3" t="str">
        <f>HYPERLINK("http://www.ncbi.nlm.nih.gov/protein/27229064","Agpat4")</f>
        <v>Agpat4</v>
      </c>
      <c r="E233" t="str">
        <f>HYPERLINK("J:\Depot - mpkCCD Fractions\Main Web Page\Web Pages_old\proteomic_fractions_linear_files/Yang_linear_img/27229064.jpg","show blot")</f>
        <v>show blot</v>
      </c>
      <c r="G233" t="s">
        <v>232</v>
      </c>
      <c r="I233" s="6">
        <v>2.0392338017635807</v>
      </c>
      <c r="K233" s="8"/>
    </row>
    <row r="234" spans="1:11" ht="15" x14ac:dyDescent="0.25">
      <c r="A234" s="3" t="str">
        <f>HYPERLINK("proteomic_fractions_linear_files/Yang_linear_img/27229077.jpg", "27229077")</f>
        <v>27229077</v>
      </c>
      <c r="C234" s="3" t="str">
        <f>HYPERLINK("http://www.ncbi.nlm.nih.gov/protein/27229077","Agpat5")</f>
        <v>Agpat5</v>
      </c>
      <c r="E234" t="str">
        <f>HYPERLINK("J:\Depot - mpkCCD Fractions\Main Web Page\Web Pages_old\proteomic_fractions_linear_files/Yang_linear_img/27229077.jpg","show blot")</f>
        <v>show blot</v>
      </c>
      <c r="G234" t="s">
        <v>233</v>
      </c>
      <c r="I234" s="6">
        <v>3.9154031739640245</v>
      </c>
      <c r="K234" s="8"/>
    </row>
    <row r="235" spans="1:11" ht="15" x14ac:dyDescent="0.25">
      <c r="A235" s="3" t="str">
        <f>HYPERLINK("proteomic_fractions_linear_files/Yang_linear_img/295444834.jpg", "295444834")</f>
        <v>295444834</v>
      </c>
      <c r="C235" s="3" t="str">
        <f>HYPERLINK("http://www.ncbi.nlm.nih.gov/protein/295444834","Agps")</f>
        <v>Agps</v>
      </c>
      <c r="E235" t="str">
        <f>HYPERLINK("J:\Depot - mpkCCD Fractions\Main Web Page\Web Pages_old\proteomic_fractions_linear_files/Yang_linear_img/295444834.jpg","show blot")</f>
        <v>show blot</v>
      </c>
      <c r="G235" t="s">
        <v>234</v>
      </c>
      <c r="I235" s="6">
        <v>5.0029823781988503</v>
      </c>
      <c r="K235" s="8"/>
    </row>
    <row r="236" spans="1:11" ht="15" x14ac:dyDescent="0.25">
      <c r="A236" s="3" t="str">
        <f>HYPERLINK("proteomic_fractions_linear_files/Yang_linear_img/344217723.jpg", "344217723")</f>
        <v>344217723</v>
      </c>
      <c r="C236" s="3" t="str">
        <f>HYPERLINK("http://www.ncbi.nlm.nih.gov/protein/344217723","Agrn")</f>
        <v>Agrn</v>
      </c>
      <c r="E236" t="str">
        <f>HYPERLINK("J:\Depot - mpkCCD Fractions\Main Web Page\Web Pages_old\proteomic_fractions_linear_files/Yang_linear_img/344217723.jpg","show blot")</f>
        <v>show blot</v>
      </c>
      <c r="G236" t="s">
        <v>235</v>
      </c>
      <c r="I236" s="6">
        <v>2.1266393244421771</v>
      </c>
      <c r="K236" s="8"/>
    </row>
    <row r="237" spans="1:11" ht="15" x14ac:dyDescent="0.25">
      <c r="A237" s="3" t="str">
        <f>HYPERLINK("proteomic_fractions_linear_files/Yang_linear_img/262263372.jpg", "262263372")</f>
        <v>262263372</v>
      </c>
      <c r="C237" s="3" t="str">
        <f>HYPERLINK("http://www.ncbi.nlm.nih.gov/protein/262263372","Ahcy")</f>
        <v>Ahcy</v>
      </c>
      <c r="E237" t="str">
        <f>HYPERLINK("J:\Depot - mpkCCD Fractions\Main Web Page\Web Pages_old\proteomic_fractions_linear_files/Yang_linear_img/262263372.jpg","show blot")</f>
        <v>show blot</v>
      </c>
      <c r="G237" t="s">
        <v>236</v>
      </c>
      <c r="I237" s="6">
        <v>6.6476982762610497</v>
      </c>
      <c r="K237" s="8"/>
    </row>
    <row r="238" spans="1:11" ht="15" x14ac:dyDescent="0.25">
      <c r="A238" s="3" t="str">
        <f>HYPERLINK("proteomic_fractions_linear_files/Yang_linear_img/27734986.jpg", "27734986")</f>
        <v>27734986</v>
      </c>
      <c r="C238" s="3" t="str">
        <f>HYPERLINK("http://www.ncbi.nlm.nih.gov/protein/27734986","Ahcyl1")</f>
        <v>Ahcyl1</v>
      </c>
      <c r="E238" t="str">
        <f>HYPERLINK("J:\Depot - mpkCCD Fractions\Main Web Page\Web Pages_old\proteomic_fractions_linear_files/Yang_linear_img/27734986.jpg","show blot")</f>
        <v>show blot</v>
      </c>
      <c r="G238" t="s">
        <v>237</v>
      </c>
      <c r="I238" s="6">
        <v>5.2319137617922378</v>
      </c>
      <c r="K238" s="8"/>
    </row>
    <row r="239" spans="1:11" ht="15" x14ac:dyDescent="0.25">
      <c r="A239" s="3" t="str">
        <f>HYPERLINK("proteomic_fractions_linear_files/Yang_linear_img/283837832.jpg", "283837832")</f>
        <v>283837832</v>
      </c>
      <c r="C239" s="3" t="str">
        <f>HYPERLINK("http://www.ncbi.nlm.nih.gov/protein/283837832","Ahcyl2")</f>
        <v>Ahcyl2</v>
      </c>
      <c r="E239" t="str">
        <f>HYPERLINK("J:\Depot - mpkCCD Fractions\Main Web Page\Web Pages_old\proteomic_fractions_linear_files/Yang_linear_img/283837832.jpg","show blot")</f>
        <v>show blot</v>
      </c>
      <c r="G239" t="s">
        <v>238</v>
      </c>
      <c r="I239" s="6">
        <v>5.0713651684340997</v>
      </c>
      <c r="K239" s="8"/>
    </row>
    <row r="240" spans="1:11" ht="15" x14ac:dyDescent="0.25">
      <c r="A240" s="3" t="str">
        <f>HYPERLINK("proteomic_fractions_linear_files/Yang_linear_img/342307099.jpg", "342307099")</f>
        <v>342307099</v>
      </c>
      <c r="C240" s="3" t="str">
        <f>HYPERLINK("http://www.ncbi.nlm.nih.gov/protein/342307099","Ahcyl2")</f>
        <v>Ahcyl2</v>
      </c>
      <c r="E240" t="str">
        <f>HYPERLINK("J:\Depot - mpkCCD Fractions\Main Web Page\Web Pages_old\proteomic_fractions_linear_files/Yang_linear_img/342307099.jpg","show blot")</f>
        <v>show blot</v>
      </c>
      <c r="G240" t="s">
        <v>239</v>
      </c>
      <c r="I240" s="6">
        <v>5.0713651684340997</v>
      </c>
      <c r="K240" s="8"/>
    </row>
    <row r="241" spans="1:11" ht="15" x14ac:dyDescent="0.25">
      <c r="A241" s="3" t="str">
        <f>HYPERLINK("proteomic_fractions_linear_files/Yang_linear_img/342307101.jpg", "342307101")</f>
        <v>342307101</v>
      </c>
      <c r="C241" s="3" t="str">
        <f>HYPERLINK("http://www.ncbi.nlm.nih.gov/protein/342307101","Ahcyl2")</f>
        <v>Ahcyl2</v>
      </c>
      <c r="E241" t="str">
        <f>HYPERLINK("J:\Depot - mpkCCD Fractions\Main Web Page\Web Pages_old\proteomic_fractions_linear_files/Yang_linear_img/342307101.jpg","show blot")</f>
        <v>show blot</v>
      </c>
      <c r="G241" t="s">
        <v>240</v>
      </c>
      <c r="I241" s="6">
        <v>5.0713651684340997</v>
      </c>
      <c r="K241" s="8"/>
    </row>
    <row r="242" spans="1:11" ht="15" x14ac:dyDescent="0.25">
      <c r="A242" s="3" t="str">
        <f>HYPERLINK("proteomic_fractions_linear_files/Yang_linear_img/90403607.jpg", "90403607")</f>
        <v>90403607</v>
      </c>
      <c r="C242" s="3" t="str">
        <f>HYPERLINK("http://www.ncbi.nlm.nih.gov/protein/90403607","Ahnak")</f>
        <v>Ahnak</v>
      </c>
      <c r="E242" t="str">
        <f>HYPERLINK("J:\Depot - mpkCCD Fractions\Main Web Page\Web Pages_old\proteomic_fractions_linear_files/Yang_linear_img/90403607.jpg","show blot")</f>
        <v>show blot</v>
      </c>
      <c r="G242" t="s">
        <v>241</v>
      </c>
      <c r="I242" s="6">
        <v>7.2161110368556161</v>
      </c>
      <c r="K242" s="8"/>
    </row>
    <row r="243" spans="1:11" ht="15" x14ac:dyDescent="0.25">
      <c r="A243" s="3" t="str">
        <f>HYPERLINK("proteomic_fractions_linear_files/Yang_linear_img/61743961.jpg", "61743961")</f>
        <v>61743961</v>
      </c>
      <c r="C243" s="3" t="str">
        <f>HYPERLINK("http://www.ncbi.nlm.nih.gov/protein/61743961","Ahnak")</f>
        <v>Ahnak</v>
      </c>
      <c r="E243" t="str">
        <f>HYPERLINK("J:\Depot - mpkCCD Fractions\Main Web Page\Web Pages_old\proteomic_fractions_linear_files/Yang_linear_img/61743961.jpg","show blot")</f>
        <v>show blot</v>
      </c>
      <c r="G243" t="s">
        <v>242</v>
      </c>
      <c r="I243" s="6">
        <v>7.2161110368556161</v>
      </c>
      <c r="K243" s="8"/>
    </row>
    <row r="244" spans="1:11" ht="15" x14ac:dyDescent="0.25">
      <c r="A244" s="3" t="str">
        <f>HYPERLINK("proteomic_fractions_linear_files/Yang_linear_img/309262791.jpg", "309262791")</f>
        <v>309262791</v>
      </c>
      <c r="C244" s="3" t="str">
        <f>HYPERLINK("http://www.ncbi.nlm.nih.gov/protein/309262791","Ahnak2")</f>
        <v>Ahnak2</v>
      </c>
      <c r="E244" t="str">
        <f>HYPERLINK("J:\Depot - mpkCCD Fractions\Main Web Page\Web Pages_old\proteomic_fractions_linear_files/Yang_linear_img/309262791.jpg","show blot")</f>
        <v>show blot</v>
      </c>
      <c r="G244" t="s">
        <v>243</v>
      </c>
      <c r="I244" s="6">
        <v>0.86051839888175063</v>
      </c>
      <c r="K244" s="8"/>
    </row>
    <row r="245" spans="1:11" ht="15" x14ac:dyDescent="0.25">
      <c r="A245" s="3" t="str">
        <f>HYPERLINK("proteomic_fractions_linear_files/Yang_linear_img/22122515.jpg", "22122515")</f>
        <v>22122515</v>
      </c>
      <c r="C245" s="3" t="str">
        <f>HYPERLINK("http://www.ncbi.nlm.nih.gov/protein/22122515","Ahsa1")</f>
        <v>Ahsa1</v>
      </c>
      <c r="E245" t="str">
        <f>HYPERLINK("J:\Depot - mpkCCD Fractions\Main Web Page\Web Pages_old\proteomic_fractions_linear_files/Yang_linear_img/22122515.jpg","show blot")</f>
        <v>show blot</v>
      </c>
      <c r="G245" t="s">
        <v>244</v>
      </c>
      <c r="I245" s="6">
        <v>5.8929637958146586</v>
      </c>
      <c r="K245" s="8"/>
    </row>
    <row r="246" spans="1:11" ht="15" x14ac:dyDescent="0.25">
      <c r="A246" s="3" t="str">
        <f>HYPERLINK("proteomic_fractions_linear_files/Yang_linear_img/62530188.jpg", "62530188")</f>
        <v>62530188</v>
      </c>
      <c r="C246" s="3" t="str">
        <f>HYPERLINK("http://www.ncbi.nlm.nih.gov/protein/62530188","Ahsa2")</f>
        <v>Ahsa2</v>
      </c>
      <c r="E246" t="str">
        <f>HYPERLINK("J:\Depot - mpkCCD Fractions\Main Web Page\Web Pages_old\proteomic_fractions_linear_files/Yang_linear_img/62530188.jpg","show blot")</f>
        <v>show blot</v>
      </c>
      <c r="G246" t="s">
        <v>245</v>
      </c>
      <c r="I246" s="6">
        <v>3.8495727786541676</v>
      </c>
      <c r="K246" s="8"/>
    </row>
    <row r="247" spans="1:11" ht="15" x14ac:dyDescent="0.25">
      <c r="A247" s="3" t="str">
        <f>HYPERLINK("proteomic_fractions_linear_files/Yang_linear_img/37718970.jpg", "37718970")</f>
        <v>37718970</v>
      </c>
      <c r="C247" s="3" t="str">
        <f>HYPERLINK("http://www.ncbi.nlm.nih.gov/protein/37718970","AI314180")</f>
        <v>AI314180</v>
      </c>
      <c r="E247" t="str">
        <f>HYPERLINK("J:\Depot - mpkCCD Fractions\Main Web Page\Web Pages_old\proteomic_fractions_linear_files/Yang_linear_img/37718970.jpg","show blot")</f>
        <v>show blot</v>
      </c>
      <c r="G247" t="s">
        <v>246</v>
      </c>
      <c r="I247" s="6">
        <v>5.1397917071660899</v>
      </c>
      <c r="K247" s="8"/>
    </row>
    <row r="248" spans="1:11" ht="15" x14ac:dyDescent="0.25">
      <c r="A248" s="3" t="str">
        <f>HYPERLINK("proteomic_fractions_linear_files/Yang_linear_img/237858808.jpg", "237858808")</f>
        <v>237858808</v>
      </c>
      <c r="C248" s="3" t="str">
        <f>HYPERLINK("http://www.ncbi.nlm.nih.gov/protein/237858808","AI462493")</f>
        <v>AI462493</v>
      </c>
      <c r="E248" t="str">
        <f>HYPERLINK("J:\Depot - mpkCCD Fractions\Main Web Page\Web Pages_old\proteomic_fractions_linear_files/Yang_linear_img/237858808.jpg","show blot")</f>
        <v>show blot</v>
      </c>
      <c r="G248" t="s">
        <v>247</v>
      </c>
      <c r="I248" s="6">
        <v>4.4905778064343398</v>
      </c>
      <c r="K248" s="8"/>
    </row>
    <row r="249" spans="1:11" ht="15" x14ac:dyDescent="0.25">
      <c r="A249" s="3" t="str">
        <f>HYPERLINK("proteomic_fractions_linear_files/Yang_linear_img/61557491.jpg", "61557491")</f>
        <v>61557491</v>
      </c>
      <c r="C249" s="3" t="str">
        <f>HYPERLINK("http://www.ncbi.nlm.nih.gov/protein/61557491","AI597468")</f>
        <v>AI597468</v>
      </c>
      <c r="E249" t="str">
        <f>HYPERLINK("J:\Depot - mpkCCD Fractions\Main Web Page\Web Pages_old\proteomic_fractions_linear_files/Yang_linear_img/61557491.jpg","show blot")</f>
        <v>show blot</v>
      </c>
      <c r="G249" t="s">
        <v>248</v>
      </c>
      <c r="I249" s="6">
        <v>5.1938360126034073</v>
      </c>
      <c r="K249" s="8"/>
    </row>
    <row r="250" spans="1:11" ht="15" x14ac:dyDescent="0.25">
      <c r="A250" s="3" t="str">
        <f>HYPERLINK("proteomic_fractions_linear_files/Yang_linear_img/161484644.jpg", "161484644")</f>
        <v>161484644</v>
      </c>
      <c r="C250" s="3" t="str">
        <f>HYPERLINK("http://www.ncbi.nlm.nih.gov/protein/161484644","AI661453")</f>
        <v>AI661453</v>
      </c>
      <c r="E250" t="str">
        <f>HYPERLINK("J:\Depot - mpkCCD Fractions\Main Web Page\Web Pages_old\proteomic_fractions_linear_files/Yang_linear_img/161484644.jpg","show blot")</f>
        <v>show blot</v>
      </c>
      <c r="G250" t="s">
        <v>249</v>
      </c>
      <c r="I250" s="6">
        <v>4.2936943252210567</v>
      </c>
      <c r="K250" s="8"/>
    </row>
    <row r="251" spans="1:11" ht="15" x14ac:dyDescent="0.25">
      <c r="A251" s="3" t="str">
        <f>HYPERLINK("proteomic_fractions_linear_files/Yang_linear_img/208431789.jpg", "208431789")</f>
        <v>208431789</v>
      </c>
      <c r="C251" s="3" t="str">
        <f>HYPERLINK("http://www.ncbi.nlm.nih.gov/protein/208431789","AI837181")</f>
        <v>AI837181</v>
      </c>
      <c r="E251" t="str">
        <f>HYPERLINK("J:\Depot - mpkCCD Fractions\Main Web Page\Web Pages_old\proteomic_fractions_linear_files/Yang_linear_img/208431789.jpg","show blot")</f>
        <v>show blot</v>
      </c>
      <c r="G251" t="s">
        <v>250</v>
      </c>
      <c r="I251" s="6">
        <v>4.9552912017926607</v>
      </c>
      <c r="K251" s="8"/>
    </row>
    <row r="252" spans="1:11" ht="15" x14ac:dyDescent="0.25">
      <c r="A252" s="3" t="str">
        <f>HYPERLINK("proteomic_fractions_linear_files/Yang_linear_img/32189430.jpg", "32189430")</f>
        <v>32189430</v>
      </c>
      <c r="C252" s="3" t="str">
        <f>HYPERLINK("http://www.ncbi.nlm.nih.gov/protein/32189430","Aida")</f>
        <v>Aida</v>
      </c>
      <c r="E252" t="str">
        <f>HYPERLINK("J:\Depot - mpkCCD Fractions\Main Web Page\Web Pages_old\proteomic_fractions_linear_files/Yang_linear_img/32189430.jpg","show blot")</f>
        <v>show blot</v>
      </c>
      <c r="G252" t="s">
        <v>251</v>
      </c>
      <c r="I252" s="6">
        <v>2.8403211854041786</v>
      </c>
      <c r="K252" s="8"/>
    </row>
    <row r="253" spans="1:11" ht="15" x14ac:dyDescent="0.25">
      <c r="A253" s="3" t="str">
        <f>HYPERLINK("proteomic_fractions_linear_files/Yang_linear_img/21553105.jpg", "21553105")</f>
        <v>21553105</v>
      </c>
      <c r="C253" s="3" t="str">
        <f>HYPERLINK("http://www.ncbi.nlm.nih.gov/protein/21553105","Aif1l")</f>
        <v>Aif1l</v>
      </c>
      <c r="E253" t="str">
        <f>HYPERLINK("J:\Depot - mpkCCD Fractions\Main Web Page\Web Pages_old\proteomic_fractions_linear_files/Yang_linear_img/21553105.jpg","show blot")</f>
        <v>show blot</v>
      </c>
      <c r="G253" t="s">
        <v>252</v>
      </c>
      <c r="I253" s="6">
        <v>5.3885764698812713</v>
      </c>
      <c r="K253" s="8"/>
    </row>
    <row r="254" spans="1:11" ht="15" x14ac:dyDescent="0.25">
      <c r="A254" s="3" t="str">
        <f>HYPERLINK("proteomic_fractions_linear_files/Yang_linear_img/6755004.jpg", "6755004")</f>
        <v>6755004</v>
      </c>
      <c r="C254" s="3" t="str">
        <f>HYPERLINK("http://www.ncbi.nlm.nih.gov/protein/6755004","Aifm1")</f>
        <v>Aifm1</v>
      </c>
      <c r="E254" t="str">
        <f>HYPERLINK("J:\Depot - mpkCCD Fractions\Main Web Page\Web Pages_old\proteomic_fractions_linear_files/Yang_linear_img/6755004.jpg","show blot")</f>
        <v>show blot</v>
      </c>
      <c r="G254" t="s">
        <v>253</v>
      </c>
      <c r="I254" s="6">
        <v>5.4317755575023137</v>
      </c>
      <c r="K254" s="8"/>
    </row>
    <row r="255" spans="1:11" ht="15" x14ac:dyDescent="0.25">
      <c r="A255" s="3" t="str">
        <f>HYPERLINK("proteomic_fractions_linear_files/Yang_linear_img/262050654.jpg", "262050654")</f>
        <v>262050654</v>
      </c>
      <c r="C255" s="3" t="str">
        <f>HYPERLINK("http://www.ncbi.nlm.nih.gov/protein/262050654","Aifm2")</f>
        <v>Aifm2</v>
      </c>
      <c r="E255" t="str">
        <f>HYPERLINK("J:\Depot - mpkCCD Fractions\Main Web Page\Web Pages_old\proteomic_fractions_linear_files/Yang_linear_img/262050654.jpg","show blot")</f>
        <v>show blot</v>
      </c>
      <c r="G255" t="s">
        <v>254</v>
      </c>
      <c r="I255" s="6">
        <v>4.5012328379716671</v>
      </c>
      <c r="K255" s="8"/>
    </row>
    <row r="256" spans="1:11" ht="15" x14ac:dyDescent="0.25">
      <c r="A256" s="3" t="str">
        <f>HYPERLINK("proteomic_fractions_linear_files/Yang_linear_img/30017355.jpg", "30017355")</f>
        <v>30017355</v>
      </c>
      <c r="C256" s="3" t="str">
        <f>HYPERLINK("http://www.ncbi.nlm.nih.gov/protein/30017355","Aifm2")</f>
        <v>Aifm2</v>
      </c>
      <c r="E256" t="str">
        <f>HYPERLINK("J:\Depot - mpkCCD Fractions\Main Web Page\Web Pages_old\proteomic_fractions_linear_files/Yang_linear_img/30017355.jpg","show blot")</f>
        <v>show blot</v>
      </c>
      <c r="G256" t="s">
        <v>255</v>
      </c>
      <c r="I256" s="6">
        <v>4.5012328379716671</v>
      </c>
      <c r="K256" s="8"/>
    </row>
    <row r="257" spans="1:11" ht="15" x14ac:dyDescent="0.25">
      <c r="A257" s="3" t="str">
        <f>HYPERLINK("proteomic_fractions_linear_files/Yang_linear_img/163965368.jpg", "163965368")</f>
        <v>163965368</v>
      </c>
      <c r="C257" s="3" t="str">
        <f>HYPERLINK("http://www.ncbi.nlm.nih.gov/protein/163965368","Aim1")</f>
        <v>Aim1</v>
      </c>
      <c r="E257" t="str">
        <f>HYPERLINK("J:\Depot - mpkCCD Fractions\Main Web Page\Web Pages_old\proteomic_fractions_linear_files/Yang_linear_img/163965368.jpg","show blot")</f>
        <v>show blot</v>
      </c>
      <c r="G257" t="s">
        <v>256</v>
      </c>
      <c r="I257" s="6">
        <v>3.8942547212347258</v>
      </c>
      <c r="K257" s="8"/>
    </row>
    <row r="258" spans="1:11" ht="15" x14ac:dyDescent="0.25">
      <c r="A258" s="3" t="str">
        <f>HYPERLINK("proteomic_fractions_linear_files/Yang_linear_img/126012517.jpg", "126012517")</f>
        <v>126012517</v>
      </c>
      <c r="C258" s="3" t="str">
        <f>HYPERLINK("http://www.ncbi.nlm.nih.gov/protein/126012517","Aimp1")</f>
        <v>Aimp1</v>
      </c>
      <c r="E258" t="str">
        <f>HYPERLINK("J:\Depot - mpkCCD Fractions\Main Web Page\Web Pages_old\proteomic_fractions_linear_files/Yang_linear_img/126012517.jpg","show blot")</f>
        <v>show blot</v>
      </c>
      <c r="G258" t="s">
        <v>257</v>
      </c>
      <c r="I258" s="6">
        <v>6.2852637646442906</v>
      </c>
      <c r="K258" s="8"/>
    </row>
    <row r="259" spans="1:11" ht="15" x14ac:dyDescent="0.25">
      <c r="A259" s="3" t="str">
        <f>HYPERLINK("proteomic_fractions_linear_files/Yang_linear_img/22122695.jpg", "22122695")</f>
        <v>22122695</v>
      </c>
      <c r="C259" s="3" t="str">
        <f>HYPERLINK("http://www.ncbi.nlm.nih.gov/protein/22122695","Aimp2")</f>
        <v>Aimp2</v>
      </c>
      <c r="E259" t="str">
        <f>HYPERLINK("J:\Depot - mpkCCD Fractions\Main Web Page\Web Pages_old\proteomic_fractions_linear_files/Yang_linear_img/22122695.jpg","show blot")</f>
        <v>show blot</v>
      </c>
      <c r="G259" t="s">
        <v>258</v>
      </c>
      <c r="I259" s="6">
        <v>6.0075233440148343</v>
      </c>
      <c r="K259" s="8"/>
    </row>
    <row r="260" spans="1:11" ht="15" x14ac:dyDescent="0.25">
      <c r="A260" s="3" t="str">
        <f>HYPERLINK("proteomic_fractions_linear_files/Yang_linear_img/288541337.jpg", "288541337")</f>
        <v>288541337</v>
      </c>
      <c r="C260" s="3" t="str">
        <f>HYPERLINK("http://www.ncbi.nlm.nih.gov/protein/288541337","Aimp2")</f>
        <v>Aimp2</v>
      </c>
      <c r="E260" t="str">
        <f>HYPERLINK("J:\Depot - mpkCCD Fractions\Main Web Page\Web Pages_old\proteomic_fractions_linear_files/Yang_linear_img/288541337.jpg","show blot")</f>
        <v>show blot</v>
      </c>
      <c r="G260" t="s">
        <v>259</v>
      </c>
      <c r="I260" s="6">
        <v>6.0075233440148343</v>
      </c>
      <c r="K260" s="8"/>
    </row>
    <row r="261" spans="1:11" ht="15" x14ac:dyDescent="0.25">
      <c r="A261" s="3" t="str">
        <f>HYPERLINK("proteomic_fractions_linear_files/Yang_linear_img/7709982.jpg", "7709982")</f>
        <v>7709982</v>
      </c>
      <c r="C261" s="3" t="str">
        <f>HYPERLINK("http://www.ncbi.nlm.nih.gov/protein/7709982","Aip")</f>
        <v>Aip</v>
      </c>
      <c r="E261" t="str">
        <f>HYPERLINK("J:\Depot - mpkCCD Fractions\Main Web Page\Web Pages_old\proteomic_fractions_linear_files/Yang_linear_img/7709982.jpg","show blot")</f>
        <v>show blot</v>
      </c>
      <c r="G261" t="s">
        <v>260</v>
      </c>
      <c r="I261" s="6">
        <v>5.21714203326784</v>
      </c>
      <c r="K261" s="8"/>
    </row>
    <row r="262" spans="1:11" ht="15" x14ac:dyDescent="0.25">
      <c r="A262" s="3" t="str">
        <f>HYPERLINK("proteomic_fractions_linear_files/Yang_linear_img/219283242.jpg", "219283242")</f>
        <v>219283242</v>
      </c>
      <c r="C262" s="3" t="str">
        <f>HYPERLINK("http://www.ncbi.nlm.nih.gov/protein/219283242","AK010878")</f>
        <v>AK010878</v>
      </c>
      <c r="E262" t="str">
        <f>HYPERLINK("J:\Depot - mpkCCD Fractions\Main Web Page\Web Pages_old\proteomic_fractions_linear_files/Yang_linear_img/219283242.jpg","show blot")</f>
        <v>show blot</v>
      </c>
      <c r="G262" t="s">
        <v>261</v>
      </c>
      <c r="I262" s="6">
        <v>3.9429751156839958</v>
      </c>
      <c r="K262" s="8"/>
    </row>
    <row r="263" spans="1:11" ht="15" x14ac:dyDescent="0.25">
      <c r="A263" s="3" t="str">
        <f>HYPERLINK("proteomic_fractions_linear_files/Yang_linear_img/34328230.jpg", "34328230")</f>
        <v>34328230</v>
      </c>
      <c r="C263" s="3" t="str">
        <f>HYPERLINK("http://www.ncbi.nlm.nih.gov/protein/34328230","Ak2")</f>
        <v>Ak2</v>
      </c>
      <c r="E263" t="str">
        <f>HYPERLINK("J:\Depot - mpkCCD Fractions\Main Web Page\Web Pages_old\proteomic_fractions_linear_files/Yang_linear_img/34328230.jpg","show blot")</f>
        <v>show blot</v>
      </c>
      <c r="G263" t="s">
        <v>262</v>
      </c>
      <c r="I263" s="6">
        <v>5.3703719952729347</v>
      </c>
      <c r="K263" s="8"/>
    </row>
    <row r="264" spans="1:11" ht="15" x14ac:dyDescent="0.25">
      <c r="A264" s="3" t="str">
        <f>HYPERLINK("proteomic_fractions_linear_files/Yang_linear_img/77020262.jpg", "77020262")</f>
        <v>77020262</v>
      </c>
      <c r="C264" s="3" t="str">
        <f>HYPERLINK("http://www.ncbi.nlm.nih.gov/protein/77020262","Ak2")</f>
        <v>Ak2</v>
      </c>
      <c r="E264" t="str">
        <f>HYPERLINK("J:\Depot - mpkCCD Fractions\Main Web Page\Web Pages_old\proteomic_fractions_linear_files/Yang_linear_img/77020262.jpg","show blot")</f>
        <v>show blot</v>
      </c>
      <c r="G264" t="s">
        <v>263</v>
      </c>
      <c r="I264" s="6">
        <v>5.3703719952729347</v>
      </c>
      <c r="K264" s="8"/>
    </row>
    <row r="265" spans="1:11" ht="15" x14ac:dyDescent="0.25">
      <c r="A265" s="3" t="str">
        <f>HYPERLINK("proteomic_fractions_linear_files/Yang_linear_img/23956104.jpg", "23956104")</f>
        <v>23956104</v>
      </c>
      <c r="C265" s="3" t="str">
        <f>HYPERLINK("http://www.ncbi.nlm.nih.gov/protein/23956104","Ak3")</f>
        <v>Ak3</v>
      </c>
      <c r="E265" t="str">
        <f>HYPERLINK("J:\Depot - mpkCCD Fractions\Main Web Page\Web Pages_old\proteomic_fractions_linear_files/Yang_linear_img/23956104.jpg","show blot")</f>
        <v>show blot</v>
      </c>
      <c r="G265" t="s">
        <v>264</v>
      </c>
      <c r="I265" s="6">
        <v>5.8908419716548739</v>
      </c>
      <c r="K265" s="8"/>
    </row>
    <row r="266" spans="1:11" ht="15" x14ac:dyDescent="0.25">
      <c r="A266" s="3" t="str">
        <f>HYPERLINK("proteomic_fractions_linear_files/Yang_linear_img/13626040.jpg", "13626040")</f>
        <v>13626040</v>
      </c>
      <c r="C266" s="3" t="str">
        <f>HYPERLINK("http://www.ncbi.nlm.nih.gov/protein/13626040","Akap12")</f>
        <v>Akap12</v>
      </c>
      <c r="E266" t="str">
        <f>HYPERLINK("J:\Depot - mpkCCD Fractions\Main Web Page\Web Pages_old\proteomic_fractions_linear_files/Yang_linear_img/13626040.jpg","show blot")</f>
        <v>show blot</v>
      </c>
      <c r="G266" t="s">
        <v>265</v>
      </c>
      <c r="I266" s="6">
        <v>6.1035006220642449</v>
      </c>
      <c r="K266" s="8"/>
    </row>
    <row r="267" spans="1:11" ht="15" x14ac:dyDescent="0.25">
      <c r="A267" s="3" t="str">
        <f>HYPERLINK("proteomic_fractions_linear_files/Yang_linear_img/189181672.jpg", "189181672")</f>
        <v>189181672</v>
      </c>
      <c r="C267" s="3" t="str">
        <f>HYPERLINK("http://www.ncbi.nlm.nih.gov/protein/189181672","Akap13")</f>
        <v>Akap13</v>
      </c>
      <c r="E267" t="str">
        <f>HYPERLINK("J:\Depot - mpkCCD Fractions\Main Web Page\Web Pages_old\proteomic_fractions_linear_files/Yang_linear_img/189181672.jpg","show blot")</f>
        <v>show blot</v>
      </c>
      <c r="G267" t="s">
        <v>266</v>
      </c>
      <c r="I267" s="6">
        <v>4.1099696336781459</v>
      </c>
      <c r="K267" s="8"/>
    </row>
    <row r="268" spans="1:11" ht="15" x14ac:dyDescent="0.25">
      <c r="A268" s="3" t="str">
        <f>HYPERLINK("proteomic_fractions_linear_files/Yang_linear_img/78711832.jpg", "78711832")</f>
        <v>78711832</v>
      </c>
      <c r="C268" s="3" t="str">
        <f>HYPERLINK("http://www.ncbi.nlm.nih.gov/protein/78711832","Akap2")</f>
        <v>Akap2</v>
      </c>
      <c r="E268" t="str">
        <f>HYPERLINK("J:\Depot - mpkCCD Fractions\Main Web Page\Web Pages_old\proteomic_fractions_linear_files/Yang_linear_img/78711832.jpg","show blot")</f>
        <v>show blot</v>
      </c>
      <c r="G268" t="s">
        <v>267</v>
      </c>
      <c r="I268" s="6">
        <v>3.2359862046838472</v>
      </c>
      <c r="K268" s="8"/>
    </row>
    <row r="269" spans="1:11" ht="15" x14ac:dyDescent="0.25">
      <c r="A269" s="3" t="str">
        <f>HYPERLINK("proteomic_fractions_linear_files/Yang_linear_img/78711834.jpg", "78711834")</f>
        <v>78711834</v>
      </c>
      <c r="C269" s="3" t="str">
        <f>HYPERLINK("http://www.ncbi.nlm.nih.gov/protein/78711834","Akap2")</f>
        <v>Akap2</v>
      </c>
      <c r="E269" t="str">
        <f>HYPERLINK("J:\Depot - mpkCCD Fractions\Main Web Page\Web Pages_old\proteomic_fractions_linear_files/Yang_linear_img/78711834.jpg","show blot")</f>
        <v>show blot</v>
      </c>
      <c r="G269" t="s">
        <v>268</v>
      </c>
      <c r="I269" s="6">
        <v>3.2359862046838472</v>
      </c>
      <c r="K269" s="8"/>
    </row>
    <row r="270" spans="1:11" ht="15" x14ac:dyDescent="0.25">
      <c r="A270" s="3" t="str">
        <f>HYPERLINK("proteomic_fractions_linear_files/Yang_linear_img/78711836.jpg", "78711836")</f>
        <v>78711836</v>
      </c>
      <c r="C270" s="3" t="str">
        <f>HYPERLINK("http://www.ncbi.nlm.nih.gov/protein/78711836","Akap2")</f>
        <v>Akap2</v>
      </c>
      <c r="E270" t="str">
        <f>HYPERLINK("J:\Depot - mpkCCD Fractions\Main Web Page\Web Pages_old\proteomic_fractions_linear_files/Yang_linear_img/78711836.jpg","show blot")</f>
        <v>show blot</v>
      </c>
      <c r="G270" t="s">
        <v>269</v>
      </c>
      <c r="I270" s="6">
        <v>3.2359862046838472</v>
      </c>
      <c r="K270" s="8"/>
    </row>
    <row r="271" spans="1:11" ht="15" x14ac:dyDescent="0.25">
      <c r="A271" s="3" t="str">
        <f>HYPERLINK("proteomic_fractions_linear_files/Yang_linear_img/31560394.jpg", "31560394")</f>
        <v>31560394</v>
      </c>
      <c r="C271" s="3" t="str">
        <f>HYPERLINK("http://www.ncbi.nlm.nih.gov/protein/31560394","Akap8")</f>
        <v>Akap8</v>
      </c>
      <c r="E271" t="str">
        <f>HYPERLINK("J:\Depot - mpkCCD Fractions\Main Web Page\Web Pages_old\proteomic_fractions_linear_files/Yang_linear_img/31560394.jpg","show blot")</f>
        <v>show blot</v>
      </c>
      <c r="G271" t="s">
        <v>270</v>
      </c>
      <c r="I271" s="6">
        <v>4.9110477540646365</v>
      </c>
      <c r="K271" s="8"/>
    </row>
    <row r="272" spans="1:11" ht="15" x14ac:dyDescent="0.25">
      <c r="A272" s="3" t="str">
        <f>HYPERLINK("proteomic_fractions_linear_files/Yang_linear_img/125661048.jpg", "125661048")</f>
        <v>125661048</v>
      </c>
      <c r="C272" s="3" t="str">
        <f>HYPERLINK("http://www.ncbi.nlm.nih.gov/protein/125661048","Akap9")</f>
        <v>Akap9</v>
      </c>
      <c r="E272" t="str">
        <f>HYPERLINK("J:\Depot - mpkCCD Fractions\Main Web Page\Web Pages_old\proteomic_fractions_linear_files/Yang_linear_img/125661048.jpg","show blot")</f>
        <v>show blot</v>
      </c>
      <c r="G272" t="s">
        <v>271</v>
      </c>
      <c r="I272" s="6">
        <v>3.9834401014491831</v>
      </c>
      <c r="K272" s="8"/>
    </row>
    <row r="273" spans="1:11" ht="15" x14ac:dyDescent="0.25">
      <c r="A273" s="3" t="str">
        <f>HYPERLINK("proteomic_fractions_linear_files/Yang_linear_img/10946870.jpg", "10946870")</f>
        <v>10946870</v>
      </c>
      <c r="C273" s="3" t="str">
        <f>HYPERLINK("http://www.ncbi.nlm.nih.gov/protein/10946870","Akr1a1")</f>
        <v>Akr1a1</v>
      </c>
      <c r="E273" t="str">
        <f>HYPERLINK("J:\Depot - mpkCCD Fractions\Main Web Page\Web Pages_old\proteomic_fractions_linear_files/Yang_linear_img/10946870.jpg","show blot")</f>
        <v>show blot</v>
      </c>
      <c r="G273" t="s">
        <v>272</v>
      </c>
      <c r="I273" s="6">
        <v>6.0101046600999615</v>
      </c>
      <c r="K273" s="8"/>
    </row>
    <row r="274" spans="1:11" ht="15" x14ac:dyDescent="0.25">
      <c r="A274" s="3" t="str">
        <f>HYPERLINK("proteomic_fractions_linear_files/Yang_linear_img/71067102.jpg", "71067102")</f>
        <v>71067102</v>
      </c>
      <c r="C274" s="3" t="str">
        <f>HYPERLINK("http://www.ncbi.nlm.nih.gov/protein/71067102","Akr1b10")</f>
        <v>Akr1b10</v>
      </c>
      <c r="E274" t="str">
        <f>HYPERLINK("J:\Depot - mpkCCD Fractions\Main Web Page\Web Pages_old\proteomic_fractions_linear_files/Yang_linear_img/71067102.jpg","show blot")</f>
        <v>show blot</v>
      </c>
      <c r="G274" t="s">
        <v>273</v>
      </c>
      <c r="I274" s="6">
        <v>4.9177828493726423</v>
      </c>
      <c r="K274" s="8"/>
    </row>
    <row r="275" spans="1:11" ht="15" x14ac:dyDescent="0.25">
      <c r="A275" s="3" t="str">
        <f>HYPERLINK("proteomic_fractions_linear_files/Yang_linear_img/160707894.jpg", "160707894")</f>
        <v>160707894</v>
      </c>
      <c r="C275" s="3" t="str">
        <f>HYPERLINK("http://www.ncbi.nlm.nih.gov/protein/160707894","Akr1b3")</f>
        <v>Akr1b3</v>
      </c>
      <c r="E275" t="str">
        <f>HYPERLINK("J:\Depot - mpkCCD Fractions\Main Web Page\Web Pages_old\proteomic_fractions_linear_files/Yang_linear_img/160707894.jpg","show blot")</f>
        <v>show blot</v>
      </c>
      <c r="G275" t="s">
        <v>274</v>
      </c>
      <c r="I275" s="6">
        <v>6.5765577954639758</v>
      </c>
      <c r="K275" s="8"/>
    </row>
    <row r="276" spans="1:11" ht="15" x14ac:dyDescent="0.25">
      <c r="A276" s="3" t="str">
        <f>HYPERLINK("proteomic_fractions_linear_files/Yang_linear_img/160415215.jpg", "160415215")</f>
        <v>160415215</v>
      </c>
      <c r="C276" s="3" t="str">
        <f>HYPERLINK("http://www.ncbi.nlm.nih.gov/protein/160415215","Akr1b7")</f>
        <v>Akr1b7</v>
      </c>
      <c r="E276" t="str">
        <f>HYPERLINK("J:\Depot - mpkCCD Fractions\Main Web Page\Web Pages_old\proteomic_fractions_linear_files/Yang_linear_img/160415215.jpg","show blot")</f>
        <v>show blot</v>
      </c>
      <c r="G276" t="s">
        <v>275</v>
      </c>
      <c r="I276" s="6">
        <v>4.8395799387263345</v>
      </c>
      <c r="K276" s="8"/>
    </row>
    <row r="277" spans="1:11" ht="15" x14ac:dyDescent="0.25">
      <c r="A277" s="3" t="str">
        <f>HYPERLINK("proteomic_fractions_linear_files/Yang_linear_img/6679791.jpg", "6679791")</f>
        <v>6679791</v>
      </c>
      <c r="C277" s="3" t="str">
        <f>HYPERLINK("http://www.ncbi.nlm.nih.gov/protein/6679791","Akr1b8")</f>
        <v>Akr1b8</v>
      </c>
      <c r="E277" t="str">
        <f>HYPERLINK("J:\Depot - mpkCCD Fractions\Main Web Page\Web Pages_old\proteomic_fractions_linear_files/Yang_linear_img/6679791.jpg","show blot")</f>
        <v>show blot</v>
      </c>
      <c r="G277" t="s">
        <v>276</v>
      </c>
      <c r="I277" s="6">
        <v>4.9667567424568482</v>
      </c>
      <c r="K277" s="8"/>
    </row>
    <row r="278" spans="1:11" ht="15" x14ac:dyDescent="0.25">
      <c r="A278" s="3" t="str">
        <f>HYPERLINK("proteomic_fractions_linear_files/Yang_linear_img/85719330.jpg", "85719330")</f>
        <v>85719330</v>
      </c>
      <c r="C278" s="3" t="str">
        <f>HYPERLINK("http://www.ncbi.nlm.nih.gov/protein/85719330","Akr1c12")</f>
        <v>Akr1c12</v>
      </c>
      <c r="E278" t="str">
        <f>HYPERLINK("J:\Depot - mpkCCD Fractions\Main Web Page\Web Pages_old\proteomic_fractions_linear_files/Yang_linear_img/85719330.jpg","show blot")</f>
        <v>show blot</v>
      </c>
      <c r="G278" t="s">
        <v>277</v>
      </c>
      <c r="I278" s="6">
        <v>4.9230695923550165</v>
      </c>
      <c r="K278" s="8"/>
    </row>
    <row r="279" spans="1:11" ht="15" x14ac:dyDescent="0.25">
      <c r="A279" s="3" t="str">
        <f>HYPERLINK("proteomic_fractions_linear_files/Yang_linear_img/171846276.jpg", "171846276")</f>
        <v>171846276</v>
      </c>
      <c r="C279" s="3" t="str">
        <f>HYPERLINK("http://www.ncbi.nlm.nih.gov/protein/171846276","Akr1c13")</f>
        <v>Akr1c13</v>
      </c>
      <c r="E279" t="str">
        <f>HYPERLINK("J:\Depot - mpkCCD Fractions\Main Web Page\Web Pages_old\proteomic_fractions_linear_files/Yang_linear_img/171846276.jpg","show blot")</f>
        <v>show blot</v>
      </c>
      <c r="G279" t="s">
        <v>278</v>
      </c>
      <c r="I279" s="6">
        <v>5.0580267940703276</v>
      </c>
      <c r="K279" s="8"/>
    </row>
    <row r="280" spans="1:11" ht="15" x14ac:dyDescent="0.25">
      <c r="A280" s="3" t="str">
        <f>HYPERLINK("proteomic_fractions_linear_files/Yang_linear_img/282398141.jpg", "282398141")</f>
        <v>282398141</v>
      </c>
      <c r="C280" s="3" t="str">
        <f>HYPERLINK("http://www.ncbi.nlm.nih.gov/protein/282398141","Akr1c19")</f>
        <v>Akr1c19</v>
      </c>
      <c r="E280" t="str">
        <f>HYPERLINK("J:\Depot - mpkCCD Fractions\Main Web Page\Web Pages_old\proteomic_fractions_linear_files/Yang_linear_img/282398141.jpg","show blot")</f>
        <v>show blot</v>
      </c>
      <c r="G280" t="s">
        <v>279</v>
      </c>
      <c r="I280" s="6">
        <v>5.819813073838036</v>
      </c>
      <c r="K280" s="8"/>
    </row>
    <row r="281" spans="1:11" ht="15" x14ac:dyDescent="0.25">
      <c r="A281" s="3" t="str">
        <f>HYPERLINK("proteomic_fractions_linear_files/Yang_linear_img/93277108.jpg", "93277108")</f>
        <v>93277108</v>
      </c>
      <c r="C281" s="3" t="str">
        <f>HYPERLINK("http://www.ncbi.nlm.nih.gov/protein/93277108","Akr1e1")</f>
        <v>Akr1e1</v>
      </c>
      <c r="E281" t="str">
        <f>HYPERLINK("J:\Depot - mpkCCD Fractions\Main Web Page\Web Pages_old\proteomic_fractions_linear_files/Yang_linear_img/93277108.jpg","show blot")</f>
        <v>show blot</v>
      </c>
      <c r="G281" t="s">
        <v>280</v>
      </c>
      <c r="I281" s="6">
        <v>6.0223215039616189</v>
      </c>
      <c r="K281" s="8"/>
    </row>
    <row r="282" spans="1:11" ht="15" x14ac:dyDescent="0.25">
      <c r="A282" s="3" t="str">
        <f>HYPERLINK("proteomic_fractions_linear_files/Yang_linear_img/240120054.jpg", "240120054")</f>
        <v>240120054</v>
      </c>
      <c r="C282" s="3" t="str">
        <f>HYPERLINK("http://www.ncbi.nlm.nih.gov/protein/240120054","Akr7a5")</f>
        <v>Akr7a5</v>
      </c>
      <c r="E282" t="str">
        <f>HYPERLINK("J:\Depot - mpkCCD Fractions\Main Web Page\Web Pages_old\proteomic_fractions_linear_files/Yang_linear_img/240120054.jpg","show blot")</f>
        <v>show blot</v>
      </c>
      <c r="G282" t="s">
        <v>281</v>
      </c>
      <c r="I282" s="6">
        <v>4.9130582481821206</v>
      </c>
      <c r="K282" s="8"/>
    </row>
    <row r="283" spans="1:11" ht="15" x14ac:dyDescent="0.25">
      <c r="A283" s="3" t="str">
        <f>HYPERLINK("proteomic_fractions_linear_files/Yang_linear_img/260166608.jpg", "260166608")</f>
        <v>260166608</v>
      </c>
      <c r="C283" s="3" t="str">
        <f>HYPERLINK("http://www.ncbi.nlm.nih.gov/protein/260166608","Akt1")</f>
        <v>Akt1</v>
      </c>
      <c r="E283" t="str">
        <f>HYPERLINK("J:\Depot - mpkCCD Fractions\Main Web Page\Web Pages_old\proteomic_fractions_linear_files/Yang_linear_img/260166608.jpg","show blot")</f>
        <v>show blot</v>
      </c>
      <c r="G283" t="s">
        <v>282</v>
      </c>
      <c r="I283" s="6">
        <v>4.9278881611879832</v>
      </c>
      <c r="K283" s="8"/>
    </row>
    <row r="284" spans="1:11" ht="15" x14ac:dyDescent="0.25">
      <c r="A284" s="3" t="str">
        <f>HYPERLINK("proteomic_fractions_linear_files/Yang_linear_img/6753034.jpg", "6753034")</f>
        <v>6753034</v>
      </c>
      <c r="C284" s="3" t="str">
        <f>HYPERLINK("http://www.ncbi.nlm.nih.gov/protein/6753034","Akt1")</f>
        <v>Akt1</v>
      </c>
      <c r="E284" t="str">
        <f>HYPERLINK("J:\Depot - mpkCCD Fractions\Main Web Page\Web Pages_old\proteomic_fractions_linear_files/Yang_linear_img/6753034.jpg","show blot")</f>
        <v>show blot</v>
      </c>
      <c r="G284" t="s">
        <v>283</v>
      </c>
      <c r="I284" s="6">
        <v>4.9278881611879832</v>
      </c>
      <c r="K284" s="8"/>
    </row>
    <row r="285" spans="1:11" ht="15" x14ac:dyDescent="0.25">
      <c r="A285" s="3" t="str">
        <f>HYPERLINK("proteomic_fractions_linear_files/Yang_linear_img/21312878.jpg", "21312878")</f>
        <v>21312878</v>
      </c>
      <c r="C285" s="3" t="str">
        <f>HYPERLINK("http://www.ncbi.nlm.nih.gov/protein/21312878","Akt1s1")</f>
        <v>Akt1s1</v>
      </c>
      <c r="E285" t="str">
        <f>HYPERLINK("J:\Depot - mpkCCD Fractions\Main Web Page\Web Pages_old\proteomic_fractions_linear_files/Yang_linear_img/21312878.jpg","show blot")</f>
        <v>show blot</v>
      </c>
      <c r="G285" t="s">
        <v>284</v>
      </c>
      <c r="I285" s="6">
        <v>2.8147227674291857</v>
      </c>
      <c r="K285" s="8"/>
    </row>
    <row r="286" spans="1:11" ht="15" x14ac:dyDescent="0.25">
      <c r="A286" s="3" t="str">
        <f>HYPERLINK("proteomic_fractions_linear_files/Yang_linear_img/6680674.jpg", "6680674")</f>
        <v>6680674</v>
      </c>
      <c r="C286" s="3" t="str">
        <f>HYPERLINK("http://www.ncbi.nlm.nih.gov/protein/6680674","Akt2")</f>
        <v>Akt2</v>
      </c>
      <c r="E286" t="str">
        <f>HYPERLINK("J:\Depot - mpkCCD Fractions\Main Web Page\Web Pages_old\proteomic_fractions_linear_files/Yang_linear_img/6680674.jpg","show blot")</f>
        <v>show blot</v>
      </c>
      <c r="G286" t="s">
        <v>285</v>
      </c>
      <c r="I286" s="6">
        <v>4.2281498962705291</v>
      </c>
      <c r="K286" s="8"/>
    </row>
    <row r="287" spans="1:11" ht="15" x14ac:dyDescent="0.25">
      <c r="A287" s="3" t="str">
        <f>HYPERLINK("proteomic_fractions_linear_files/Yang_linear_img/190883484.jpg", "190883484")</f>
        <v>190883484</v>
      </c>
      <c r="C287" s="3" t="str">
        <f>HYPERLINK("http://www.ncbi.nlm.nih.gov/protein/190883484","Akt3")</f>
        <v>Akt3</v>
      </c>
      <c r="E287" t="str">
        <f>HYPERLINK("J:\Depot - mpkCCD Fractions\Main Web Page\Web Pages_old\proteomic_fractions_linear_files/Yang_linear_img/190883484.jpg","show blot")</f>
        <v>show blot</v>
      </c>
      <c r="G287" t="s">
        <v>286</v>
      </c>
      <c r="I287" s="6">
        <v>4.1708728241479234</v>
      </c>
      <c r="K287" s="8"/>
    </row>
    <row r="288" spans="1:11" ht="15" x14ac:dyDescent="0.25">
      <c r="A288" s="3" t="str">
        <f>HYPERLINK("proteomic_fractions_linear_files/Yang_linear_img/6753918.jpg", "6753918")</f>
        <v>6753918</v>
      </c>
      <c r="C288" s="3" t="str">
        <f>HYPERLINK("http://www.ncbi.nlm.nih.gov/protein/6753918","Aktip")</f>
        <v>Aktip</v>
      </c>
      <c r="E288" t="str">
        <f>HYPERLINK("J:\Depot - mpkCCD Fractions\Main Web Page\Web Pages_old\proteomic_fractions_linear_files/Yang_linear_img/6753918.jpg","show blot")</f>
        <v>show blot</v>
      </c>
      <c r="G288" t="s">
        <v>287</v>
      </c>
      <c r="I288" s="6">
        <v>4.5373353030679668</v>
      </c>
      <c r="K288" s="8"/>
    </row>
    <row r="289" spans="1:11" ht="15" x14ac:dyDescent="0.25">
      <c r="A289" s="3" t="str">
        <f>HYPERLINK("proteomic_fractions_linear_files/Yang_linear_img/34328485.jpg", "34328485")</f>
        <v>34328485</v>
      </c>
      <c r="C289" s="3" t="str">
        <f>HYPERLINK("http://www.ncbi.nlm.nih.gov/protein/34328485","Alad")</f>
        <v>Alad</v>
      </c>
      <c r="E289" t="str">
        <f>HYPERLINK("J:\Depot - mpkCCD Fractions\Main Web Page\Web Pages_old\proteomic_fractions_linear_files/Yang_linear_img/34328485.jpg","show blot")</f>
        <v>show blot</v>
      </c>
      <c r="G289" t="s">
        <v>288</v>
      </c>
      <c r="I289" s="6">
        <v>6.2934502086445212</v>
      </c>
      <c r="K289" s="8"/>
    </row>
    <row r="290" spans="1:11" ht="15" x14ac:dyDescent="0.25">
      <c r="A290" s="3" t="str">
        <f>HYPERLINK("proteomic_fractions_linear_files/Yang_linear_img/163310765.jpg", "163310765")</f>
        <v>163310765</v>
      </c>
      <c r="C290" s="3" t="str">
        <f>HYPERLINK("http://www.ncbi.nlm.nih.gov/protein/163310765","Alb")</f>
        <v>Alb</v>
      </c>
      <c r="E290" t="str">
        <f>HYPERLINK("J:\Depot - mpkCCD Fractions\Main Web Page\Web Pages_old\proteomic_fractions_linear_files/Yang_linear_img/163310765.jpg","show blot")</f>
        <v>show blot</v>
      </c>
      <c r="G290" t="s">
        <v>289</v>
      </c>
      <c r="I290" s="6">
        <v>1.5914638988358312</v>
      </c>
      <c r="K290" s="8"/>
    </row>
    <row r="291" spans="1:11" ht="15" x14ac:dyDescent="0.25">
      <c r="A291" s="3" t="str">
        <f>HYPERLINK("proteomic_fractions_linear_files/Yang_linear_img/31791059.jpg", "31791059")</f>
        <v>31791059</v>
      </c>
      <c r="C291" s="3" t="str">
        <f>HYPERLINK("http://www.ncbi.nlm.nih.gov/protein/31791059","Alcam")</f>
        <v>Alcam</v>
      </c>
      <c r="E291" t="str">
        <f>HYPERLINK("J:\Depot - mpkCCD Fractions\Main Web Page\Web Pages_old\proteomic_fractions_linear_files/Yang_linear_img/31791059.jpg","show blot")</f>
        <v>show blot</v>
      </c>
      <c r="G291" t="s">
        <v>290</v>
      </c>
      <c r="I291" s="6">
        <v>5.4416604576420804</v>
      </c>
      <c r="K291" s="8"/>
    </row>
    <row r="292" spans="1:11" ht="15" x14ac:dyDescent="0.25">
      <c r="A292" s="3" t="str">
        <f>HYPERLINK("proteomic_fractions_linear_files/Yang_linear_img/26080429.jpg", "26080429")</f>
        <v>26080429</v>
      </c>
      <c r="C292" s="3" t="str">
        <f>HYPERLINK("http://www.ncbi.nlm.nih.gov/protein/26080429","Aldh16a1")</f>
        <v>Aldh16a1</v>
      </c>
      <c r="E292" t="str">
        <f>HYPERLINK("J:\Depot - mpkCCD Fractions\Main Web Page\Web Pages_old\proteomic_fractions_linear_files/Yang_linear_img/26080429.jpg","show blot")</f>
        <v>show blot</v>
      </c>
      <c r="G292" t="s">
        <v>291</v>
      </c>
      <c r="I292" s="6">
        <v>5.0992078626056294</v>
      </c>
      <c r="K292" s="8"/>
    </row>
    <row r="293" spans="1:11" ht="15" x14ac:dyDescent="0.25">
      <c r="A293" s="3" t="str">
        <f>HYPERLINK("proteomic_fractions_linear_files/Yang_linear_img/255958292.jpg", "255958292")</f>
        <v>255958292</v>
      </c>
      <c r="C293" s="3" t="str">
        <f>HYPERLINK("http://www.ncbi.nlm.nih.gov/protein/255958292","Aldh18a1")</f>
        <v>Aldh18a1</v>
      </c>
      <c r="E293" t="str">
        <f>HYPERLINK("J:\Depot - mpkCCD Fractions\Main Web Page\Web Pages_old\proteomic_fractions_linear_files/Yang_linear_img/255958292.jpg","show blot")</f>
        <v>show blot</v>
      </c>
      <c r="G293" t="s">
        <v>292</v>
      </c>
      <c r="I293" s="6">
        <v>5.2968866560758219</v>
      </c>
      <c r="K293" s="8"/>
    </row>
    <row r="294" spans="1:11" ht="15" x14ac:dyDescent="0.25">
      <c r="A294" s="3" t="str">
        <f>HYPERLINK("proteomic_fractions_linear_files/Yang_linear_img/255958294.jpg", "255958294")</f>
        <v>255958294</v>
      </c>
      <c r="C294" s="3" t="str">
        <f>HYPERLINK("http://www.ncbi.nlm.nih.gov/protein/255958294","Aldh18a1")</f>
        <v>Aldh18a1</v>
      </c>
      <c r="E294" t="str">
        <f>HYPERLINK("J:\Depot - mpkCCD Fractions\Main Web Page\Web Pages_old\proteomic_fractions_linear_files/Yang_linear_img/255958294.jpg","show blot")</f>
        <v>show blot</v>
      </c>
      <c r="G294" t="s">
        <v>293</v>
      </c>
      <c r="I294" s="6">
        <v>5.2968866560758219</v>
      </c>
      <c r="K294" s="8"/>
    </row>
    <row r="295" spans="1:11" ht="15" x14ac:dyDescent="0.25">
      <c r="A295" s="3" t="str">
        <f>HYPERLINK("proteomic_fractions_linear_files/Yang_linear_img/85861182.jpg", "85861182")</f>
        <v>85861182</v>
      </c>
      <c r="C295" s="3" t="str">
        <f>HYPERLINK("http://www.ncbi.nlm.nih.gov/protein/85861182","Aldh1a1")</f>
        <v>Aldh1a1</v>
      </c>
      <c r="E295" t="str">
        <f>HYPERLINK("J:\Depot - mpkCCD Fractions\Main Web Page\Web Pages_old\proteomic_fractions_linear_files/Yang_linear_img/85861182.jpg","show blot")</f>
        <v>show blot</v>
      </c>
      <c r="G295" t="s">
        <v>294</v>
      </c>
      <c r="I295" s="6">
        <v>4.648971605625893</v>
      </c>
      <c r="K295" s="8"/>
    </row>
    <row r="296" spans="1:11" ht="15" x14ac:dyDescent="0.25">
      <c r="A296" s="3" t="str">
        <f>HYPERLINK("proteomic_fractions_linear_files/Yang_linear_img/7106242.jpg", "7106242")</f>
        <v>7106242</v>
      </c>
      <c r="C296" s="3" t="str">
        <f>HYPERLINK("http://www.ncbi.nlm.nih.gov/protein/7106242","Aldh1a7")</f>
        <v>Aldh1a7</v>
      </c>
      <c r="E296" t="str">
        <f>HYPERLINK("J:\Depot - mpkCCD Fractions\Main Web Page\Web Pages_old\proteomic_fractions_linear_files/Yang_linear_img/7106242.jpg","show blot")</f>
        <v>show blot</v>
      </c>
      <c r="G296" t="s">
        <v>295</v>
      </c>
      <c r="I296" s="6">
        <v>4.3775262476530523</v>
      </c>
      <c r="K296" s="8"/>
    </row>
    <row r="297" spans="1:11" ht="15" x14ac:dyDescent="0.25">
      <c r="A297" s="3" t="str">
        <f>HYPERLINK("proteomic_fractions_linear_files/Yang_linear_img/6753036.jpg", "6753036")</f>
        <v>6753036</v>
      </c>
      <c r="C297" s="3" t="str">
        <f>HYPERLINK("http://www.ncbi.nlm.nih.gov/protein/6753036","Aldh2")</f>
        <v>Aldh2</v>
      </c>
      <c r="E297" t="str">
        <f>HYPERLINK("J:\Depot - mpkCCD Fractions\Main Web Page\Web Pages_old\proteomic_fractions_linear_files/Yang_linear_img/6753036.jpg","show blot")</f>
        <v>show blot</v>
      </c>
      <c r="G297" t="s">
        <v>296</v>
      </c>
      <c r="I297" s="6">
        <v>4.7907126517889784</v>
      </c>
      <c r="K297" s="8"/>
    </row>
    <row r="298" spans="1:11" ht="15" x14ac:dyDescent="0.25">
      <c r="A298" s="3" t="str">
        <f>HYPERLINK("proteomic_fractions_linear_files/Yang_linear_img/163310769.jpg", "163310769")</f>
        <v>163310769</v>
      </c>
      <c r="C298" s="3" t="str">
        <f>HYPERLINK("http://www.ncbi.nlm.nih.gov/protein/163310769","Aldh3a1")</f>
        <v>Aldh3a1</v>
      </c>
      <c r="E298" t="str">
        <f>HYPERLINK("J:\Depot - mpkCCD Fractions\Main Web Page\Web Pages_old\proteomic_fractions_linear_files/Yang_linear_img/163310769.jpg","show blot")</f>
        <v>show blot</v>
      </c>
      <c r="G298" t="s">
        <v>297</v>
      </c>
      <c r="I298" s="6">
        <v>4.0028104316232618</v>
      </c>
      <c r="K298" s="8"/>
    </row>
    <row r="299" spans="1:11" ht="15" x14ac:dyDescent="0.25">
      <c r="A299" s="3" t="str">
        <f>HYPERLINK("proteomic_fractions_linear_files/Yang_linear_img/75677435.jpg", "75677435")</f>
        <v>75677435</v>
      </c>
      <c r="C299" s="3" t="str">
        <f>HYPERLINK("http://www.ncbi.nlm.nih.gov/protein/75677435","Aldh3a2")</f>
        <v>Aldh3a2</v>
      </c>
      <c r="E299" t="str">
        <f>HYPERLINK("J:\Depot - mpkCCD Fractions\Main Web Page\Web Pages_old\proteomic_fractions_linear_files/Yang_linear_img/75677435.jpg","show blot")</f>
        <v>show blot</v>
      </c>
      <c r="G299" t="s">
        <v>298</v>
      </c>
      <c r="I299" s="6">
        <v>5.0828995459587203</v>
      </c>
      <c r="K299" s="8"/>
    </row>
    <row r="300" spans="1:11" ht="15" x14ac:dyDescent="0.25">
      <c r="A300" s="3" t="str">
        <f>HYPERLINK("proteomic_fractions_linear_files/Yang_linear_img/34328288.jpg", "34328288")</f>
        <v>34328288</v>
      </c>
      <c r="C300" s="3" t="str">
        <f>HYPERLINK("http://www.ncbi.nlm.nih.gov/protein/34328288","Aldh3b1")</f>
        <v>Aldh3b1</v>
      </c>
      <c r="E300" t="str">
        <f>HYPERLINK("J:\Depot - mpkCCD Fractions\Main Web Page\Web Pages_old\proteomic_fractions_linear_files/Yang_linear_img/34328288.jpg","show blot")</f>
        <v>show blot</v>
      </c>
      <c r="G300" t="s">
        <v>299</v>
      </c>
      <c r="I300" s="6">
        <v>5.1319378453495004</v>
      </c>
      <c r="K300" s="8"/>
    </row>
    <row r="301" spans="1:11" ht="15" x14ac:dyDescent="0.25">
      <c r="A301" s="3" t="str">
        <f>HYPERLINK("proteomic_fractions_linear_files/Yang_linear_img/294460012.jpg", "294460012")</f>
        <v>294460012</v>
      </c>
      <c r="C301" s="3" t="str">
        <f>HYPERLINK("http://www.ncbi.nlm.nih.gov/protein/294460012","Aldh3b2")</f>
        <v>Aldh3b2</v>
      </c>
      <c r="E301" t="str">
        <f>HYPERLINK("J:\Depot - mpkCCD Fractions\Main Web Page\Web Pages_old\proteomic_fractions_linear_files/Yang_linear_img/294460012.jpg","show blot")</f>
        <v>show blot</v>
      </c>
      <c r="G301" t="s">
        <v>300</v>
      </c>
      <c r="I301" s="6">
        <v>5.6466610186636848</v>
      </c>
      <c r="K301" s="8"/>
    </row>
    <row r="302" spans="1:11" ht="15" x14ac:dyDescent="0.25">
      <c r="A302" s="3" t="str">
        <f>HYPERLINK("proteomic_fractions_linear_files/Yang_linear_img/407262588.jpg", "407262588")</f>
        <v>407262588</v>
      </c>
      <c r="C302" s="3" t="str">
        <f>HYPERLINK("http://www.ncbi.nlm.nih.gov/protein/407262588","Aldh3b2")</f>
        <v>Aldh3b2</v>
      </c>
      <c r="E302" t="str">
        <f>HYPERLINK("J:\Depot - mpkCCD Fractions\Main Web Page\Web Pages_old\proteomic_fractions_linear_files/Yang_linear_img/407262588.jpg","show blot")</f>
        <v>show blot</v>
      </c>
      <c r="G302" t="s">
        <v>301</v>
      </c>
      <c r="I302" s="6">
        <v>5.6466610186636848</v>
      </c>
      <c r="K302" s="8"/>
    </row>
    <row r="303" spans="1:11" ht="15" x14ac:dyDescent="0.25">
      <c r="A303" s="3" t="str">
        <f>HYPERLINK("proteomic_fractions_linear_files/Yang_linear_img/27369748.jpg", "27369748")</f>
        <v>27369748</v>
      </c>
      <c r="C303" s="3" t="str">
        <f>HYPERLINK("http://www.ncbi.nlm.nih.gov/protein/27369748","Aldh5a1")</f>
        <v>Aldh5a1</v>
      </c>
      <c r="E303" t="str">
        <f>HYPERLINK("J:\Depot - mpkCCD Fractions\Main Web Page\Web Pages_old\proteomic_fractions_linear_files/Yang_linear_img/27369748.jpg","show blot")</f>
        <v>show blot</v>
      </c>
      <c r="G303" t="s">
        <v>302</v>
      </c>
      <c r="I303" s="6">
        <v>4.4155354362256531</v>
      </c>
      <c r="K303" s="8"/>
    </row>
    <row r="304" spans="1:11" ht="15" x14ac:dyDescent="0.25">
      <c r="A304" s="3" t="str">
        <f>HYPERLINK("proteomic_fractions_linear_files/Yang_linear_img/19527258.jpg", "19527258")</f>
        <v>19527258</v>
      </c>
      <c r="C304" s="3" t="str">
        <f>HYPERLINK("http://www.ncbi.nlm.nih.gov/protein/19527258","Aldh6a1")</f>
        <v>Aldh6a1</v>
      </c>
      <c r="E304" t="str">
        <f>HYPERLINK("J:\Depot - mpkCCD Fractions\Main Web Page\Web Pages_old\proteomic_fractions_linear_files/Yang_linear_img/19527258.jpg","show blot")</f>
        <v>show blot</v>
      </c>
      <c r="G304" t="s">
        <v>303</v>
      </c>
      <c r="I304" s="6">
        <v>5.313991505223755</v>
      </c>
      <c r="K304" s="8"/>
    </row>
    <row r="305" spans="1:11" ht="15" x14ac:dyDescent="0.25">
      <c r="A305" s="3" t="str">
        <f>HYPERLINK("proteomic_fractions_linear_files/Yang_linear_img/188035915.jpg", "188035915")</f>
        <v>188035915</v>
      </c>
      <c r="C305" s="3" t="str">
        <f>HYPERLINK("http://www.ncbi.nlm.nih.gov/protein/188035915","Aldh7a1")</f>
        <v>Aldh7a1</v>
      </c>
      <c r="E305" t="str">
        <f>HYPERLINK("J:\Depot - mpkCCD Fractions\Main Web Page\Web Pages_old\proteomic_fractions_linear_files/Yang_linear_img/188035915.jpg","show blot")</f>
        <v>show blot</v>
      </c>
      <c r="G305" t="s">
        <v>304</v>
      </c>
      <c r="I305" s="6">
        <v>5.3091776281915815</v>
      </c>
      <c r="K305" s="8"/>
    </row>
    <row r="306" spans="1:11" ht="15" x14ac:dyDescent="0.25">
      <c r="A306" s="3" t="str">
        <f>HYPERLINK("proteomic_fractions_linear_files/Yang_linear_img/188219757.jpg", "188219757")</f>
        <v>188219757</v>
      </c>
      <c r="C306" s="3" t="str">
        <f>HYPERLINK("http://www.ncbi.nlm.nih.gov/protein/188219757","Aldh7a1")</f>
        <v>Aldh7a1</v>
      </c>
      <c r="E306" t="str">
        <f>HYPERLINK("J:\Depot - mpkCCD Fractions\Main Web Page\Web Pages_old\proteomic_fractions_linear_files/Yang_linear_img/188219757.jpg","show blot")</f>
        <v>show blot</v>
      </c>
      <c r="G306" t="s">
        <v>305</v>
      </c>
      <c r="I306" s="6">
        <v>5.3091776281915815</v>
      </c>
      <c r="K306" s="8"/>
    </row>
    <row r="307" spans="1:11" ht="15" x14ac:dyDescent="0.25">
      <c r="A307" s="3" t="str">
        <f>HYPERLINK("proteomic_fractions_linear_files/Yang_linear_img/115334671.jpg", "115334671")</f>
        <v>115334671</v>
      </c>
      <c r="C307" s="3" t="str">
        <f>HYPERLINK("http://www.ncbi.nlm.nih.gov/protein/115334671","Aldh9a1")</f>
        <v>Aldh9a1</v>
      </c>
      <c r="E307" t="str">
        <f>HYPERLINK("J:\Depot - mpkCCD Fractions\Main Web Page\Web Pages_old\proteomic_fractions_linear_files/Yang_linear_img/115334671.jpg","show blot")</f>
        <v>show blot</v>
      </c>
      <c r="G307" t="s">
        <v>306</v>
      </c>
      <c r="I307" s="6">
        <v>5.6238502102987287</v>
      </c>
      <c r="K307" s="8"/>
    </row>
    <row r="308" spans="1:11" ht="15" x14ac:dyDescent="0.25">
      <c r="A308" s="3" t="str">
        <f>HYPERLINK("proteomic_fractions_linear_files/Yang_linear_img/293597567.jpg", "293597567")</f>
        <v>293597567</v>
      </c>
      <c r="C308" s="3" t="str">
        <f>HYPERLINK("http://www.ncbi.nlm.nih.gov/protein/293597567","Aldoa")</f>
        <v>Aldoa</v>
      </c>
      <c r="E308" t="str">
        <f>HYPERLINK("J:\Depot - mpkCCD Fractions\Main Web Page\Web Pages_old\proteomic_fractions_linear_files/Yang_linear_img/293597567.jpg","show blot")</f>
        <v>show blot</v>
      </c>
      <c r="G308" t="s">
        <v>307</v>
      </c>
      <c r="I308" s="6">
        <v>7.2134449096549869</v>
      </c>
      <c r="K308" s="8"/>
    </row>
    <row r="309" spans="1:11" ht="15" x14ac:dyDescent="0.25">
      <c r="A309" s="3" t="str">
        <f>HYPERLINK("proteomic_fractions_linear_files/Yang_linear_img/6671539.jpg", "6671539")</f>
        <v>6671539</v>
      </c>
      <c r="C309" s="3" t="str">
        <f>HYPERLINK("http://www.ncbi.nlm.nih.gov/protein/6671539","Aldoa")</f>
        <v>Aldoa</v>
      </c>
      <c r="E309" t="str">
        <f>HYPERLINK("J:\Depot - mpkCCD Fractions\Main Web Page\Web Pages_old\proteomic_fractions_linear_files/Yang_linear_img/6671539.jpg","show blot")</f>
        <v>show blot</v>
      </c>
      <c r="G309" t="s">
        <v>308</v>
      </c>
      <c r="I309" s="6">
        <v>7.2134449096549869</v>
      </c>
      <c r="K309" s="8"/>
    </row>
    <row r="310" spans="1:11" ht="15" x14ac:dyDescent="0.25">
      <c r="A310" s="3" t="str">
        <f>HYPERLINK("proteomic_fractions_linear_files/Yang_linear_img/312922382.jpg", "312922382")</f>
        <v>312922382</v>
      </c>
      <c r="C310" s="3" t="str">
        <f>HYPERLINK("http://www.ncbi.nlm.nih.gov/protein/312922382","Aldoart1")</f>
        <v>Aldoart1</v>
      </c>
      <c r="E310" t="str">
        <f>HYPERLINK("J:\Depot - mpkCCD Fractions\Main Web Page\Web Pages_old\proteomic_fractions_linear_files/Yang_linear_img/312922382.jpg","show blot")</f>
        <v>show blot</v>
      </c>
      <c r="G310" t="s">
        <v>309</v>
      </c>
      <c r="I310" s="6">
        <v>6.9529862258991111</v>
      </c>
      <c r="K310" s="8"/>
    </row>
    <row r="311" spans="1:11" ht="15" x14ac:dyDescent="0.25">
      <c r="A311" s="3" t="str">
        <f>HYPERLINK("proteomic_fractions_linear_files/Yang_linear_img/476007882.jpg", "476007882")</f>
        <v>476007882</v>
      </c>
      <c r="C311" s="3" t="str">
        <f>HYPERLINK("http://www.ncbi.nlm.nih.gov/protein/476007882","Aldoart2")</f>
        <v>Aldoart2</v>
      </c>
      <c r="E311" t="str">
        <f>HYPERLINK("J:\Depot - mpkCCD Fractions\Main Web Page\Web Pages_old\proteomic_fractions_linear_files/Yang_linear_img/476007882.jpg","show blot")</f>
        <v>show blot</v>
      </c>
      <c r="G311" t="s">
        <v>310</v>
      </c>
      <c r="I311" s="6">
        <v>5.5760508232252324</v>
      </c>
      <c r="K311" s="8"/>
    </row>
    <row r="312" spans="1:11" ht="15" x14ac:dyDescent="0.25">
      <c r="A312" s="3" t="str">
        <f>HYPERLINK("proteomic_fractions_linear_files/Yang_linear_img/21450291.jpg", "21450291")</f>
        <v>21450291</v>
      </c>
      <c r="C312" s="3" t="str">
        <f>HYPERLINK("http://www.ncbi.nlm.nih.gov/protein/21450291","Aldob")</f>
        <v>Aldob</v>
      </c>
      <c r="E312" t="str">
        <f>HYPERLINK("J:\Depot - mpkCCD Fractions\Main Web Page\Web Pages_old\proteomic_fractions_linear_files/Yang_linear_img/21450291.jpg","show blot")</f>
        <v>show blot</v>
      </c>
      <c r="G312" t="s">
        <v>311</v>
      </c>
      <c r="I312" s="6">
        <v>6.419387458503981</v>
      </c>
      <c r="K312" s="8"/>
    </row>
    <row r="313" spans="1:11" ht="15" x14ac:dyDescent="0.25">
      <c r="A313" s="3" t="str">
        <f>HYPERLINK("proteomic_fractions_linear_files/Yang_linear_img/60687506.jpg", "60687506")</f>
        <v>60687506</v>
      </c>
      <c r="C313" s="3" t="str">
        <f>HYPERLINK("http://www.ncbi.nlm.nih.gov/protein/60687506","Aldoc")</f>
        <v>Aldoc</v>
      </c>
      <c r="E313" t="str">
        <f>HYPERLINK("J:\Depot - mpkCCD Fractions\Main Web Page\Web Pages_old\proteomic_fractions_linear_files/Yang_linear_img/60687506.jpg","show blot")</f>
        <v>show blot</v>
      </c>
      <c r="G313" t="s">
        <v>312</v>
      </c>
      <c r="I313" s="6">
        <v>6.6419539831943979</v>
      </c>
      <c r="K313" s="8"/>
    </row>
    <row r="314" spans="1:11" ht="15" x14ac:dyDescent="0.25">
      <c r="A314" s="3" t="str">
        <f>HYPERLINK("proteomic_fractions_linear_files/Yang_linear_img/215276946.jpg", "215276946")</f>
        <v>215276946</v>
      </c>
      <c r="C314" s="3" t="str">
        <f>HYPERLINK("http://www.ncbi.nlm.nih.gov/protein/215276946","Alg12")</f>
        <v>Alg12</v>
      </c>
      <c r="E314" t="str">
        <f>HYPERLINK("J:\Depot - mpkCCD Fractions\Main Web Page\Web Pages_old\proteomic_fractions_linear_files/Yang_linear_img/215276946.jpg","show blot")</f>
        <v>show blot</v>
      </c>
      <c r="G314" t="s">
        <v>313</v>
      </c>
      <c r="I314" s="6">
        <v>2.6935751297464412</v>
      </c>
      <c r="K314" s="8"/>
    </row>
    <row r="315" spans="1:11" ht="15" x14ac:dyDescent="0.25">
      <c r="A315" s="3" t="str">
        <f>HYPERLINK("proteomic_fractions_linear_files/Yang_linear_img/13195608.jpg", "13195608")</f>
        <v>13195608</v>
      </c>
      <c r="C315" s="3" t="str">
        <f>HYPERLINK("http://www.ncbi.nlm.nih.gov/protein/13195608","Alg14")</f>
        <v>Alg14</v>
      </c>
      <c r="E315" t="str">
        <f>HYPERLINK("J:\Depot - mpkCCD Fractions\Main Web Page\Web Pages_old\proteomic_fractions_linear_files/Yang_linear_img/13195608.jpg","show blot")</f>
        <v>show blot</v>
      </c>
      <c r="G315" t="s">
        <v>314</v>
      </c>
      <c r="I315" s="6">
        <v>3.8296052473999151</v>
      </c>
      <c r="K315" s="8"/>
    </row>
    <row r="316" spans="1:11" ht="15" x14ac:dyDescent="0.25">
      <c r="A316" s="3" t="str">
        <f>HYPERLINK("proteomic_fractions_linear_files/Yang_linear_img/21728372.jpg", "21728372")</f>
        <v>21728372</v>
      </c>
      <c r="C316" s="3" t="str">
        <f>HYPERLINK("http://www.ncbi.nlm.nih.gov/protein/21728372","Alg5")</f>
        <v>Alg5</v>
      </c>
      <c r="E316" t="str">
        <f>HYPERLINK("J:\Depot - mpkCCD Fractions\Main Web Page\Web Pages_old\proteomic_fractions_linear_files/Yang_linear_img/21728372.jpg","show blot")</f>
        <v>show blot</v>
      </c>
      <c r="G316" t="s">
        <v>315</v>
      </c>
      <c r="I316" s="6">
        <v>3.4555899670304404</v>
      </c>
      <c r="K316" s="8"/>
    </row>
    <row r="317" spans="1:11" ht="15" x14ac:dyDescent="0.25">
      <c r="A317" s="3" t="str">
        <f>HYPERLINK("proteomic_fractions_linear_files/Yang_linear_img/110625726.jpg", "110625726")</f>
        <v>110625726</v>
      </c>
      <c r="C317" s="3" t="str">
        <f>HYPERLINK("http://www.ncbi.nlm.nih.gov/protein/110625726","Alkbh3")</f>
        <v>Alkbh3</v>
      </c>
      <c r="E317" t="str">
        <f>HYPERLINK("J:\Depot - mpkCCD Fractions\Main Web Page\Web Pages_old\proteomic_fractions_linear_files/Yang_linear_img/110625726.jpg","show blot")</f>
        <v>show blot</v>
      </c>
      <c r="G317" t="s">
        <v>316</v>
      </c>
      <c r="I317" s="6">
        <v>4.1775581141258273</v>
      </c>
      <c r="K317" s="8"/>
    </row>
    <row r="318" spans="1:11" ht="15" x14ac:dyDescent="0.25">
      <c r="A318" s="3" t="str">
        <f>HYPERLINK("proteomic_fractions_linear_files/Yang_linear_img/31044423.jpg", "31044423")</f>
        <v>31044423</v>
      </c>
      <c r="C318" s="3" t="str">
        <f>HYPERLINK("http://www.ncbi.nlm.nih.gov/protein/31044423","Alkbh5")</f>
        <v>Alkbh5</v>
      </c>
      <c r="E318" t="str">
        <f>HYPERLINK("J:\Depot - mpkCCD Fractions\Main Web Page\Web Pages_old\proteomic_fractions_linear_files/Yang_linear_img/31044423.jpg","show blot")</f>
        <v>show blot</v>
      </c>
      <c r="G318" t="s">
        <v>317</v>
      </c>
      <c r="I318" s="6">
        <v>3.8349281328612599</v>
      </c>
      <c r="K318" s="8"/>
    </row>
    <row r="319" spans="1:11" ht="15" x14ac:dyDescent="0.25">
      <c r="A319" s="3" t="str">
        <f>HYPERLINK("proteomic_fractions_linear_files/Yang_linear_img/189181674.jpg", "189181674")</f>
        <v>189181674</v>
      </c>
      <c r="C319" s="3" t="str">
        <f>HYPERLINK("http://www.ncbi.nlm.nih.gov/protein/189181674","Als2")</f>
        <v>Als2</v>
      </c>
      <c r="E319" t="str">
        <f>HYPERLINK("J:\Depot - mpkCCD Fractions\Main Web Page\Web Pages_old\proteomic_fractions_linear_files/Yang_linear_img/189181674.jpg","show blot")</f>
        <v>show blot</v>
      </c>
      <c r="G319" t="s">
        <v>318</v>
      </c>
      <c r="I319" s="6">
        <v>3.3641858436661676</v>
      </c>
      <c r="K319" s="8"/>
    </row>
    <row r="320" spans="1:11" ht="15" x14ac:dyDescent="0.25">
      <c r="A320" s="3" t="str">
        <f>HYPERLINK("proteomic_fractions_linear_files/Yang_linear_img/237757295.jpg", "237757295")</f>
        <v>237757295</v>
      </c>
      <c r="C320" s="3" t="str">
        <f>HYPERLINK("http://www.ncbi.nlm.nih.gov/protein/237757295","Als2")</f>
        <v>Als2</v>
      </c>
      <c r="E320" t="str">
        <f>HYPERLINK("J:\Depot - mpkCCD Fractions\Main Web Page\Web Pages_old\proteomic_fractions_linear_files/Yang_linear_img/237757295.jpg","show blot")</f>
        <v>show blot</v>
      </c>
      <c r="G320" t="s">
        <v>319</v>
      </c>
      <c r="I320" s="6">
        <v>3.3641858436661676</v>
      </c>
      <c r="K320" s="8"/>
    </row>
    <row r="321" spans="1:11" ht="15" x14ac:dyDescent="0.25">
      <c r="A321" s="3" t="str">
        <f>HYPERLINK("proteomic_fractions_linear_files/Yang_linear_img/6755763.jpg", "6755763")</f>
        <v>6755763</v>
      </c>
      <c r="C321" s="3" t="str">
        <f>HYPERLINK("http://www.ncbi.nlm.nih.gov/protein/6755763","Alyref")</f>
        <v>Alyref</v>
      </c>
      <c r="E321" t="str">
        <f>HYPERLINK("J:\Depot - mpkCCD Fractions\Main Web Page\Web Pages_old\proteomic_fractions_linear_files/Yang_linear_img/6755763.jpg","show blot")</f>
        <v>show blot</v>
      </c>
      <c r="G321" t="s">
        <v>320</v>
      </c>
      <c r="I321" s="6">
        <v>5.4918343378845282</v>
      </c>
      <c r="K321" s="8"/>
    </row>
    <row r="322" spans="1:11" ht="15" x14ac:dyDescent="0.25">
      <c r="A322" s="3" t="str">
        <f>HYPERLINK("proteomic_fractions_linear_files/Yang_linear_img/148238335.jpg", "148238335")</f>
        <v>148238335</v>
      </c>
      <c r="C322" s="3" t="str">
        <f>HYPERLINK("http://www.ncbi.nlm.nih.gov/protein/148238335","Alyref2")</f>
        <v>Alyref2</v>
      </c>
      <c r="E322" t="str">
        <f>HYPERLINK("J:\Depot - mpkCCD Fractions\Main Web Page\Web Pages_old\proteomic_fractions_linear_files/Yang_linear_img/148238335.jpg","show blot")</f>
        <v>show blot</v>
      </c>
      <c r="G322" t="s">
        <v>321</v>
      </c>
      <c r="I322" s="6">
        <v>5.3140313851551344</v>
      </c>
      <c r="K322" s="8"/>
    </row>
    <row r="323" spans="1:11" ht="15" x14ac:dyDescent="0.25">
      <c r="A323" s="3" t="str">
        <f>HYPERLINK("proteomic_fractions_linear_files/Yang_linear_img/46518506.jpg", "46518506")</f>
        <v>46518506</v>
      </c>
      <c r="C323" s="3" t="str">
        <f>HYPERLINK("http://www.ncbi.nlm.nih.gov/protein/46518506","Amacr")</f>
        <v>Amacr</v>
      </c>
      <c r="E323" t="str">
        <f>HYPERLINK("J:\Depot - mpkCCD Fractions\Main Web Page\Web Pages_old\proteomic_fractions_linear_files/Yang_linear_img/46518506.jpg","show blot")</f>
        <v>show blot</v>
      </c>
      <c r="G323" t="s">
        <v>322</v>
      </c>
      <c r="I323" s="6">
        <v>3.6111491506251956</v>
      </c>
      <c r="K323" s="8"/>
    </row>
    <row r="324" spans="1:11" ht="15" x14ac:dyDescent="0.25">
      <c r="A324" s="3" t="str">
        <f>HYPERLINK("proteomic_fractions_linear_files/Yang_linear_img/31982133.jpg", "31982133")</f>
        <v>31982133</v>
      </c>
      <c r="C324" s="3" t="str">
        <f>HYPERLINK("http://www.ncbi.nlm.nih.gov/protein/31982133","Amdhd2")</f>
        <v>Amdhd2</v>
      </c>
      <c r="E324" t="str">
        <f>HYPERLINK("J:\Depot - mpkCCD Fractions\Main Web Page\Web Pages_old\proteomic_fractions_linear_files/Yang_linear_img/31982133.jpg","show blot")</f>
        <v>show blot</v>
      </c>
      <c r="G324" t="s">
        <v>323</v>
      </c>
      <c r="I324" s="6">
        <v>5.0979763946503942</v>
      </c>
      <c r="K324" s="8"/>
    </row>
    <row r="325" spans="1:11" ht="15" x14ac:dyDescent="0.25">
      <c r="A325" s="3" t="str">
        <f>HYPERLINK("proteomic_fractions_linear_files/Yang_linear_img/113205073.jpg", "113205073")</f>
        <v>113205073</v>
      </c>
      <c r="C325" s="3" t="str">
        <f>HYPERLINK("http://www.ncbi.nlm.nih.gov/protein/113205073","Amfr")</f>
        <v>Amfr</v>
      </c>
      <c r="E325" t="str">
        <f>HYPERLINK("J:\Depot - mpkCCD Fractions\Main Web Page\Web Pages_old\proteomic_fractions_linear_files/Yang_linear_img/113205073.jpg","show blot")</f>
        <v>show blot</v>
      </c>
      <c r="G325" t="s">
        <v>324</v>
      </c>
      <c r="I325" s="6">
        <v>3.0528349525771499</v>
      </c>
      <c r="K325" s="8"/>
    </row>
    <row r="326" spans="1:11" ht="15" x14ac:dyDescent="0.25">
      <c r="A326" s="3" t="str">
        <f>HYPERLINK("proteomic_fractions_linear_files/Yang_linear_img/9506383.jpg", "9506383")</f>
        <v>9506383</v>
      </c>
      <c r="C326" s="3" t="str">
        <f>HYPERLINK("http://www.ncbi.nlm.nih.gov/protein/9506383","Ammecr1")</f>
        <v>Ammecr1</v>
      </c>
      <c r="E326" t="str">
        <f>HYPERLINK("J:\Depot - mpkCCD Fractions\Main Web Page\Web Pages_old\proteomic_fractions_linear_files/Yang_linear_img/9506383.jpg","show blot")</f>
        <v>show blot</v>
      </c>
      <c r="G326" t="s">
        <v>325</v>
      </c>
      <c r="I326" s="7" t="s">
        <v>8360</v>
      </c>
      <c r="K326" s="8"/>
    </row>
    <row r="327" spans="1:11" ht="15" x14ac:dyDescent="0.25">
      <c r="A327" s="3" t="str">
        <f>HYPERLINK("proteomic_fractions_linear_files/Yang_linear_img/23943793.jpg", "23943793")</f>
        <v>23943793</v>
      </c>
      <c r="C327" s="3" t="str">
        <f>HYPERLINK("http://www.ncbi.nlm.nih.gov/protein/23943793","Ammecr1l")</f>
        <v>Ammecr1l</v>
      </c>
      <c r="E327" t="str">
        <f>HYPERLINK("J:\Depot - mpkCCD Fractions\Main Web Page\Web Pages_old\proteomic_fractions_linear_files/Yang_linear_img/23943793.jpg","show blot")</f>
        <v>show blot</v>
      </c>
      <c r="G327" t="s">
        <v>326</v>
      </c>
      <c r="I327" s="6">
        <v>1.8003476712878201</v>
      </c>
      <c r="K327" s="8"/>
    </row>
    <row r="328" spans="1:11" ht="15" x14ac:dyDescent="0.25">
      <c r="A328" s="3" t="str">
        <f>HYPERLINK("proteomic_fractions_linear_files/Yang_linear_img/334848200.jpg", "334848200")</f>
        <v>334848200</v>
      </c>
      <c r="C328" s="3" t="str">
        <f>HYPERLINK("http://www.ncbi.nlm.nih.gov/protein/334848200","Ammecr1l")</f>
        <v>Ammecr1l</v>
      </c>
      <c r="E328" t="str">
        <f>HYPERLINK("J:\Depot - mpkCCD Fractions\Main Web Page\Web Pages_old\proteomic_fractions_linear_files/Yang_linear_img/334848200.jpg","show blot")</f>
        <v>show blot</v>
      </c>
      <c r="G328" t="s">
        <v>327</v>
      </c>
      <c r="I328" s="6">
        <v>1.8003476712878201</v>
      </c>
      <c r="K328" s="8"/>
    </row>
    <row r="329" spans="1:11" ht="15" x14ac:dyDescent="0.25">
      <c r="A329" s="3" t="str">
        <f>HYPERLINK("proteomic_fractions_linear_files/Yang_linear_img/114431240.jpg", "114431240")</f>
        <v>114431240</v>
      </c>
      <c r="C329" s="3" t="str">
        <f>HYPERLINK("http://www.ncbi.nlm.nih.gov/protein/114431240","Ampd1")</f>
        <v>Ampd1</v>
      </c>
      <c r="E329" t="str">
        <f>HYPERLINK("J:\Depot - mpkCCD Fractions\Main Web Page\Web Pages_old\proteomic_fractions_linear_files/Yang_linear_img/114431240.jpg","show blot")</f>
        <v>show blot</v>
      </c>
      <c r="G329" t="s">
        <v>328</v>
      </c>
      <c r="I329" s="6">
        <v>2.9252457469398725</v>
      </c>
      <c r="K329" s="8"/>
    </row>
    <row r="330" spans="1:11" ht="15" x14ac:dyDescent="0.25">
      <c r="A330" s="3" t="str">
        <f>HYPERLINK("proteomic_fractions_linear_files/Yang_linear_img/21311925.jpg", "21311925")</f>
        <v>21311925</v>
      </c>
      <c r="C330" s="3" t="str">
        <f>HYPERLINK("http://www.ncbi.nlm.nih.gov/protein/21311925","Ampd2")</f>
        <v>Ampd2</v>
      </c>
      <c r="E330" t="str">
        <f>HYPERLINK("J:\Depot - mpkCCD Fractions\Main Web Page\Web Pages_old\proteomic_fractions_linear_files/Yang_linear_img/21311925.jpg","show blot")</f>
        <v>show blot</v>
      </c>
      <c r="G330" t="s">
        <v>329</v>
      </c>
      <c r="I330" s="6">
        <v>4.6198456621754618</v>
      </c>
      <c r="K330" s="8"/>
    </row>
    <row r="331" spans="1:11" ht="15" x14ac:dyDescent="0.25">
      <c r="A331" s="3" t="str">
        <f>HYPERLINK("proteomic_fractions_linear_files/Yang_linear_img/66792802.jpg", "66792802")</f>
        <v>66792802</v>
      </c>
      <c r="C331" s="3" t="str">
        <f>HYPERLINK("http://www.ncbi.nlm.nih.gov/protein/66792802","Ampd3")</f>
        <v>Ampd3</v>
      </c>
      <c r="E331" t="str">
        <f>HYPERLINK("J:\Depot - mpkCCD Fractions\Main Web Page\Web Pages_old\proteomic_fractions_linear_files/Yang_linear_img/66792802.jpg","show blot")</f>
        <v>show blot</v>
      </c>
      <c r="G331" t="s">
        <v>330</v>
      </c>
      <c r="I331" s="6">
        <v>5.0657080890251214</v>
      </c>
      <c r="K331" s="8"/>
    </row>
    <row r="332" spans="1:11" ht="15" x14ac:dyDescent="0.25">
      <c r="A332" s="3" t="str">
        <f>HYPERLINK("proteomic_fractions_linear_files/Yang_linear_img/228008323.jpg", "228008323")</f>
        <v>228008323</v>
      </c>
      <c r="C332" s="3" t="str">
        <f>HYPERLINK("http://www.ncbi.nlm.nih.gov/protein/228008323","Anapc1")</f>
        <v>Anapc1</v>
      </c>
      <c r="E332" t="str">
        <f>HYPERLINK("J:\Depot - mpkCCD Fractions\Main Web Page\Web Pages_old\proteomic_fractions_linear_files/Yang_linear_img/228008323.jpg","show blot")</f>
        <v>show blot</v>
      </c>
      <c r="G332" t="s">
        <v>331</v>
      </c>
      <c r="I332" s="6">
        <v>3.7769620017752228</v>
      </c>
      <c r="K332" s="8"/>
    </row>
    <row r="333" spans="1:11" ht="15" x14ac:dyDescent="0.25">
      <c r="A333" s="3" t="str">
        <f>HYPERLINK("proteomic_fractions_linear_files/Yang_linear_img/84039696.jpg", "84039696")</f>
        <v>84039696</v>
      </c>
      <c r="C333" s="3" t="str">
        <f>HYPERLINK("http://www.ncbi.nlm.nih.gov/protein/84039696","Anapc11")</f>
        <v>Anapc11</v>
      </c>
      <c r="E333" t="str">
        <f>HYPERLINK("J:\Depot - mpkCCD Fractions\Main Web Page\Web Pages_old\proteomic_fractions_linear_files/Yang_linear_img/84039696.jpg","show blot")</f>
        <v>show blot</v>
      </c>
      <c r="G333" t="s">
        <v>332</v>
      </c>
      <c r="I333" s="6">
        <v>4.2063805698673669</v>
      </c>
      <c r="K333" s="8"/>
    </row>
    <row r="334" spans="1:11" ht="15" x14ac:dyDescent="0.25">
      <c r="A334" s="3" t="str">
        <f>HYPERLINK("proteomic_fractions_linear_files/Yang_linear_img/31088920.jpg", "31088920")</f>
        <v>31088920</v>
      </c>
      <c r="C334" s="3" t="str">
        <f>HYPERLINK("http://www.ncbi.nlm.nih.gov/protein/31088920","Anapc13")</f>
        <v>Anapc13</v>
      </c>
      <c r="E334" t="str">
        <f>HYPERLINK("J:\Depot - mpkCCD Fractions\Main Web Page\Web Pages_old\proteomic_fractions_linear_files/Yang_linear_img/31088920.jpg","show blot")</f>
        <v>show blot</v>
      </c>
      <c r="G334" t="s">
        <v>333</v>
      </c>
      <c r="I334" s="6">
        <v>4.1155774451101639</v>
      </c>
      <c r="K334" s="8"/>
    </row>
    <row r="335" spans="1:11" ht="15" x14ac:dyDescent="0.25">
      <c r="A335" s="3" t="str">
        <f>HYPERLINK("proteomic_fractions_linear_files/Yang_linear_img/13384936.jpg", "13384936")</f>
        <v>13384936</v>
      </c>
      <c r="C335" s="3" t="str">
        <f>HYPERLINK("http://www.ncbi.nlm.nih.gov/protein/13384936","Anapc16")</f>
        <v>Anapc16</v>
      </c>
      <c r="E335" t="str">
        <f>HYPERLINK("J:\Depot - mpkCCD Fractions\Main Web Page\Web Pages_old\proteomic_fractions_linear_files/Yang_linear_img/13384936.jpg","show blot")</f>
        <v>show blot</v>
      </c>
      <c r="G335" t="s">
        <v>334</v>
      </c>
      <c r="I335" s="6">
        <v>2.5648452942125859</v>
      </c>
      <c r="K335" s="8"/>
    </row>
    <row r="336" spans="1:11" ht="15" x14ac:dyDescent="0.25">
      <c r="A336" s="3" t="str">
        <f>HYPERLINK("proteomic_fractions_linear_files/Yang_linear_img/260763928.jpg", "260763928")</f>
        <v>260763928</v>
      </c>
      <c r="C336" s="3" t="str">
        <f>HYPERLINK("http://www.ncbi.nlm.nih.gov/protein/260763928","Anapc2")</f>
        <v>Anapc2</v>
      </c>
      <c r="E336" t="str">
        <f>HYPERLINK("J:\Depot - mpkCCD Fractions\Main Web Page\Web Pages_old\proteomic_fractions_linear_files/Yang_linear_img/260763928.jpg","show blot")</f>
        <v>show blot</v>
      </c>
      <c r="G336" t="s">
        <v>335</v>
      </c>
      <c r="I336" s="6">
        <v>4.0924400161689318</v>
      </c>
      <c r="K336" s="8"/>
    </row>
    <row r="337" spans="1:11" ht="15" x14ac:dyDescent="0.25">
      <c r="A337" s="3" t="str">
        <f>HYPERLINK("proteomic_fractions_linear_files/Yang_linear_img/23956182.jpg", "23956182")</f>
        <v>23956182</v>
      </c>
      <c r="C337" s="3" t="str">
        <f>HYPERLINK("http://www.ncbi.nlm.nih.gov/protein/23956182","Anapc4")</f>
        <v>Anapc4</v>
      </c>
      <c r="E337" t="str">
        <f>HYPERLINK("J:\Depot - mpkCCD Fractions\Main Web Page\Web Pages_old\proteomic_fractions_linear_files/Yang_linear_img/23956182.jpg","show blot")</f>
        <v>show blot</v>
      </c>
      <c r="G337" t="s">
        <v>336</v>
      </c>
      <c r="I337" s="6">
        <v>3.8989758116116637</v>
      </c>
      <c r="K337" s="8"/>
    </row>
    <row r="338" spans="1:11" ht="15" x14ac:dyDescent="0.25">
      <c r="A338" s="3" t="str">
        <f>HYPERLINK("proteomic_fractions_linear_files/Yang_linear_img/109809751.jpg", "109809751")</f>
        <v>109809751</v>
      </c>
      <c r="C338" s="3" t="str">
        <f>HYPERLINK("http://www.ncbi.nlm.nih.gov/protein/109809751","Anapc5")</f>
        <v>Anapc5</v>
      </c>
      <c r="E338" t="str">
        <f>HYPERLINK("J:\Depot - mpkCCD Fractions\Main Web Page\Web Pages_old\proteomic_fractions_linear_files/Yang_linear_img/109809751.jpg","show blot")</f>
        <v>show blot</v>
      </c>
      <c r="G338" t="s">
        <v>337</v>
      </c>
      <c r="I338" s="6">
        <v>4.7928340987057281</v>
      </c>
      <c r="K338" s="8"/>
    </row>
    <row r="339" spans="1:11" ht="15" x14ac:dyDescent="0.25">
      <c r="A339" s="3" t="str">
        <f>HYPERLINK("proteomic_fractions_linear_files/Yang_linear_img/109809753.jpg", "109809753")</f>
        <v>109809753</v>
      </c>
      <c r="C339" s="3" t="str">
        <f>HYPERLINK("http://www.ncbi.nlm.nih.gov/protein/109809753","Anapc5")</f>
        <v>Anapc5</v>
      </c>
      <c r="E339" t="str">
        <f>HYPERLINK("J:\Depot - mpkCCD Fractions\Main Web Page\Web Pages_old\proteomic_fractions_linear_files/Yang_linear_img/109809753.jpg","show blot")</f>
        <v>show blot</v>
      </c>
      <c r="G339" t="s">
        <v>338</v>
      </c>
      <c r="I339" s="6">
        <v>4.7928340987057281</v>
      </c>
      <c r="K339" s="8"/>
    </row>
    <row r="340" spans="1:11" ht="15" x14ac:dyDescent="0.25">
      <c r="A340" s="3" t="str">
        <f>HYPERLINK("proteomic_fractions_linear_files/Yang_linear_img/163310734.jpg", "163310734")</f>
        <v>163310734</v>
      </c>
      <c r="C340" s="3" t="str">
        <f>HYPERLINK("http://www.ncbi.nlm.nih.gov/protein/163310734","Angel1")</f>
        <v>Angel1</v>
      </c>
      <c r="E340" t="str">
        <f>HYPERLINK("J:\Depot - mpkCCD Fractions\Main Web Page\Web Pages_old\proteomic_fractions_linear_files/Yang_linear_img/163310734.jpg","show blot")</f>
        <v>show blot</v>
      </c>
      <c r="G340" t="s">
        <v>339</v>
      </c>
      <c r="I340" s="6">
        <v>3.0459850012665917</v>
      </c>
      <c r="K340" s="8"/>
    </row>
    <row r="341" spans="1:11" ht="15" x14ac:dyDescent="0.25">
      <c r="A341" s="3" t="str">
        <f>HYPERLINK("proteomic_fractions_linear_files/Yang_linear_img/116256499.jpg", "116256499")</f>
        <v>116256499</v>
      </c>
      <c r="C341" s="3" t="str">
        <f>HYPERLINK("http://www.ncbi.nlm.nih.gov/protein/116256499","Ank3")</f>
        <v>Ank3</v>
      </c>
      <c r="E341" t="str">
        <f>HYPERLINK("J:\Depot - mpkCCD Fractions\Main Web Page\Web Pages_old\proteomic_fractions_linear_files/Yang_linear_img/116256499.jpg","show blot")</f>
        <v>show blot</v>
      </c>
      <c r="G341" t="s">
        <v>340</v>
      </c>
      <c r="I341" s="6">
        <v>2.3621578815297117</v>
      </c>
      <c r="K341" s="8"/>
    </row>
    <row r="342" spans="1:11" ht="15" x14ac:dyDescent="0.25">
      <c r="A342" s="3" t="str">
        <f>HYPERLINK("proteomic_fractions_linear_files/Yang_linear_img/22129789.jpg", "22129789")</f>
        <v>22129789</v>
      </c>
      <c r="C342" s="3" t="str">
        <f>HYPERLINK("http://www.ncbi.nlm.nih.gov/protein/22129789","Ank3")</f>
        <v>Ank3</v>
      </c>
      <c r="E342" t="str">
        <f>HYPERLINK("J:\Depot - mpkCCD Fractions\Main Web Page\Web Pages_old\proteomic_fractions_linear_files/Yang_linear_img/22129789.jpg","show blot")</f>
        <v>show blot</v>
      </c>
      <c r="G342" t="s">
        <v>341</v>
      </c>
      <c r="I342" s="6">
        <v>2.3621578815297117</v>
      </c>
      <c r="K342" s="8"/>
    </row>
    <row r="343" spans="1:11" ht="15" x14ac:dyDescent="0.25">
      <c r="A343" s="3" t="str">
        <f>HYPERLINK("proteomic_fractions_linear_files/Yang_linear_img/86262153.jpg", "86262153")</f>
        <v>86262153</v>
      </c>
      <c r="C343" s="3" t="str">
        <f>HYPERLINK("http://www.ncbi.nlm.nih.gov/protein/86262153","Ank3")</f>
        <v>Ank3</v>
      </c>
      <c r="E343" t="str">
        <f>HYPERLINK("J:\Depot - mpkCCD Fractions\Main Web Page\Web Pages_old\proteomic_fractions_linear_files/Yang_linear_img/86262153.jpg","show blot")</f>
        <v>show blot</v>
      </c>
      <c r="G343" t="s">
        <v>342</v>
      </c>
      <c r="I343" s="6">
        <v>2.3621578815297117</v>
      </c>
      <c r="K343" s="8"/>
    </row>
    <row r="344" spans="1:11" ht="15" x14ac:dyDescent="0.25">
      <c r="A344" s="3" t="str">
        <f>HYPERLINK("proteomic_fractions_linear_files/Yang_linear_img/116256491.jpg", "116256491")</f>
        <v>116256491</v>
      </c>
      <c r="C344" s="3" t="str">
        <f>HYPERLINK("http://www.ncbi.nlm.nih.gov/protein/116256491","Ank3")</f>
        <v>Ank3</v>
      </c>
      <c r="E344" t="str">
        <f>HYPERLINK("J:\Depot - mpkCCD Fractions\Main Web Page\Web Pages_old\proteomic_fractions_linear_files/Yang_linear_img/116256491.jpg","show blot")</f>
        <v>show blot</v>
      </c>
      <c r="G344" t="s">
        <v>343</v>
      </c>
      <c r="I344" s="6">
        <v>2.3621578815297117</v>
      </c>
      <c r="K344" s="8"/>
    </row>
    <row r="345" spans="1:11" ht="15" x14ac:dyDescent="0.25">
      <c r="A345" s="3" t="str">
        <f>HYPERLINK("proteomic_fractions_linear_files/Yang_linear_img/116256493.jpg", "116256493")</f>
        <v>116256493</v>
      </c>
      <c r="C345" s="3" t="str">
        <f>HYPERLINK("http://www.ncbi.nlm.nih.gov/protein/116256493","Ank3")</f>
        <v>Ank3</v>
      </c>
      <c r="E345" t="str">
        <f>HYPERLINK("J:\Depot - mpkCCD Fractions\Main Web Page\Web Pages_old\proteomic_fractions_linear_files/Yang_linear_img/116256493.jpg","show blot")</f>
        <v>show blot</v>
      </c>
      <c r="G345" t="s">
        <v>344</v>
      </c>
      <c r="I345" s="6">
        <v>2.3621578815297117</v>
      </c>
      <c r="K345" s="8"/>
    </row>
    <row r="346" spans="1:11" ht="15" x14ac:dyDescent="0.25">
      <c r="A346" s="3" t="str">
        <f>HYPERLINK("proteomic_fractions_linear_files/Yang_linear_img/116256497.jpg", "116256497")</f>
        <v>116256497</v>
      </c>
      <c r="C346" s="3" t="str">
        <f>HYPERLINK("http://www.ncbi.nlm.nih.gov/protein/116256497","Ank3")</f>
        <v>Ank3</v>
      </c>
      <c r="E346" t="str">
        <f>HYPERLINK("J:\Depot - mpkCCD Fractions\Main Web Page\Web Pages_old\proteomic_fractions_linear_files/Yang_linear_img/116256497.jpg","show blot")</f>
        <v>show blot</v>
      </c>
      <c r="G346" t="s">
        <v>345</v>
      </c>
      <c r="I346" s="6">
        <v>2.3621578815297117</v>
      </c>
      <c r="K346" s="8"/>
    </row>
    <row r="347" spans="1:11" ht="15" x14ac:dyDescent="0.25">
      <c r="A347" s="3" t="str">
        <f>HYPERLINK("proteomic_fractions_linear_files/Yang_linear_img/116256503.jpg", "116256503")</f>
        <v>116256503</v>
      </c>
      <c r="C347" s="3" t="str">
        <f>HYPERLINK("http://www.ncbi.nlm.nih.gov/protein/116256503","Ank3")</f>
        <v>Ank3</v>
      </c>
      <c r="E347" t="str">
        <f>HYPERLINK("J:\Depot - mpkCCD Fractions\Main Web Page\Web Pages_old\proteomic_fractions_linear_files/Yang_linear_img/116256503.jpg","show blot")</f>
        <v>show blot</v>
      </c>
      <c r="G347" t="s">
        <v>346</v>
      </c>
      <c r="I347" s="6">
        <v>2.3621578815297117</v>
      </c>
      <c r="K347" s="8"/>
    </row>
    <row r="348" spans="1:11" ht="15" x14ac:dyDescent="0.25">
      <c r="A348" s="3" t="str">
        <f>HYPERLINK("proteomic_fractions_linear_files/Yang_linear_img/116256505.jpg", "116256505")</f>
        <v>116256505</v>
      </c>
      <c r="C348" s="3" t="str">
        <f>HYPERLINK("http://www.ncbi.nlm.nih.gov/protein/116256505","Ank3")</f>
        <v>Ank3</v>
      </c>
      <c r="E348" t="str">
        <f>HYPERLINK("J:\Depot - mpkCCD Fractions\Main Web Page\Web Pages_old\proteomic_fractions_linear_files/Yang_linear_img/116256505.jpg","show blot")</f>
        <v>show blot</v>
      </c>
      <c r="G348" t="s">
        <v>347</v>
      </c>
      <c r="I348" s="6">
        <v>2.3621578815297117</v>
      </c>
      <c r="K348" s="8"/>
    </row>
    <row r="349" spans="1:11" ht="15" x14ac:dyDescent="0.25">
      <c r="A349" s="3" t="str">
        <f>HYPERLINK("proteomic_fractions_linear_files/Yang_linear_img/25121946.jpg", "25121946")</f>
        <v>25121946</v>
      </c>
      <c r="C349" s="3" t="str">
        <f>HYPERLINK("http://www.ncbi.nlm.nih.gov/protein/25121946","Ank3")</f>
        <v>Ank3</v>
      </c>
      <c r="E349" t="str">
        <f>HYPERLINK("J:\Depot - mpkCCD Fractions\Main Web Page\Web Pages_old\proteomic_fractions_linear_files/Yang_linear_img/25121946.jpg","show blot")</f>
        <v>show blot</v>
      </c>
      <c r="G349" t="s">
        <v>348</v>
      </c>
      <c r="I349" s="6">
        <v>2.3621578815297117</v>
      </c>
      <c r="K349" s="8"/>
    </row>
    <row r="350" spans="1:11" ht="15" x14ac:dyDescent="0.25">
      <c r="A350" s="3" t="str">
        <f>HYPERLINK("proteomic_fractions_linear_files/Yang_linear_img/85702366.jpg", "85702366")</f>
        <v>85702366</v>
      </c>
      <c r="C350" s="3" t="str">
        <f>HYPERLINK("http://www.ncbi.nlm.nih.gov/protein/85702366","Ankfy1")</f>
        <v>Ankfy1</v>
      </c>
      <c r="E350" t="str">
        <f>HYPERLINK("J:\Depot - mpkCCD Fractions\Main Web Page\Web Pages_old\proteomic_fractions_linear_files/Yang_linear_img/85702366.jpg","show blot")</f>
        <v>show blot</v>
      </c>
      <c r="G350" t="s">
        <v>349</v>
      </c>
      <c r="I350" s="6">
        <v>4.8663796615709174</v>
      </c>
      <c r="K350" s="8"/>
    </row>
    <row r="351" spans="1:11" ht="15" x14ac:dyDescent="0.25">
      <c r="A351" s="3" t="str">
        <f>HYPERLINK("proteomic_fractions_linear_files/Yang_linear_img/158749543.jpg", "158749543")</f>
        <v>158749543</v>
      </c>
      <c r="C351" s="3" t="str">
        <f>HYPERLINK("http://www.ncbi.nlm.nih.gov/protein/158749543","Ankhd1")</f>
        <v>Ankhd1</v>
      </c>
      <c r="E351" t="str">
        <f>HYPERLINK("J:\Depot - mpkCCD Fractions\Main Web Page\Web Pages_old\proteomic_fractions_linear_files/Yang_linear_img/158749543.jpg","show blot")</f>
        <v>show blot</v>
      </c>
      <c r="G351" t="s">
        <v>350</v>
      </c>
      <c r="I351" s="6">
        <v>3.9467297697051613</v>
      </c>
      <c r="K351" s="8"/>
    </row>
    <row r="352" spans="1:11" ht="15" x14ac:dyDescent="0.25">
      <c r="A352" s="3" t="str">
        <f>HYPERLINK("proteomic_fractions_linear_files/Yang_linear_img/61656165.jpg", "61656165")</f>
        <v>61656165</v>
      </c>
      <c r="C352" s="3" t="str">
        <f>HYPERLINK("http://www.ncbi.nlm.nih.gov/protein/61656165","Ankib1")</f>
        <v>Ankib1</v>
      </c>
      <c r="E352" t="str">
        <f>HYPERLINK("J:\Depot - mpkCCD Fractions\Main Web Page\Web Pages_old\proteomic_fractions_linear_files/Yang_linear_img/61656165.jpg","show blot")</f>
        <v>show blot</v>
      </c>
      <c r="G352" t="s">
        <v>351</v>
      </c>
      <c r="I352" s="6">
        <v>2.4098336063017318</v>
      </c>
      <c r="K352" s="8"/>
    </row>
    <row r="353" spans="1:11" ht="15" x14ac:dyDescent="0.25">
      <c r="A353" s="3" t="str">
        <f>HYPERLINK("proteomic_fractions_linear_files/Yang_linear_img/189181677.jpg", "189181677")</f>
        <v>189181677</v>
      </c>
      <c r="C353" s="3" t="str">
        <f>HYPERLINK("http://www.ncbi.nlm.nih.gov/protein/189181677","Ankle1")</f>
        <v>Ankle1</v>
      </c>
      <c r="E353" t="str">
        <f>HYPERLINK("J:\Depot - mpkCCD Fractions\Main Web Page\Web Pages_old\proteomic_fractions_linear_files/Yang_linear_img/189181677.jpg","show blot")</f>
        <v>show blot</v>
      </c>
      <c r="G353" t="s">
        <v>352</v>
      </c>
      <c r="I353" s="6">
        <v>3.0816161948350769</v>
      </c>
      <c r="K353" s="8"/>
    </row>
    <row r="354" spans="1:11" ht="15" x14ac:dyDescent="0.25">
      <c r="A354" s="3" t="str">
        <f>HYPERLINK("proteomic_fractions_linear_files/Yang_linear_img/269308251.jpg", "269308251")</f>
        <v>269308251</v>
      </c>
      <c r="C354" s="3" t="str">
        <f>HYPERLINK("http://www.ncbi.nlm.nih.gov/protein/269308251","Ankmy2")</f>
        <v>Ankmy2</v>
      </c>
      <c r="E354" t="str">
        <f>HYPERLINK("J:\Depot - mpkCCD Fractions\Main Web Page\Web Pages_old\proteomic_fractions_linear_files/Yang_linear_img/269308251.jpg","show blot")</f>
        <v>show blot</v>
      </c>
      <c r="G354" t="s">
        <v>353</v>
      </c>
      <c r="I354" s="6">
        <v>4.8069294376881304</v>
      </c>
      <c r="K354" s="8"/>
    </row>
    <row r="355" spans="1:11" ht="15" x14ac:dyDescent="0.25">
      <c r="A355" s="3" t="str">
        <f>HYPERLINK("proteomic_fractions_linear_files/Yang_linear_img/61651675.jpg", "61651675")</f>
        <v>61651675</v>
      </c>
      <c r="C355" s="3" t="str">
        <f>HYPERLINK("http://www.ncbi.nlm.nih.gov/protein/61651675","Ankrd13a")</f>
        <v>Ankrd13a</v>
      </c>
      <c r="E355" t="str">
        <f>HYPERLINK("J:\Depot - mpkCCD Fractions\Main Web Page\Web Pages_old\proteomic_fractions_linear_files/Yang_linear_img/61651675.jpg","show blot")</f>
        <v>show blot</v>
      </c>
      <c r="G355" t="s">
        <v>354</v>
      </c>
      <c r="I355" s="6">
        <v>1.1296129476126795</v>
      </c>
      <c r="K355" s="8"/>
    </row>
    <row r="356" spans="1:11" ht="15" x14ac:dyDescent="0.25">
      <c r="A356" s="3" t="str">
        <f>HYPERLINK("proteomic_fractions_linear_files/Yang_linear_img/142363888.jpg", "142363888")</f>
        <v>142363888</v>
      </c>
      <c r="C356" s="3" t="str">
        <f>HYPERLINK("http://www.ncbi.nlm.nih.gov/protein/142363888","Ankrd13d")</f>
        <v>Ankrd13d</v>
      </c>
      <c r="E356" t="str">
        <f>HYPERLINK("J:\Depot - mpkCCD Fractions\Main Web Page\Web Pages_old\proteomic_fractions_linear_files/Yang_linear_img/142363888.jpg","show blot")</f>
        <v>show blot</v>
      </c>
      <c r="G356" t="s">
        <v>355</v>
      </c>
      <c r="I356" s="6">
        <v>1.1231788376072696</v>
      </c>
      <c r="K356" s="8"/>
    </row>
    <row r="357" spans="1:11" ht="15" x14ac:dyDescent="0.25">
      <c r="A357" s="3" t="str">
        <f>HYPERLINK("proteomic_fractions_linear_files/Yang_linear_img/40549395.jpg", "40549395")</f>
        <v>40549395</v>
      </c>
      <c r="C357" s="3" t="str">
        <f>HYPERLINK("http://www.ncbi.nlm.nih.gov/protein/40549395","Ankrd17")</f>
        <v>Ankrd17</v>
      </c>
      <c r="E357" t="str">
        <f>HYPERLINK("J:\Depot - mpkCCD Fractions\Main Web Page\Web Pages_old\proteomic_fractions_linear_files/Yang_linear_img/40549395.jpg","show blot")</f>
        <v>show blot</v>
      </c>
      <c r="G357" t="s">
        <v>356</v>
      </c>
      <c r="I357" s="6">
        <v>4.0162833103115601</v>
      </c>
      <c r="K357" s="8"/>
    </row>
    <row r="358" spans="1:11" ht="15" x14ac:dyDescent="0.25">
      <c r="A358" s="3" t="str">
        <f>HYPERLINK("proteomic_fractions_linear_files/Yang_linear_img/40549397.jpg", "40549397")</f>
        <v>40549397</v>
      </c>
      <c r="C358" s="3" t="str">
        <f>HYPERLINK("http://www.ncbi.nlm.nih.gov/protein/40549397","Ankrd17")</f>
        <v>Ankrd17</v>
      </c>
      <c r="E358" t="str">
        <f>HYPERLINK("J:\Depot - mpkCCD Fractions\Main Web Page\Web Pages_old\proteomic_fractions_linear_files/Yang_linear_img/40549397.jpg","show blot")</f>
        <v>show blot</v>
      </c>
      <c r="G358" t="s">
        <v>357</v>
      </c>
      <c r="I358" s="6">
        <v>4.0162833103115601</v>
      </c>
      <c r="K358" s="8"/>
    </row>
    <row r="359" spans="1:11" ht="15" x14ac:dyDescent="0.25">
      <c r="A359" s="3" t="str">
        <f>HYPERLINK("proteomic_fractions_linear_files/Yang_linear_img/48597001.jpg", "48597001")</f>
        <v>48597001</v>
      </c>
      <c r="C359" s="3" t="str">
        <f>HYPERLINK("http://www.ncbi.nlm.nih.gov/protein/48597001","Ankrd22")</f>
        <v>Ankrd22</v>
      </c>
      <c r="E359" t="str">
        <f>HYPERLINK("J:\Depot - mpkCCD Fractions\Main Web Page\Web Pages_old\proteomic_fractions_linear_files/Yang_linear_img/48597001.jpg","show blot")</f>
        <v>show blot</v>
      </c>
      <c r="G359" t="s">
        <v>358</v>
      </c>
      <c r="I359" s="6">
        <v>2.6883739118438874</v>
      </c>
      <c r="K359" s="8"/>
    </row>
    <row r="360" spans="1:11" ht="15" x14ac:dyDescent="0.25">
      <c r="A360" s="3" t="str">
        <f>HYPERLINK("proteomic_fractions_linear_files/Yang_linear_img/66841376.jpg", "66841376")</f>
        <v>66841376</v>
      </c>
      <c r="C360" s="3" t="str">
        <f>HYPERLINK("http://www.ncbi.nlm.nih.gov/protein/66841376","Ankrd28")</f>
        <v>Ankrd28</v>
      </c>
      <c r="E360" t="str">
        <f>HYPERLINK("J:\Depot - mpkCCD Fractions\Main Web Page\Web Pages_old\proteomic_fractions_linear_files/Yang_linear_img/66841376.jpg","show blot")</f>
        <v>show blot</v>
      </c>
      <c r="G360" t="s">
        <v>359</v>
      </c>
      <c r="I360" s="6">
        <v>3.7878413939463562</v>
      </c>
      <c r="K360" s="8"/>
    </row>
    <row r="361" spans="1:11" ht="15" x14ac:dyDescent="0.25">
      <c r="A361" s="3" t="str">
        <f>HYPERLINK("proteomic_fractions_linear_files/Yang_linear_img/125656161.jpg", "125656161")</f>
        <v>125656161</v>
      </c>
      <c r="C361" s="3" t="str">
        <f>HYPERLINK("http://www.ncbi.nlm.nih.gov/protein/125656161","Ankrd40")</f>
        <v>Ankrd40</v>
      </c>
      <c r="E361" t="str">
        <f>HYPERLINK("J:\Depot - mpkCCD Fractions\Main Web Page\Web Pages_old\proteomic_fractions_linear_files/Yang_linear_img/125656161.jpg","show blot")</f>
        <v>show blot</v>
      </c>
      <c r="G361" t="s">
        <v>360</v>
      </c>
      <c r="I361" s="6">
        <v>3.4158005420087769</v>
      </c>
      <c r="K361" s="8"/>
    </row>
    <row r="362" spans="1:11" ht="15" x14ac:dyDescent="0.25">
      <c r="A362" s="3" t="str">
        <f>HYPERLINK("proteomic_fractions_linear_files/Yang_linear_img/125656167.jpg", "125656167")</f>
        <v>125656167</v>
      </c>
      <c r="C362" s="3" t="str">
        <f>HYPERLINK("http://www.ncbi.nlm.nih.gov/protein/125656167","Ankrd40")</f>
        <v>Ankrd40</v>
      </c>
      <c r="E362" t="str">
        <f>HYPERLINK("J:\Depot - mpkCCD Fractions\Main Web Page\Web Pages_old\proteomic_fractions_linear_files/Yang_linear_img/125656167.jpg","show blot")</f>
        <v>show blot</v>
      </c>
      <c r="G362" t="s">
        <v>361</v>
      </c>
      <c r="I362" s="6">
        <v>3.4158005420087769</v>
      </c>
      <c r="K362" s="8"/>
    </row>
    <row r="363" spans="1:11" ht="15" x14ac:dyDescent="0.25">
      <c r="A363" s="3" t="str">
        <f>HYPERLINK("proteomic_fractions_linear_files/Yang_linear_img/29789417.jpg", "29789417")</f>
        <v>29789417</v>
      </c>
      <c r="C363" s="3" t="str">
        <f>HYPERLINK("http://www.ncbi.nlm.nih.gov/protein/29789417","Ankrd46")</f>
        <v>Ankrd46</v>
      </c>
      <c r="E363" t="str">
        <f>HYPERLINK("J:\Depot - mpkCCD Fractions\Main Web Page\Web Pages_old\proteomic_fractions_linear_files/Yang_linear_img/29789417.jpg","show blot")</f>
        <v>show blot</v>
      </c>
      <c r="G363" t="s">
        <v>362</v>
      </c>
      <c r="I363" s="6">
        <v>4.158160593952295</v>
      </c>
      <c r="K363" s="8"/>
    </row>
    <row r="364" spans="1:11" ht="15" x14ac:dyDescent="0.25">
      <c r="A364" s="3" t="str">
        <f>HYPERLINK("proteomic_fractions_linear_files/Yang_linear_img/31088892.jpg", "31088892")</f>
        <v>31088892</v>
      </c>
      <c r="C364" s="3" t="str">
        <f>HYPERLINK("http://www.ncbi.nlm.nih.gov/protein/31088892","Anks1")</f>
        <v>Anks1</v>
      </c>
      <c r="E364" t="str">
        <f>HYPERLINK("J:\Depot - mpkCCD Fractions\Main Web Page\Web Pages_old\proteomic_fractions_linear_files/Yang_linear_img/31088892.jpg","show blot")</f>
        <v>show blot</v>
      </c>
      <c r="G364" t="s">
        <v>363</v>
      </c>
      <c r="I364" s="6">
        <v>2.7065241058106255</v>
      </c>
      <c r="K364" s="8"/>
    </row>
    <row r="365" spans="1:11" ht="15" x14ac:dyDescent="0.25">
      <c r="A365" s="3" t="str">
        <f>HYPERLINK("proteomic_fractions_linear_files/Yang_linear_img/188528655.jpg", "188528655")</f>
        <v>188528655</v>
      </c>
      <c r="C365" s="3" t="str">
        <f>HYPERLINK("http://www.ncbi.nlm.nih.gov/protein/188528655","Anks3")</f>
        <v>Anks3</v>
      </c>
      <c r="E365" t="str">
        <f>HYPERLINK("J:\Depot - mpkCCD Fractions\Main Web Page\Web Pages_old\proteomic_fractions_linear_files/Yang_linear_img/188528655.jpg","show blot")</f>
        <v>show blot</v>
      </c>
      <c r="G365" t="s">
        <v>364</v>
      </c>
      <c r="I365" s="6">
        <v>3.8160778215141518</v>
      </c>
      <c r="K365" s="8"/>
    </row>
    <row r="366" spans="1:11" ht="15" x14ac:dyDescent="0.25">
      <c r="A366" s="3" t="str">
        <f>HYPERLINK("proteomic_fractions_linear_files/Yang_linear_img/110556649.jpg", "110556649")</f>
        <v>110556649</v>
      </c>
      <c r="C366" s="3" t="str">
        <f>HYPERLINK("http://www.ncbi.nlm.nih.gov/protein/110556649","Ankzf1")</f>
        <v>Ankzf1</v>
      </c>
      <c r="E366" t="str">
        <f>HYPERLINK("J:\Depot - mpkCCD Fractions\Main Web Page\Web Pages_old\proteomic_fractions_linear_files/Yang_linear_img/110556649.jpg","show blot")</f>
        <v>show blot</v>
      </c>
      <c r="G366" t="s">
        <v>365</v>
      </c>
      <c r="I366" s="6">
        <v>3.4440580617291592</v>
      </c>
      <c r="K366" s="8"/>
    </row>
    <row r="367" spans="1:11" ht="15" x14ac:dyDescent="0.25">
      <c r="A367" s="3" t="str">
        <f>HYPERLINK("proteomic_fractions_linear_files/Yang_linear_img/251823794.jpg", "251823794")</f>
        <v>251823794</v>
      </c>
      <c r="C367" s="3" t="str">
        <f>HYPERLINK("http://www.ncbi.nlm.nih.gov/protein/251823794","Anln")</f>
        <v>Anln</v>
      </c>
      <c r="E367" t="str">
        <f>HYPERLINK("J:\Depot - mpkCCD Fractions\Main Web Page\Web Pages_old\proteomic_fractions_linear_files/Yang_linear_img/251823794.jpg","show blot")</f>
        <v>show blot</v>
      </c>
      <c r="G367" t="s">
        <v>366</v>
      </c>
      <c r="I367" s="6">
        <v>3.2690102717290723</v>
      </c>
      <c r="K367" s="8"/>
    </row>
    <row r="368" spans="1:11" ht="15" x14ac:dyDescent="0.25">
      <c r="A368" s="3" t="str">
        <f>HYPERLINK("proteomic_fractions_linear_files/Yang_linear_img/30794236.jpg", "30794236")</f>
        <v>30794236</v>
      </c>
      <c r="C368" s="3" t="str">
        <f>HYPERLINK("http://www.ncbi.nlm.nih.gov/protein/30794236","Ano10")</f>
        <v>Ano10</v>
      </c>
      <c r="E368" t="str">
        <f>HYPERLINK("J:\Depot - mpkCCD Fractions\Main Web Page\Web Pages_old\proteomic_fractions_linear_files/Yang_linear_img/30794236.jpg","show blot")</f>
        <v>show blot</v>
      </c>
      <c r="G368" t="s">
        <v>367</v>
      </c>
      <c r="I368" s="6">
        <v>3.0398447216434912</v>
      </c>
      <c r="K368" s="8"/>
    </row>
    <row r="369" spans="1:11" ht="15" x14ac:dyDescent="0.25">
      <c r="A369" s="3" t="str">
        <f>HYPERLINK("proteomic_fractions_linear_files/Yang_linear_img/428673529.jpg", "428673529")</f>
        <v>428673529</v>
      </c>
      <c r="C369" s="3" t="str">
        <f>HYPERLINK("http://www.ncbi.nlm.nih.gov/protein/428673529","Ano10")</f>
        <v>Ano10</v>
      </c>
      <c r="E369" t="str">
        <f>HYPERLINK("J:\Depot - mpkCCD Fractions\Main Web Page\Web Pages_old\proteomic_fractions_linear_files/Yang_linear_img/428673529.jpg","show blot")</f>
        <v>show blot</v>
      </c>
      <c r="G369" t="s">
        <v>368</v>
      </c>
      <c r="I369" s="6">
        <v>3.0398447216434912</v>
      </c>
      <c r="K369" s="8"/>
    </row>
    <row r="370" spans="1:11" ht="15" x14ac:dyDescent="0.25">
      <c r="A370" s="3" t="str">
        <f>HYPERLINK("proteomic_fractions_linear_files/Yang_linear_img/359465539.jpg", "359465539")</f>
        <v>359465539</v>
      </c>
      <c r="C370" s="3" t="str">
        <f>HYPERLINK("http://www.ncbi.nlm.nih.gov/protein/359465539","Ano6")</f>
        <v>Ano6</v>
      </c>
      <c r="E370" t="str">
        <f>HYPERLINK("J:\Depot - mpkCCD Fractions\Main Web Page\Web Pages_old\proteomic_fractions_linear_files/Yang_linear_img/359465539.jpg","show blot")</f>
        <v>show blot</v>
      </c>
      <c r="G370" t="s">
        <v>369</v>
      </c>
      <c r="I370" s="6">
        <v>4.3089923338684457</v>
      </c>
      <c r="K370" s="8"/>
    </row>
    <row r="371" spans="1:11" ht="15" x14ac:dyDescent="0.25">
      <c r="A371" s="3" t="str">
        <f>HYPERLINK("proteomic_fractions_linear_files/Yang_linear_img/40254290.jpg", "40254290")</f>
        <v>40254290</v>
      </c>
      <c r="C371" s="3" t="str">
        <f>HYPERLINK("http://www.ncbi.nlm.nih.gov/protein/40254290","Ano6")</f>
        <v>Ano6</v>
      </c>
      <c r="E371" t="str">
        <f>HYPERLINK("J:\Depot - mpkCCD Fractions\Main Web Page\Web Pages_old\proteomic_fractions_linear_files/Yang_linear_img/40254290.jpg","show blot")</f>
        <v>show blot</v>
      </c>
      <c r="G371" t="s">
        <v>370</v>
      </c>
      <c r="I371" s="6">
        <v>4.3089923338684457</v>
      </c>
      <c r="K371" s="8"/>
    </row>
    <row r="372" spans="1:11" ht="15" x14ac:dyDescent="0.25">
      <c r="A372" s="3" t="str">
        <f>HYPERLINK("proteomic_fractions_linear_files/Yang_linear_img/40254600.jpg", "40254600")</f>
        <v>40254600</v>
      </c>
      <c r="C372" s="3" t="str">
        <f>HYPERLINK("http://www.ncbi.nlm.nih.gov/protein/40254600","Anp32a")</f>
        <v>Anp32a</v>
      </c>
      <c r="E372" t="str">
        <f>HYPERLINK("J:\Depot - mpkCCD Fractions\Main Web Page\Web Pages_old\proteomic_fractions_linear_files/Yang_linear_img/40254600.jpg","show blot")</f>
        <v>show blot</v>
      </c>
      <c r="G372" t="s">
        <v>371</v>
      </c>
      <c r="I372" s="6">
        <v>6.14611311447183</v>
      </c>
      <c r="K372" s="8"/>
    </row>
    <row r="373" spans="1:11" ht="15" x14ac:dyDescent="0.25">
      <c r="A373" s="3" t="str">
        <f>HYPERLINK("proteomic_fractions_linear_files/Yang_linear_img/18700032.jpg", "18700032")</f>
        <v>18700032</v>
      </c>
      <c r="C373" s="3" t="str">
        <f>HYPERLINK("http://www.ncbi.nlm.nih.gov/protein/18700032","Anp32b")</f>
        <v>Anp32b</v>
      </c>
      <c r="E373" t="str">
        <f>HYPERLINK("J:\Depot - mpkCCD Fractions\Main Web Page\Web Pages_old\proteomic_fractions_linear_files/Yang_linear_img/18700032.jpg","show blot")</f>
        <v>show blot</v>
      </c>
      <c r="G373" t="s">
        <v>372</v>
      </c>
      <c r="I373" s="6">
        <v>6.1285357275847021</v>
      </c>
      <c r="K373" s="8"/>
    </row>
    <row r="374" spans="1:11" ht="15" x14ac:dyDescent="0.25">
      <c r="A374" s="3" t="str">
        <f>HYPERLINK("proteomic_fractions_linear_files/Yang_linear_img/359279954.jpg", "359279954")</f>
        <v>359279954</v>
      </c>
      <c r="C374" s="3" t="str">
        <f>HYPERLINK("http://www.ncbi.nlm.nih.gov/protein/359279954","Anp32e")</f>
        <v>Anp32e</v>
      </c>
      <c r="E374" t="str">
        <f>HYPERLINK("J:\Depot - mpkCCD Fractions\Main Web Page\Web Pages_old\proteomic_fractions_linear_files/Yang_linear_img/359279954.jpg","show blot")</f>
        <v>show blot</v>
      </c>
      <c r="G374" t="s">
        <v>373</v>
      </c>
      <c r="I374" s="6">
        <v>5.52582647593196</v>
      </c>
      <c r="K374" s="8"/>
    </row>
    <row r="375" spans="1:11" ht="15" x14ac:dyDescent="0.25">
      <c r="A375" s="3" t="str">
        <f>HYPERLINK("proteomic_fractions_linear_files/Yang_linear_img/254587996.jpg", "254587996")</f>
        <v>254587996</v>
      </c>
      <c r="C375" s="3" t="str">
        <f>HYPERLINK("http://www.ncbi.nlm.nih.gov/protein/254587996","Anp32e")</f>
        <v>Anp32e</v>
      </c>
      <c r="E375" t="str">
        <f>HYPERLINK("J:\Depot - mpkCCD Fractions\Main Web Page\Web Pages_old\proteomic_fractions_linear_files/Yang_linear_img/254587996.jpg","show blot")</f>
        <v>show blot</v>
      </c>
      <c r="G375" t="s">
        <v>374</v>
      </c>
      <c r="I375" s="6">
        <v>5.52582647593196</v>
      </c>
      <c r="K375" s="8"/>
    </row>
    <row r="376" spans="1:11" ht="15" x14ac:dyDescent="0.25">
      <c r="A376" s="3" t="str">
        <f>HYPERLINK("proteomic_fractions_linear_files/Yang_linear_img/359279956.jpg", "359279956")</f>
        <v>359279956</v>
      </c>
      <c r="C376" s="3" t="str">
        <f>HYPERLINK("http://www.ncbi.nlm.nih.gov/protein/359279956","Anp32e")</f>
        <v>Anp32e</v>
      </c>
      <c r="E376" t="str">
        <f>HYPERLINK("J:\Depot - mpkCCD Fractions\Main Web Page\Web Pages_old\proteomic_fractions_linear_files/Yang_linear_img/359279956.jpg","show blot")</f>
        <v>show blot</v>
      </c>
      <c r="G376" t="s">
        <v>375</v>
      </c>
      <c r="I376" s="6">
        <v>5.52582647593196</v>
      </c>
      <c r="K376" s="8"/>
    </row>
    <row r="377" spans="1:11" ht="15" x14ac:dyDescent="0.25">
      <c r="A377" s="3" t="str">
        <f>HYPERLINK("proteomic_fractions_linear_files/Yang_linear_img/225637487.jpg", "225637487")</f>
        <v>225637487</v>
      </c>
      <c r="C377" s="3" t="str">
        <f>HYPERLINK("http://www.ncbi.nlm.nih.gov/protein/225637487","Anpep")</f>
        <v>Anpep</v>
      </c>
      <c r="E377" t="str">
        <f>HYPERLINK("J:\Depot - mpkCCD Fractions\Main Web Page\Web Pages_old\proteomic_fractions_linear_files/Yang_linear_img/225637487.jpg","show blot")</f>
        <v>show blot</v>
      </c>
      <c r="G377" t="s">
        <v>376</v>
      </c>
      <c r="I377" s="6">
        <v>3.9090520097429091</v>
      </c>
      <c r="K377" s="8"/>
    </row>
    <row r="378" spans="1:11" ht="15" x14ac:dyDescent="0.25">
      <c r="A378" s="3" t="str">
        <f>HYPERLINK("proteomic_fractions_linear_files/Yang_linear_img/124517663.jpg", "124517663")</f>
        <v>124517663</v>
      </c>
      <c r="C378" s="3" t="str">
        <f>HYPERLINK("http://www.ncbi.nlm.nih.gov/protein/124517663","Anxa1")</f>
        <v>Anxa1</v>
      </c>
      <c r="E378" t="str">
        <f>HYPERLINK("J:\Depot - mpkCCD Fractions\Main Web Page\Web Pages_old\proteomic_fractions_linear_files/Yang_linear_img/124517663.jpg","show blot")</f>
        <v>show blot</v>
      </c>
      <c r="G378" t="s">
        <v>377</v>
      </c>
      <c r="I378" s="6">
        <v>6.8527799408904464</v>
      </c>
      <c r="K378" s="8"/>
    </row>
    <row r="379" spans="1:11" ht="15" x14ac:dyDescent="0.25">
      <c r="A379" s="3" t="str">
        <f>HYPERLINK("proteomic_fractions_linear_files/Yang_linear_img/160707921.jpg", "160707921")</f>
        <v>160707921</v>
      </c>
      <c r="C379" s="3" t="str">
        <f>HYPERLINK("http://www.ncbi.nlm.nih.gov/protein/160707921","Anxa11")</f>
        <v>Anxa11</v>
      </c>
      <c r="E379" t="str">
        <f>HYPERLINK("J:\Depot - mpkCCD Fractions\Main Web Page\Web Pages_old\proteomic_fractions_linear_files/Yang_linear_img/160707921.jpg","show blot")</f>
        <v>show blot</v>
      </c>
      <c r="G379" t="s">
        <v>378</v>
      </c>
      <c r="I379" s="6">
        <v>6.5452363622515515</v>
      </c>
      <c r="K379" s="8"/>
    </row>
    <row r="380" spans="1:11" ht="15" x14ac:dyDescent="0.25">
      <c r="A380" s="3" t="str">
        <f>HYPERLINK("proteomic_fractions_linear_files/Yang_linear_img/6996913.jpg", "6996913")</f>
        <v>6996913</v>
      </c>
      <c r="C380" s="3" t="str">
        <f>HYPERLINK("http://www.ncbi.nlm.nih.gov/protein/6996913","Anxa2")</f>
        <v>Anxa2</v>
      </c>
      <c r="E380" t="str">
        <f>HYPERLINK("J:\Depot - mpkCCD Fractions\Main Web Page\Web Pages_old\proteomic_fractions_linear_files/Yang_linear_img/6996913.jpg","show blot")</f>
        <v>show blot</v>
      </c>
      <c r="G380" t="s">
        <v>379</v>
      </c>
      <c r="I380" s="6">
        <v>7.2211265141239602</v>
      </c>
      <c r="K380" s="8"/>
    </row>
    <row r="381" spans="1:11" ht="15" x14ac:dyDescent="0.25">
      <c r="A381" s="3" t="str">
        <f>HYPERLINK("proteomic_fractions_linear_files/Yang_linear_img/160707925.jpg", "160707925")</f>
        <v>160707925</v>
      </c>
      <c r="C381" s="3" t="str">
        <f>HYPERLINK("http://www.ncbi.nlm.nih.gov/protein/160707925","Anxa3")</f>
        <v>Anxa3</v>
      </c>
      <c r="E381" t="str">
        <f>HYPERLINK("J:\Depot - mpkCCD Fractions\Main Web Page\Web Pages_old\proteomic_fractions_linear_files/Yang_linear_img/160707925.jpg","show blot")</f>
        <v>show blot</v>
      </c>
      <c r="G381" t="s">
        <v>380</v>
      </c>
      <c r="I381" s="6">
        <v>6.5789637266076468</v>
      </c>
      <c r="K381" s="8"/>
    </row>
    <row r="382" spans="1:11" ht="15" x14ac:dyDescent="0.25">
      <c r="A382" s="3" t="str">
        <f>HYPERLINK("proteomic_fractions_linear_files/Yang_linear_img/161016799.jpg", "161016799")</f>
        <v>161016799</v>
      </c>
      <c r="C382" s="3" t="str">
        <f>HYPERLINK("http://www.ncbi.nlm.nih.gov/protein/161016799","Anxa4")</f>
        <v>Anxa4</v>
      </c>
      <c r="E382" t="str">
        <f>HYPERLINK("J:\Depot - mpkCCD Fractions\Main Web Page\Web Pages_old\proteomic_fractions_linear_files/Yang_linear_img/161016799.jpg","show blot")</f>
        <v>show blot</v>
      </c>
      <c r="G382" t="s">
        <v>381</v>
      </c>
      <c r="I382" s="6">
        <v>6.7280987740419542</v>
      </c>
      <c r="K382" s="8"/>
    </row>
    <row r="383" spans="1:11" ht="15" x14ac:dyDescent="0.25">
      <c r="A383" s="3" t="str">
        <f>HYPERLINK("proteomic_fractions_linear_files/Yang_linear_img/6753060.jpg", "6753060")</f>
        <v>6753060</v>
      </c>
      <c r="C383" s="3" t="str">
        <f>HYPERLINK("http://www.ncbi.nlm.nih.gov/protein/6753060","Anxa5")</f>
        <v>Anxa5</v>
      </c>
      <c r="E383" t="str">
        <f>HYPERLINK("J:\Depot - mpkCCD Fractions\Main Web Page\Web Pages_old\proteomic_fractions_linear_files/Yang_linear_img/6753060.jpg","show blot")</f>
        <v>show blot</v>
      </c>
      <c r="G383" t="s">
        <v>382</v>
      </c>
      <c r="I383" s="6">
        <v>6.7838336775239902</v>
      </c>
      <c r="K383" s="8"/>
    </row>
    <row r="384" spans="1:11" ht="15" x14ac:dyDescent="0.25">
      <c r="A384" s="3" t="str">
        <f>HYPERLINK("proteomic_fractions_linear_files/Yang_linear_img/158966670.jpg", "158966670")</f>
        <v>158966670</v>
      </c>
      <c r="C384" s="3" t="str">
        <f>HYPERLINK("http://www.ncbi.nlm.nih.gov/protein/158966670","Anxa6")</f>
        <v>Anxa6</v>
      </c>
      <c r="E384" t="str">
        <f>HYPERLINK("J:\Depot - mpkCCD Fractions\Main Web Page\Web Pages_old\proteomic_fractions_linear_files/Yang_linear_img/158966670.jpg","show blot")</f>
        <v>show blot</v>
      </c>
      <c r="G384" t="s">
        <v>383</v>
      </c>
      <c r="I384" s="6">
        <v>6.312255130227383</v>
      </c>
      <c r="K384" s="8"/>
    </row>
    <row r="385" spans="1:11" ht="15" x14ac:dyDescent="0.25">
      <c r="A385" s="3" t="str">
        <f>HYPERLINK("proteomic_fractions_linear_files/Yang_linear_img/31981302.jpg", "31981302")</f>
        <v>31981302</v>
      </c>
      <c r="C385" s="3" t="str">
        <f>HYPERLINK("http://www.ncbi.nlm.nih.gov/protein/31981302","Anxa6")</f>
        <v>Anxa6</v>
      </c>
      <c r="E385" t="str">
        <f>HYPERLINK("J:\Depot - mpkCCD Fractions\Main Web Page\Web Pages_old\proteomic_fractions_linear_files/Yang_linear_img/31981302.jpg","show blot")</f>
        <v>show blot</v>
      </c>
      <c r="G385" t="s">
        <v>384</v>
      </c>
      <c r="I385" s="6">
        <v>6.312255130227383</v>
      </c>
      <c r="K385" s="8"/>
    </row>
    <row r="386" spans="1:11" ht="15" x14ac:dyDescent="0.25">
      <c r="A386" s="3" t="str">
        <f>HYPERLINK("proteomic_fractions_linear_files/Yang_linear_img/160707956.jpg", "160707956")</f>
        <v>160707956</v>
      </c>
      <c r="C386" s="3" t="str">
        <f>HYPERLINK("http://www.ncbi.nlm.nih.gov/protein/160707956","Anxa7")</f>
        <v>Anxa7</v>
      </c>
      <c r="E386" t="str">
        <f>HYPERLINK("J:\Depot - mpkCCD Fractions\Main Web Page\Web Pages_old\proteomic_fractions_linear_files/Yang_linear_img/160707956.jpg","show blot")</f>
        <v>show blot</v>
      </c>
      <c r="G386" t="s">
        <v>385</v>
      </c>
      <c r="I386" s="6">
        <v>5.8166459308530811</v>
      </c>
      <c r="K386" s="8"/>
    </row>
    <row r="387" spans="1:11" ht="15" x14ac:dyDescent="0.25">
      <c r="A387" s="3" t="str">
        <f>HYPERLINK("proteomic_fractions_linear_files/Yang_linear_img/145864475.jpg", "145864475")</f>
        <v>145864475</v>
      </c>
      <c r="C387" s="3" t="str">
        <f>HYPERLINK("http://www.ncbi.nlm.nih.gov/protein/145864475","Anxa9")</f>
        <v>Anxa9</v>
      </c>
      <c r="E387" t="str">
        <f>HYPERLINK("J:\Depot - mpkCCD Fractions\Main Web Page\Web Pages_old\proteomic_fractions_linear_files/Yang_linear_img/145864475.jpg","show blot")</f>
        <v>show blot</v>
      </c>
      <c r="G387" t="s">
        <v>386</v>
      </c>
      <c r="I387" s="6">
        <v>5.8350339277283494</v>
      </c>
      <c r="K387" s="8"/>
    </row>
    <row r="388" spans="1:11" ht="15" x14ac:dyDescent="0.25">
      <c r="A388" s="3" t="str">
        <f>HYPERLINK("proteomic_fractions_linear_files/Yang_linear_img/34098972.jpg", "34098972")</f>
        <v>34098972</v>
      </c>
      <c r="C388" s="3" t="str">
        <f>HYPERLINK("http://www.ncbi.nlm.nih.gov/protein/34098972","Aoc2")</f>
        <v>Aoc2</v>
      </c>
      <c r="E388" t="str">
        <f>HYPERLINK("J:\Depot - mpkCCD Fractions\Main Web Page\Web Pages_old\proteomic_fractions_linear_files/Yang_linear_img/34098972.jpg","show blot")</f>
        <v>show blot</v>
      </c>
      <c r="G388" t="s">
        <v>387</v>
      </c>
      <c r="I388" s="6">
        <v>3.763952878374639</v>
      </c>
      <c r="K388" s="8"/>
    </row>
    <row r="389" spans="1:11" ht="15" x14ac:dyDescent="0.25">
      <c r="A389" s="3" t="str">
        <f>HYPERLINK("proteomic_fractions_linear_files/Yang_linear_img/6753066.jpg", "6753066")</f>
        <v>6753066</v>
      </c>
      <c r="C389" s="3" t="str">
        <f>HYPERLINK("http://www.ncbi.nlm.nih.gov/protein/6753066","Aoc3")</f>
        <v>Aoc3</v>
      </c>
      <c r="E389" t="str">
        <f>HYPERLINK("J:\Depot - mpkCCD Fractions\Main Web Page\Web Pages_old\proteomic_fractions_linear_files/Yang_linear_img/6753066.jpg","show blot")</f>
        <v>show blot</v>
      </c>
      <c r="G389" t="s">
        <v>388</v>
      </c>
      <c r="I389" s="6">
        <v>3.7587516846888311</v>
      </c>
      <c r="K389" s="8"/>
    </row>
    <row r="390" spans="1:11" ht="15" x14ac:dyDescent="0.25">
      <c r="A390" s="3" t="str">
        <f>HYPERLINK("proteomic_fractions_linear_files/Yang_linear_img/339895913.jpg", "339895913")</f>
        <v>339895913</v>
      </c>
      <c r="C390" s="3" t="str">
        <f>HYPERLINK("http://www.ncbi.nlm.nih.gov/protein/339895913","Ap1b1")</f>
        <v>Ap1b1</v>
      </c>
      <c r="E390" t="str">
        <f>HYPERLINK("J:\Depot - mpkCCD Fractions\Main Web Page\Web Pages_old\proteomic_fractions_linear_files/Yang_linear_img/339895913.jpg","show blot")</f>
        <v>show blot</v>
      </c>
      <c r="G390" t="s">
        <v>389</v>
      </c>
      <c r="I390" s="6">
        <v>5.8623451123712327</v>
      </c>
      <c r="K390" s="8"/>
    </row>
    <row r="391" spans="1:11" ht="15" x14ac:dyDescent="0.25">
      <c r="A391" s="3" t="str">
        <f>HYPERLINK("proteomic_fractions_linear_files/Yang_linear_img/339895916.jpg", "339895916")</f>
        <v>339895916</v>
      </c>
      <c r="C391" s="3" t="str">
        <f>HYPERLINK("http://www.ncbi.nlm.nih.gov/protein/339895916","Ap1b1")</f>
        <v>Ap1b1</v>
      </c>
      <c r="E391" t="str">
        <f>HYPERLINK("J:\Depot - mpkCCD Fractions\Main Web Page\Web Pages_old\proteomic_fractions_linear_files/Yang_linear_img/339895916.jpg","show blot")</f>
        <v>show blot</v>
      </c>
      <c r="G391" t="s">
        <v>390</v>
      </c>
      <c r="I391" s="6">
        <v>5.8623451123712327</v>
      </c>
      <c r="K391" s="8"/>
    </row>
    <row r="392" spans="1:11" ht="15" x14ac:dyDescent="0.25">
      <c r="A392" s="3" t="str">
        <f>HYPERLINK("proteomic_fractions_linear_files/Yang_linear_img/88853578.jpg", "88853578")</f>
        <v>88853578</v>
      </c>
      <c r="C392" s="3" t="str">
        <f>HYPERLINK("http://www.ncbi.nlm.nih.gov/protein/88853578","Ap1b1")</f>
        <v>Ap1b1</v>
      </c>
      <c r="E392" t="str">
        <f>HYPERLINK("J:\Depot - mpkCCD Fractions\Main Web Page\Web Pages_old\proteomic_fractions_linear_files/Yang_linear_img/88853578.jpg","show blot")</f>
        <v>show blot</v>
      </c>
      <c r="G392" t="s">
        <v>391</v>
      </c>
      <c r="I392" s="6">
        <v>5.8623451123712327</v>
      </c>
      <c r="K392" s="8"/>
    </row>
    <row r="393" spans="1:11" ht="15" x14ac:dyDescent="0.25">
      <c r="A393" s="3" t="str">
        <f>HYPERLINK("proteomic_fractions_linear_files/Yang_linear_img/56744242.jpg", "56744242")</f>
        <v>56744242</v>
      </c>
      <c r="C393" s="3" t="str">
        <f>HYPERLINK("http://www.ncbi.nlm.nih.gov/protein/56744242","Ap1g1")</f>
        <v>Ap1g1</v>
      </c>
      <c r="E393" t="str">
        <f>HYPERLINK("J:\Depot - mpkCCD Fractions\Main Web Page\Web Pages_old\proteomic_fractions_linear_files/Yang_linear_img/56744242.jpg","show blot")</f>
        <v>show blot</v>
      </c>
      <c r="G393" t="s">
        <v>392</v>
      </c>
      <c r="I393" s="6">
        <v>5.4331331139607206</v>
      </c>
      <c r="K393" s="8"/>
    </row>
    <row r="394" spans="1:11" ht="15" x14ac:dyDescent="0.25">
      <c r="A394" s="3" t="str">
        <f>HYPERLINK("proteomic_fractions_linear_files/Yang_linear_img/160707961.jpg", "160707961")</f>
        <v>160707961</v>
      </c>
      <c r="C394" s="3" t="str">
        <f>HYPERLINK("http://www.ncbi.nlm.nih.gov/protein/160707961","Ap1g2")</f>
        <v>Ap1g2</v>
      </c>
      <c r="E394" t="str">
        <f>HYPERLINK("J:\Depot - mpkCCD Fractions\Main Web Page\Web Pages_old\proteomic_fractions_linear_files/Yang_linear_img/160707961.jpg","show blot")</f>
        <v>show blot</v>
      </c>
      <c r="G394" t="s">
        <v>393</v>
      </c>
      <c r="I394" s="6">
        <v>4.4999151133160389</v>
      </c>
      <c r="K394" s="8"/>
    </row>
    <row r="395" spans="1:11" ht="15" x14ac:dyDescent="0.25">
      <c r="A395" s="3" t="str">
        <f>HYPERLINK("proteomic_fractions_linear_files/Yang_linear_img/6671557.jpg", "6671557")</f>
        <v>6671557</v>
      </c>
      <c r="C395" s="3" t="str">
        <f>HYPERLINK("http://www.ncbi.nlm.nih.gov/protein/6671557","Ap1m1")</f>
        <v>Ap1m1</v>
      </c>
      <c r="E395" t="str">
        <f>HYPERLINK("J:\Depot - mpkCCD Fractions\Main Web Page\Web Pages_old\proteomic_fractions_linear_files/Yang_linear_img/6671557.jpg","show blot")</f>
        <v>show blot</v>
      </c>
      <c r="G395" t="s">
        <v>394</v>
      </c>
      <c r="I395" s="6">
        <v>5.1332132196260645</v>
      </c>
      <c r="K395" s="8"/>
    </row>
    <row r="396" spans="1:11" ht="15" x14ac:dyDescent="0.25">
      <c r="A396" s="3" t="str">
        <f>HYPERLINK("proteomic_fractions_linear_files/Yang_linear_img/160333502.jpg", "160333502")</f>
        <v>160333502</v>
      </c>
      <c r="C396" s="3" t="str">
        <f>HYPERLINK("http://www.ncbi.nlm.nih.gov/protein/160333502","Ap1m2")</f>
        <v>Ap1m2</v>
      </c>
      <c r="E396" t="str">
        <f>HYPERLINK("J:\Depot - mpkCCD Fractions\Main Web Page\Web Pages_old\proteomic_fractions_linear_files/Yang_linear_img/160333502.jpg","show blot")</f>
        <v>show blot</v>
      </c>
      <c r="G396" t="s">
        <v>395</v>
      </c>
      <c r="I396" s="6">
        <v>5.7035546422581556</v>
      </c>
      <c r="K396" s="8"/>
    </row>
    <row r="397" spans="1:11" ht="15" x14ac:dyDescent="0.25">
      <c r="A397" s="3" t="str">
        <f>HYPERLINK("proteomic_fractions_linear_files/Yang_linear_img/160333508.jpg", "160333508")</f>
        <v>160333508</v>
      </c>
      <c r="C397" s="3" t="str">
        <f>HYPERLINK("http://www.ncbi.nlm.nih.gov/protein/160333508","Ap1m2")</f>
        <v>Ap1m2</v>
      </c>
      <c r="E397" t="str">
        <f>HYPERLINK("J:\Depot - mpkCCD Fractions\Main Web Page\Web Pages_old\proteomic_fractions_linear_files/Yang_linear_img/160333508.jpg","show blot")</f>
        <v>show blot</v>
      </c>
      <c r="G397" t="s">
        <v>396</v>
      </c>
      <c r="I397" s="6">
        <v>5.7035546422581556</v>
      </c>
      <c r="K397" s="8"/>
    </row>
    <row r="398" spans="1:11" ht="15" x14ac:dyDescent="0.25">
      <c r="A398" s="3" t="str">
        <f>HYPERLINK("proteomic_fractions_linear_files/Yang_linear_img/6671559.jpg", "6671559")</f>
        <v>6671559</v>
      </c>
      <c r="C398" s="3" t="str">
        <f>HYPERLINK("http://www.ncbi.nlm.nih.gov/protein/6671559","Ap1s1")</f>
        <v>Ap1s1</v>
      </c>
      <c r="E398" t="str">
        <f>HYPERLINK("J:\Depot - mpkCCD Fractions\Main Web Page\Web Pages_old\proteomic_fractions_linear_files/Yang_linear_img/6671559.jpg","show blot")</f>
        <v>show blot</v>
      </c>
      <c r="G398" t="s">
        <v>397</v>
      </c>
      <c r="I398" s="6">
        <v>5.4973149166860571</v>
      </c>
      <c r="K398" s="8"/>
    </row>
    <row r="399" spans="1:11" ht="15" x14ac:dyDescent="0.25">
      <c r="A399" s="3" t="str">
        <f>HYPERLINK("proteomic_fractions_linear_files/Yang_linear_img/40254484.jpg", "40254484")</f>
        <v>40254484</v>
      </c>
      <c r="C399" s="3" t="str">
        <f>HYPERLINK("http://www.ncbi.nlm.nih.gov/protein/40254484","Ap1s2")</f>
        <v>Ap1s2</v>
      </c>
      <c r="E399" t="str">
        <f>HYPERLINK("J:\Depot - mpkCCD Fractions\Main Web Page\Web Pages_old\proteomic_fractions_linear_files/Yang_linear_img/40254484.jpg","show blot")</f>
        <v>show blot</v>
      </c>
      <c r="G399" t="s">
        <v>398</v>
      </c>
      <c r="I399" s="6">
        <v>4.6992879971999502</v>
      </c>
      <c r="K399" s="8"/>
    </row>
    <row r="400" spans="1:11" ht="15" x14ac:dyDescent="0.25">
      <c r="A400" s="3" t="str">
        <f>HYPERLINK("proteomic_fractions_linear_files/Yang_linear_img/35215317.jpg", "35215317")</f>
        <v>35215317</v>
      </c>
      <c r="C400" s="3" t="str">
        <f>HYPERLINK("http://www.ncbi.nlm.nih.gov/protein/35215317","Ap1s3")</f>
        <v>Ap1s3</v>
      </c>
      <c r="E400" t="str">
        <f>HYPERLINK("J:\Depot - mpkCCD Fractions\Main Web Page\Web Pages_old\proteomic_fractions_linear_files/Yang_linear_img/35215317.jpg","show blot")</f>
        <v>show blot</v>
      </c>
      <c r="G400" t="s">
        <v>399</v>
      </c>
      <c r="I400" s="6">
        <v>4.9026139172550787</v>
      </c>
      <c r="K400" s="8"/>
    </row>
    <row r="401" spans="1:11" ht="15" x14ac:dyDescent="0.25">
      <c r="A401" s="3" t="str">
        <f>HYPERLINK("proteomic_fractions_linear_files/Yang_linear_img/116256510.jpg", "116256510")</f>
        <v>116256510</v>
      </c>
      <c r="C401" s="3" t="str">
        <f>HYPERLINK("http://www.ncbi.nlm.nih.gov/protein/116256510","Ap2a1")</f>
        <v>Ap2a1</v>
      </c>
      <c r="E401" t="str">
        <f>HYPERLINK("J:\Depot - mpkCCD Fractions\Main Web Page\Web Pages_old\proteomic_fractions_linear_files/Yang_linear_img/116256510.jpg","show blot")</f>
        <v>show blot</v>
      </c>
      <c r="G401" t="s">
        <v>400</v>
      </c>
      <c r="I401" s="6">
        <v>5.164348122139967</v>
      </c>
      <c r="K401" s="8"/>
    </row>
    <row r="402" spans="1:11" ht="15" x14ac:dyDescent="0.25">
      <c r="A402" s="3" t="str">
        <f>HYPERLINK("proteomic_fractions_linear_files/Yang_linear_img/6671561.jpg", "6671561")</f>
        <v>6671561</v>
      </c>
      <c r="C402" s="3" t="str">
        <f>HYPERLINK("http://www.ncbi.nlm.nih.gov/protein/6671561","Ap2a1")</f>
        <v>Ap2a1</v>
      </c>
      <c r="E402" t="str">
        <f>HYPERLINK("J:\Depot - mpkCCD Fractions\Main Web Page\Web Pages_old\proteomic_fractions_linear_files/Yang_linear_img/6671561.jpg","show blot")</f>
        <v>show blot</v>
      </c>
      <c r="G402" t="s">
        <v>401</v>
      </c>
      <c r="I402" s="6">
        <v>5.164348122139967</v>
      </c>
      <c r="K402" s="8"/>
    </row>
    <row r="403" spans="1:11" ht="15" x14ac:dyDescent="0.25">
      <c r="A403" s="3" t="str">
        <f>HYPERLINK("proteomic_fractions_linear_files/Yang_linear_img/163644277.jpg", "163644277")</f>
        <v>163644277</v>
      </c>
      <c r="C403" s="3" t="str">
        <f>HYPERLINK("http://www.ncbi.nlm.nih.gov/protein/163644277","Ap2a2")</f>
        <v>Ap2a2</v>
      </c>
      <c r="E403" t="str">
        <f>HYPERLINK("J:\Depot - mpkCCD Fractions\Main Web Page\Web Pages_old\proteomic_fractions_linear_files/Yang_linear_img/163644277.jpg","show blot")</f>
        <v>show blot</v>
      </c>
      <c r="G403" t="s">
        <v>402</v>
      </c>
      <c r="I403" s="6">
        <v>5.2199506651040739</v>
      </c>
      <c r="K403" s="8"/>
    </row>
    <row r="404" spans="1:11" ht="15" x14ac:dyDescent="0.25">
      <c r="A404" s="3" t="str">
        <f>HYPERLINK("proteomic_fractions_linear_files/Yang_linear_img/21313640.jpg", "21313640")</f>
        <v>21313640</v>
      </c>
      <c r="C404" s="3" t="str">
        <f>HYPERLINK("http://www.ncbi.nlm.nih.gov/protein/21313640","Ap2b1")</f>
        <v>Ap2b1</v>
      </c>
      <c r="E404" t="str">
        <f>HYPERLINK("J:\Depot - mpkCCD Fractions\Main Web Page\Web Pages_old\proteomic_fractions_linear_files/Yang_linear_img/21313640.jpg","show blot")</f>
        <v>show blot</v>
      </c>
      <c r="G404" t="s">
        <v>403</v>
      </c>
      <c r="I404" s="6">
        <v>5.8594033934368142</v>
      </c>
      <c r="K404" s="8"/>
    </row>
    <row r="405" spans="1:11" ht="15" x14ac:dyDescent="0.25">
      <c r="A405" s="3" t="str">
        <f>HYPERLINK("proteomic_fractions_linear_files/Yang_linear_img/78711838.jpg", "78711838")</f>
        <v>78711838</v>
      </c>
      <c r="C405" s="3" t="str">
        <f>HYPERLINK("http://www.ncbi.nlm.nih.gov/protein/78711838","Ap2b1")</f>
        <v>Ap2b1</v>
      </c>
      <c r="E405" t="str">
        <f>HYPERLINK("J:\Depot - mpkCCD Fractions\Main Web Page\Web Pages_old\proteomic_fractions_linear_files/Yang_linear_img/78711838.jpg","show blot")</f>
        <v>show blot</v>
      </c>
      <c r="G405" t="s">
        <v>404</v>
      </c>
      <c r="I405" s="6">
        <v>5.8594033934368142</v>
      </c>
      <c r="K405" s="8"/>
    </row>
    <row r="406" spans="1:11" ht="15" x14ac:dyDescent="0.25">
      <c r="A406" s="3" t="str">
        <f>HYPERLINK("proteomic_fractions_linear_files/Yang_linear_img/6753074.jpg", "6753074")</f>
        <v>6753074</v>
      </c>
      <c r="C406" s="3" t="str">
        <f>HYPERLINK("http://www.ncbi.nlm.nih.gov/protein/6753074","Ap2m1")</f>
        <v>Ap2m1</v>
      </c>
      <c r="E406" t="str">
        <f>HYPERLINK("J:\Depot - mpkCCD Fractions\Main Web Page\Web Pages_old\proteomic_fractions_linear_files/Yang_linear_img/6753074.jpg","show blot")</f>
        <v>show blot</v>
      </c>
      <c r="G406" t="s">
        <v>405</v>
      </c>
      <c r="I406" s="6">
        <v>5.3961183612389494</v>
      </c>
      <c r="K406" s="8"/>
    </row>
    <row r="407" spans="1:11" ht="15" x14ac:dyDescent="0.25">
      <c r="A407" s="3" t="str">
        <f>HYPERLINK("proteomic_fractions_linear_files/Yang_linear_img/161086984.jpg", "161086984")</f>
        <v>161086984</v>
      </c>
      <c r="C407" s="3" t="str">
        <f>HYPERLINK("http://www.ncbi.nlm.nih.gov/protein/161086984","Ap2s1")</f>
        <v>Ap2s1</v>
      </c>
      <c r="E407" t="str">
        <f>HYPERLINK("J:\Depot - mpkCCD Fractions\Main Web Page\Web Pages_old\proteomic_fractions_linear_files/Yang_linear_img/161086984.jpg","show blot")</f>
        <v>show blot</v>
      </c>
      <c r="G407" t="s">
        <v>406</v>
      </c>
      <c r="I407" s="6">
        <v>4.6663774969956089</v>
      </c>
      <c r="K407" s="8"/>
    </row>
    <row r="408" spans="1:11" ht="15" x14ac:dyDescent="0.25">
      <c r="A408" s="3" t="str">
        <f>HYPERLINK("proteomic_fractions_linear_files/Yang_linear_img/163310776.jpg", "163310776")</f>
        <v>163310776</v>
      </c>
      <c r="C408" s="3" t="str">
        <f>HYPERLINK("http://www.ncbi.nlm.nih.gov/protein/163310776","Ap3b1")</f>
        <v>Ap3b1</v>
      </c>
      <c r="E408" t="str">
        <f>HYPERLINK("J:\Depot - mpkCCD Fractions\Main Web Page\Web Pages_old\proteomic_fractions_linear_files/Yang_linear_img/163310776.jpg","show blot")</f>
        <v>show blot</v>
      </c>
      <c r="G408" t="s">
        <v>407</v>
      </c>
      <c r="I408" s="6">
        <v>5.1783882365793179</v>
      </c>
      <c r="K408" s="8"/>
    </row>
    <row r="409" spans="1:11" ht="15" x14ac:dyDescent="0.25">
      <c r="A409" s="3" t="str">
        <f>HYPERLINK("proteomic_fractions_linear_files/Yang_linear_img/52317148.jpg", "52317148")</f>
        <v>52317148</v>
      </c>
      <c r="C409" s="3" t="str">
        <f>HYPERLINK("http://www.ncbi.nlm.nih.gov/protein/52317148","Ap3b2")</f>
        <v>Ap3b2</v>
      </c>
      <c r="E409" t="str">
        <f>HYPERLINK("J:\Depot - mpkCCD Fractions\Main Web Page\Web Pages_old\proteomic_fractions_linear_files/Yang_linear_img/52317148.jpg","show blot")</f>
        <v>show blot</v>
      </c>
      <c r="G409" t="s">
        <v>408</v>
      </c>
      <c r="I409" s="6">
        <v>3.9557800248340005</v>
      </c>
      <c r="K409" s="8"/>
    </row>
    <row r="410" spans="1:11" ht="15" x14ac:dyDescent="0.25">
      <c r="A410" s="3" t="str">
        <f>HYPERLINK("proteomic_fractions_linear_files/Yang_linear_img/6671565.jpg", "6671565")</f>
        <v>6671565</v>
      </c>
      <c r="C410" s="3" t="str">
        <f>HYPERLINK("http://www.ncbi.nlm.nih.gov/protein/6671565","Ap3d1")</f>
        <v>Ap3d1</v>
      </c>
      <c r="E410" t="str">
        <f>HYPERLINK("J:\Depot - mpkCCD Fractions\Main Web Page\Web Pages_old\proteomic_fractions_linear_files/Yang_linear_img/6671565.jpg","show blot")</f>
        <v>show blot</v>
      </c>
      <c r="G410" t="s">
        <v>409</v>
      </c>
      <c r="I410" s="6">
        <v>4.9302469121929597</v>
      </c>
      <c r="K410" s="8"/>
    </row>
    <row r="411" spans="1:11" ht="15" x14ac:dyDescent="0.25">
      <c r="A411" s="3" t="str">
        <f>HYPERLINK("proteomic_fractions_linear_files/Yang_linear_img/254281313.jpg", "254281313")</f>
        <v>254281313</v>
      </c>
      <c r="C411" s="3" t="str">
        <f>HYPERLINK("http://www.ncbi.nlm.nih.gov/protein/254281313","Ap3m1")</f>
        <v>Ap3m1</v>
      </c>
      <c r="E411" t="str">
        <f>HYPERLINK("J:\Depot - mpkCCD Fractions\Main Web Page\Web Pages_old\proteomic_fractions_linear_files/Yang_linear_img/254281313.jpg","show blot")</f>
        <v>show blot</v>
      </c>
      <c r="G411" t="s">
        <v>410</v>
      </c>
      <c r="I411" s="6">
        <v>4.9802872448107527</v>
      </c>
      <c r="K411" s="8"/>
    </row>
    <row r="412" spans="1:11" ht="15" x14ac:dyDescent="0.25">
      <c r="A412" s="3" t="str">
        <f>HYPERLINK("proteomic_fractions_linear_files/Yang_linear_img/170763481.jpg", "170763481")</f>
        <v>170763481</v>
      </c>
      <c r="C412" s="3" t="str">
        <f>HYPERLINK("http://www.ncbi.nlm.nih.gov/protein/170763481","Ap3m2")</f>
        <v>Ap3m2</v>
      </c>
      <c r="E412" t="str">
        <f>HYPERLINK("J:\Depot - mpkCCD Fractions\Main Web Page\Web Pages_old\proteomic_fractions_linear_files/Yang_linear_img/170763481.jpg","show blot")</f>
        <v>show blot</v>
      </c>
      <c r="G412" t="s">
        <v>411</v>
      </c>
      <c r="I412" s="6">
        <v>4.5574296890930501</v>
      </c>
      <c r="K412" s="8"/>
    </row>
    <row r="413" spans="1:11" ht="15" x14ac:dyDescent="0.25">
      <c r="A413" s="3" t="str">
        <f>HYPERLINK("proteomic_fractions_linear_files/Yang_linear_img/6753078.jpg", "6753078")</f>
        <v>6753078</v>
      </c>
      <c r="C413" s="3" t="str">
        <f>HYPERLINK("http://www.ncbi.nlm.nih.gov/protein/6753078","Ap3s1")</f>
        <v>Ap3s1</v>
      </c>
      <c r="E413" t="str">
        <f>HYPERLINK("J:\Depot - mpkCCD Fractions\Main Web Page\Web Pages_old\proteomic_fractions_linear_files/Yang_linear_img/6753078.jpg","show blot")</f>
        <v>show blot</v>
      </c>
      <c r="G413" t="s">
        <v>412</v>
      </c>
      <c r="I413" s="6">
        <v>4.434465072216291</v>
      </c>
      <c r="K413" s="8"/>
    </row>
    <row r="414" spans="1:11" ht="15" x14ac:dyDescent="0.25">
      <c r="A414" s="3" t="str">
        <f>HYPERLINK("proteomic_fractions_linear_files/Yang_linear_img/160707971.jpg", "160707971")</f>
        <v>160707971</v>
      </c>
      <c r="C414" s="3" t="str">
        <f>HYPERLINK("http://www.ncbi.nlm.nih.gov/protein/160707971","Ap3s2")</f>
        <v>Ap3s2</v>
      </c>
      <c r="E414" t="str">
        <f>HYPERLINK("J:\Depot - mpkCCD Fractions\Main Web Page\Web Pages_old\proteomic_fractions_linear_files/Yang_linear_img/160707971.jpg","show blot")</f>
        <v>show blot</v>
      </c>
      <c r="G414" t="s">
        <v>413</v>
      </c>
      <c r="I414" s="6">
        <v>4.6425739222221347</v>
      </c>
      <c r="K414" s="8"/>
    </row>
    <row r="415" spans="1:11" ht="15" x14ac:dyDescent="0.25">
      <c r="A415" s="3" t="str">
        <f>HYPERLINK("proteomic_fractions_linear_files/Yang_linear_img/254588018.jpg", "254588018")</f>
        <v>254588018</v>
      </c>
      <c r="C415" s="3" t="str">
        <f>HYPERLINK("http://www.ncbi.nlm.nih.gov/protein/254588018","Ap4b1")</f>
        <v>Ap4b1</v>
      </c>
      <c r="E415" t="str">
        <f>HYPERLINK("J:\Depot - mpkCCD Fractions\Main Web Page\Web Pages_old\proteomic_fractions_linear_files/Yang_linear_img/254588018.jpg","show blot")</f>
        <v>show blot</v>
      </c>
      <c r="G415" t="s">
        <v>414</v>
      </c>
      <c r="I415" s="6">
        <v>3.2051605142176745</v>
      </c>
      <c r="K415" s="8"/>
    </row>
    <row r="416" spans="1:11" ht="15" x14ac:dyDescent="0.25">
      <c r="A416" s="3" t="str">
        <f>HYPERLINK("proteomic_fractions_linear_files/Yang_linear_img/254588022.jpg", "254588022")</f>
        <v>254588022</v>
      </c>
      <c r="C416" s="3" t="str">
        <f>HYPERLINK("http://www.ncbi.nlm.nih.gov/protein/254588022","Ap4b1")</f>
        <v>Ap4b1</v>
      </c>
      <c r="E416" t="str">
        <f>HYPERLINK("J:\Depot - mpkCCD Fractions\Main Web Page\Web Pages_old\proteomic_fractions_linear_files/Yang_linear_img/254588022.jpg","show blot")</f>
        <v>show blot</v>
      </c>
      <c r="G416" t="s">
        <v>415</v>
      </c>
      <c r="I416" s="6">
        <v>3.2051605142176745</v>
      </c>
      <c r="K416" s="8"/>
    </row>
    <row r="417" spans="1:11" ht="15" x14ac:dyDescent="0.25">
      <c r="A417" s="3" t="str">
        <f>HYPERLINK("proteomic_fractions_linear_files/Yang_linear_img/17998681.jpg", "17998681")</f>
        <v>17998681</v>
      </c>
      <c r="C417" s="3" t="str">
        <f>HYPERLINK("http://www.ncbi.nlm.nih.gov/protein/17998681","Ap4s1")</f>
        <v>Ap4s1</v>
      </c>
      <c r="E417" t="str">
        <f>HYPERLINK("J:\Depot - mpkCCD Fractions\Main Web Page\Web Pages_old\proteomic_fractions_linear_files/Yang_linear_img/17998681.jpg","show blot")</f>
        <v>show blot</v>
      </c>
      <c r="G417" t="s">
        <v>416</v>
      </c>
      <c r="I417" s="6">
        <v>4.2457825275465249</v>
      </c>
      <c r="K417" s="8"/>
    </row>
    <row r="418" spans="1:11" ht="15" x14ac:dyDescent="0.25">
      <c r="A418" s="3" t="str">
        <f>HYPERLINK("proteomic_fractions_linear_files/Yang_linear_img/75677454.jpg", "75677454")</f>
        <v>75677454</v>
      </c>
      <c r="C418" s="3" t="str">
        <f>HYPERLINK("http://www.ncbi.nlm.nih.gov/protein/75677454","Ap5b1")</f>
        <v>Ap5b1</v>
      </c>
      <c r="E418" t="str">
        <f>HYPERLINK("J:\Depot - mpkCCD Fractions\Main Web Page\Web Pages_old\proteomic_fractions_linear_files/Yang_linear_img/75677454.jpg","show blot")</f>
        <v>show blot</v>
      </c>
      <c r="G418" t="s">
        <v>417</v>
      </c>
      <c r="I418" s="6">
        <v>3.5737761429583919</v>
      </c>
      <c r="K418" s="8"/>
    </row>
    <row r="419" spans="1:11" ht="15" x14ac:dyDescent="0.25">
      <c r="A419" s="3" t="str">
        <f>HYPERLINK("proteomic_fractions_linear_files/Yang_linear_img/225543139.jpg", "225543139")</f>
        <v>225543139</v>
      </c>
      <c r="C419" s="3" t="str">
        <f>HYPERLINK("http://www.ncbi.nlm.nih.gov/protein/225543139","Ap5m1")</f>
        <v>Ap5m1</v>
      </c>
      <c r="E419" t="str">
        <f>HYPERLINK("J:\Depot - mpkCCD Fractions\Main Web Page\Web Pages_old\proteomic_fractions_linear_files/Yang_linear_img/225543139.jpg","show blot")</f>
        <v>show blot</v>
      </c>
      <c r="G419" t="s">
        <v>418</v>
      </c>
      <c r="I419" s="6">
        <v>3.0191055008059502</v>
      </c>
      <c r="K419" s="8"/>
    </row>
    <row r="420" spans="1:11" ht="15" x14ac:dyDescent="0.25">
      <c r="A420" s="3" t="str">
        <f>HYPERLINK("proteomic_fractions_linear_files/Yang_linear_img/31980819.jpg", "31980819")</f>
        <v>31980819</v>
      </c>
      <c r="C420" s="3" t="str">
        <f>HYPERLINK("http://www.ncbi.nlm.nih.gov/protein/31980819","Ap5s1")</f>
        <v>Ap5s1</v>
      </c>
      <c r="E420" t="str">
        <f>HYPERLINK("J:\Depot - mpkCCD Fractions\Main Web Page\Web Pages_old\proteomic_fractions_linear_files/Yang_linear_img/31980819.jpg","show blot")</f>
        <v>show blot</v>
      </c>
      <c r="G420" t="s">
        <v>419</v>
      </c>
      <c r="I420" s="6">
        <v>4.0819249459422959</v>
      </c>
      <c r="K420" s="8"/>
    </row>
    <row r="421" spans="1:11" ht="15" x14ac:dyDescent="0.25">
      <c r="A421" s="3" t="str">
        <f>HYPERLINK("proteomic_fractions_linear_files/Yang_linear_img/82546849.jpg", "82546849")</f>
        <v>82546849</v>
      </c>
      <c r="C421" s="3" t="str">
        <f>HYPERLINK("http://www.ncbi.nlm.nih.gov/protein/82546849","Ap5z1")</f>
        <v>Ap5z1</v>
      </c>
      <c r="E421" t="str">
        <f>HYPERLINK("J:\Depot - mpkCCD Fractions\Main Web Page\Web Pages_old\proteomic_fractions_linear_files/Yang_linear_img/82546849.jpg","show blot")</f>
        <v>show blot</v>
      </c>
      <c r="G421" t="s">
        <v>420</v>
      </c>
      <c r="I421" s="6">
        <v>3.474076998137051</v>
      </c>
      <c r="K421" s="8"/>
    </row>
    <row r="422" spans="1:11" ht="15" x14ac:dyDescent="0.25">
      <c r="A422" s="3" t="str">
        <f>HYPERLINK("proteomic_fractions_linear_files/Yang_linear_img/110347471.jpg", "110347471")</f>
        <v>110347471</v>
      </c>
      <c r="C422" s="3" t="str">
        <f>HYPERLINK("http://www.ncbi.nlm.nih.gov/protein/110347471","Apaf1")</f>
        <v>Apaf1</v>
      </c>
      <c r="E422" t="str">
        <f>HYPERLINK("J:\Depot - mpkCCD Fractions\Main Web Page\Web Pages_old\proteomic_fractions_linear_files/Yang_linear_img/110347471.jpg","show blot")</f>
        <v>show blot</v>
      </c>
      <c r="G422" t="s">
        <v>421</v>
      </c>
      <c r="I422" s="6">
        <v>3.8741473835172644</v>
      </c>
      <c r="K422" s="8"/>
    </row>
    <row r="423" spans="1:11" ht="15" x14ac:dyDescent="0.25">
      <c r="A423" s="3" t="str">
        <f>HYPERLINK("proteomic_fractions_linear_files/Yang_linear_img/110625864.jpg", "110625864")</f>
        <v>110625864</v>
      </c>
      <c r="C423" s="3" t="str">
        <f>HYPERLINK("http://www.ncbi.nlm.nih.gov/protein/110625864","Apcdd1")</f>
        <v>Apcdd1</v>
      </c>
      <c r="E423" t="str">
        <f>HYPERLINK("J:\Depot - mpkCCD Fractions\Main Web Page\Web Pages_old\proteomic_fractions_linear_files/Yang_linear_img/110625864.jpg","show blot")</f>
        <v>show blot</v>
      </c>
      <c r="G423" t="s">
        <v>422</v>
      </c>
      <c r="I423" s="6">
        <v>3.4273174302962652</v>
      </c>
      <c r="K423" s="8"/>
    </row>
    <row r="424" spans="1:11" ht="15" x14ac:dyDescent="0.25">
      <c r="A424" s="3" t="str">
        <f>HYPERLINK("proteomic_fractions_linear_files/Yang_linear_img/214010153.jpg", "214010153")</f>
        <v>214010153</v>
      </c>
      <c r="C424" s="3" t="str">
        <f>HYPERLINK("http://www.ncbi.nlm.nih.gov/protein/214010153","Apeh")</f>
        <v>Apeh</v>
      </c>
      <c r="E424" t="str">
        <f>HYPERLINK("J:\Depot - mpkCCD Fractions\Main Web Page\Web Pages_old\proteomic_fractions_linear_files/Yang_linear_img/214010153.jpg","show blot")</f>
        <v>show blot</v>
      </c>
      <c r="G424" t="s">
        <v>423</v>
      </c>
      <c r="I424" s="6">
        <v>4.9357591489327763</v>
      </c>
      <c r="K424" s="8"/>
    </row>
    <row r="425" spans="1:11" ht="15" x14ac:dyDescent="0.25">
      <c r="A425" s="3" t="str">
        <f>HYPERLINK("proteomic_fractions_linear_files/Yang_linear_img/6753086.jpg", "6753086")</f>
        <v>6753086</v>
      </c>
      <c r="C425" s="3" t="str">
        <f>HYPERLINK("http://www.ncbi.nlm.nih.gov/protein/6753086","Apex1")</f>
        <v>Apex1</v>
      </c>
      <c r="E425" t="str">
        <f>HYPERLINK("J:\Depot - mpkCCD Fractions\Main Web Page\Web Pages_old\proteomic_fractions_linear_files/Yang_linear_img/6753086.jpg","show blot")</f>
        <v>show blot</v>
      </c>
      <c r="G425" t="s">
        <v>424</v>
      </c>
      <c r="I425" s="6">
        <v>6.3600879654571969</v>
      </c>
      <c r="K425" s="8"/>
    </row>
    <row r="426" spans="1:11" ht="15" x14ac:dyDescent="0.25">
      <c r="A426" s="3" t="str">
        <f>HYPERLINK("proteomic_fractions_linear_files/Yang_linear_img/189339191.jpg", "189339191")</f>
        <v>189339191</v>
      </c>
      <c r="C426" s="3" t="str">
        <f>HYPERLINK("http://www.ncbi.nlm.nih.gov/protein/189339191","Aph1a")</f>
        <v>Aph1a</v>
      </c>
      <c r="E426" t="str">
        <f>HYPERLINK("J:\Depot - mpkCCD Fractions\Main Web Page\Web Pages_old\proteomic_fractions_linear_files/Yang_linear_img/189339191.jpg","show blot")</f>
        <v>show blot</v>
      </c>
      <c r="G426" t="s">
        <v>425</v>
      </c>
      <c r="I426" s="6">
        <v>4.3577337508864904</v>
      </c>
      <c r="K426" s="8"/>
    </row>
    <row r="427" spans="1:11" ht="15" x14ac:dyDescent="0.25">
      <c r="A427" s="3" t="str">
        <f>HYPERLINK("proteomic_fractions_linear_files/Yang_linear_img/22203751.jpg", "22203751")</f>
        <v>22203751</v>
      </c>
      <c r="C427" s="3" t="str">
        <f>HYPERLINK("http://www.ncbi.nlm.nih.gov/protein/22203751","Aph1a")</f>
        <v>Aph1a</v>
      </c>
      <c r="E427" t="str">
        <f>HYPERLINK("J:\Depot - mpkCCD Fractions\Main Web Page\Web Pages_old\proteomic_fractions_linear_files/Yang_linear_img/22203751.jpg","show blot")</f>
        <v>show blot</v>
      </c>
      <c r="G427" t="s">
        <v>426</v>
      </c>
      <c r="I427" s="6">
        <v>4.3577337508864904</v>
      </c>
      <c r="K427" s="8"/>
    </row>
    <row r="428" spans="1:11" ht="15" x14ac:dyDescent="0.25">
      <c r="A428" s="3" t="str">
        <f>HYPERLINK("proteomic_fractions_linear_files/Yang_linear_img/94158994.jpg", "94158994")</f>
        <v>94158994</v>
      </c>
      <c r="C428" s="3" t="str">
        <f>HYPERLINK("http://www.ncbi.nlm.nih.gov/protein/94158994","Api5")</f>
        <v>Api5</v>
      </c>
      <c r="E428" t="str">
        <f>HYPERLINK("J:\Depot - mpkCCD Fractions\Main Web Page\Web Pages_old\proteomic_fractions_linear_files/Yang_linear_img/94158994.jpg","show blot")</f>
        <v>show blot</v>
      </c>
      <c r="G428" t="s">
        <v>427</v>
      </c>
      <c r="I428" s="6">
        <v>5.3062720656019398</v>
      </c>
      <c r="K428" s="8"/>
    </row>
    <row r="429" spans="1:11" ht="15" x14ac:dyDescent="0.25">
      <c r="A429" s="3" t="str">
        <f>HYPERLINK("proteomic_fractions_linear_files/Yang_linear_img/258613873.jpg", "258613873")</f>
        <v>258613873</v>
      </c>
      <c r="C429" s="3" t="str">
        <f>HYPERLINK("http://www.ncbi.nlm.nih.gov/protein/258613873","Apip")</f>
        <v>Apip</v>
      </c>
      <c r="E429" t="str">
        <f>HYPERLINK("J:\Depot - mpkCCD Fractions\Main Web Page\Web Pages_old\proteomic_fractions_linear_files/Yang_linear_img/258613873.jpg","show blot")</f>
        <v>show blot</v>
      </c>
      <c r="G429" t="s">
        <v>428</v>
      </c>
      <c r="I429" s="6">
        <v>4.9242253203311295</v>
      </c>
      <c r="K429" s="8"/>
    </row>
    <row r="430" spans="1:11" ht="15" x14ac:dyDescent="0.25">
      <c r="A430" s="3" t="str">
        <f>HYPERLINK("proteomic_fractions_linear_files/Yang_linear_img/281427262.jpg", "281427262")</f>
        <v>281427262</v>
      </c>
      <c r="C430" s="3" t="str">
        <f>HYPERLINK("http://www.ncbi.nlm.nih.gov/protein/281427262","Aplf")</f>
        <v>Aplf</v>
      </c>
      <c r="E430" t="str">
        <f>HYPERLINK("J:\Depot - mpkCCD Fractions\Main Web Page\Web Pages_old\proteomic_fractions_linear_files/Yang_linear_img/281427262.jpg","show blot")</f>
        <v>show blot</v>
      </c>
      <c r="G430" t="s">
        <v>429</v>
      </c>
      <c r="I430" s="6">
        <v>1.0553206216570354</v>
      </c>
      <c r="K430" s="8"/>
    </row>
    <row r="431" spans="1:11" ht="15" x14ac:dyDescent="0.25">
      <c r="A431" s="3" t="str">
        <f>HYPERLINK("proteomic_fractions_linear_files/Yang_linear_img/31541860.jpg", "31541860")</f>
        <v>31541860</v>
      </c>
      <c r="C431" s="3" t="str">
        <f>HYPERLINK("http://www.ncbi.nlm.nih.gov/protein/31541860","Aplf")</f>
        <v>Aplf</v>
      </c>
      <c r="E431" t="str">
        <f>HYPERLINK("J:\Depot - mpkCCD Fractions\Main Web Page\Web Pages_old\proteomic_fractions_linear_files/Yang_linear_img/31541860.jpg","show blot")</f>
        <v>show blot</v>
      </c>
      <c r="G431" t="s">
        <v>430</v>
      </c>
      <c r="I431" s="6">
        <v>1.0553206216570354</v>
      </c>
      <c r="K431" s="8"/>
    </row>
    <row r="432" spans="1:11" ht="15" x14ac:dyDescent="0.25">
      <c r="A432" s="3" t="str">
        <f>HYPERLINK("proteomic_fractions_linear_files/Yang_linear_img/156255192.jpg", "156255192")</f>
        <v>156255192</v>
      </c>
      <c r="C432" s="3" t="str">
        <f>HYPERLINK("http://www.ncbi.nlm.nih.gov/protein/156255192","Aplp2")</f>
        <v>Aplp2</v>
      </c>
      <c r="E432" t="str">
        <f>HYPERLINK("J:\Depot - mpkCCD Fractions\Main Web Page\Web Pages_old\proteomic_fractions_linear_files/Yang_linear_img/156255192.jpg","show blot")</f>
        <v>show blot</v>
      </c>
      <c r="G432" t="s">
        <v>431</v>
      </c>
      <c r="I432" s="6">
        <v>3.4895675463243983</v>
      </c>
      <c r="K432" s="8"/>
    </row>
    <row r="433" spans="1:11" ht="15" x14ac:dyDescent="0.25">
      <c r="A433" s="3" t="str">
        <f>HYPERLINK("proteomic_fractions_linear_files/Yang_linear_img/156255194.jpg", "156255194")</f>
        <v>156255194</v>
      </c>
      <c r="C433" s="3" t="str">
        <f>HYPERLINK("http://www.ncbi.nlm.nih.gov/protein/156255194","Aplp2")</f>
        <v>Aplp2</v>
      </c>
      <c r="E433" t="str">
        <f>HYPERLINK("J:\Depot - mpkCCD Fractions\Main Web Page\Web Pages_old\proteomic_fractions_linear_files/Yang_linear_img/156255194.jpg","show blot")</f>
        <v>show blot</v>
      </c>
      <c r="G433" t="s">
        <v>432</v>
      </c>
      <c r="I433" s="6">
        <v>3.4895675463243983</v>
      </c>
      <c r="K433" s="8"/>
    </row>
    <row r="434" spans="1:11" ht="15" x14ac:dyDescent="0.25">
      <c r="A434" s="3" t="str">
        <f>HYPERLINK("proteomic_fractions_linear_files/Yang_linear_img/6753094.jpg", "6753094")</f>
        <v>6753094</v>
      </c>
      <c r="C434" s="3" t="str">
        <f>HYPERLINK("http://www.ncbi.nlm.nih.gov/protein/6753094","Aplp2")</f>
        <v>Aplp2</v>
      </c>
      <c r="E434" t="str">
        <f>HYPERLINK("J:\Depot - mpkCCD Fractions\Main Web Page\Web Pages_old\proteomic_fractions_linear_files/Yang_linear_img/6753094.jpg","show blot")</f>
        <v>show blot</v>
      </c>
      <c r="G434" t="s">
        <v>433</v>
      </c>
      <c r="I434" s="6">
        <v>3.4895675463243983</v>
      </c>
      <c r="K434" s="8"/>
    </row>
    <row r="435" spans="1:11" ht="15" x14ac:dyDescent="0.25">
      <c r="A435" s="3" t="str">
        <f>HYPERLINK("proteomic_fractions_linear_files/Yang_linear_img/21313668.jpg", "21313668")</f>
        <v>21313668</v>
      </c>
      <c r="C435" s="3" t="str">
        <f>HYPERLINK("http://www.ncbi.nlm.nih.gov/protein/21313668","Apmap")</f>
        <v>Apmap</v>
      </c>
      <c r="E435" t="str">
        <f>HYPERLINK("J:\Depot - mpkCCD Fractions\Main Web Page\Web Pages_old\proteomic_fractions_linear_files/Yang_linear_img/21313668.jpg","show blot")</f>
        <v>show blot</v>
      </c>
      <c r="G435" t="s">
        <v>434</v>
      </c>
      <c r="I435" s="6">
        <v>4.9415498102085893</v>
      </c>
      <c r="K435" s="8"/>
    </row>
    <row r="436" spans="1:11" ht="15" x14ac:dyDescent="0.25">
      <c r="A436" s="3" t="str">
        <f>HYPERLINK("proteomic_fractions_linear_files/Yang_linear_img/21553309.jpg", "21553309")</f>
        <v>21553309</v>
      </c>
      <c r="C436" s="3" t="str">
        <f>HYPERLINK("http://www.ncbi.nlm.nih.gov/protein/21553309","Apoa1bp")</f>
        <v>Apoa1bp</v>
      </c>
      <c r="E436" t="str">
        <f>HYPERLINK("J:\Depot - mpkCCD Fractions\Main Web Page\Web Pages_old\proteomic_fractions_linear_files/Yang_linear_img/21553309.jpg","show blot")</f>
        <v>show blot</v>
      </c>
      <c r="G436" t="s">
        <v>435</v>
      </c>
      <c r="I436" s="6">
        <v>5.8701352853646487</v>
      </c>
      <c r="K436" s="8"/>
    </row>
    <row r="437" spans="1:11" ht="15" x14ac:dyDescent="0.25">
      <c r="A437" s="3" t="str">
        <f>HYPERLINK("proteomic_fractions_linear_files/Yang_linear_img/238018108.jpg", "238018108")</f>
        <v>238018108</v>
      </c>
      <c r="C437" s="3" t="str">
        <f>HYPERLINK("http://www.ncbi.nlm.nih.gov/protein/238018108","Apobec3")</f>
        <v>Apobec3</v>
      </c>
      <c r="E437" t="str">
        <f>HYPERLINK("J:\Depot - mpkCCD Fractions\Main Web Page\Web Pages_old\proteomic_fractions_linear_files/Yang_linear_img/238018108.jpg","show blot")</f>
        <v>show blot</v>
      </c>
      <c r="G437" t="s">
        <v>436</v>
      </c>
      <c r="I437" s="6">
        <v>4.0849936023951434</v>
      </c>
      <c r="K437" s="8"/>
    </row>
    <row r="438" spans="1:11" ht="15" x14ac:dyDescent="0.25">
      <c r="A438" s="3" t="str">
        <f>HYPERLINK("proteomic_fractions_linear_files/Yang_linear_img/85861172.jpg", "85861172")</f>
        <v>85861172</v>
      </c>
      <c r="C438" s="3" t="str">
        <f>HYPERLINK("http://www.ncbi.nlm.nih.gov/protein/85861172","Apobec3")</f>
        <v>Apobec3</v>
      </c>
      <c r="E438" t="str">
        <f>HYPERLINK("J:\Depot - mpkCCD Fractions\Main Web Page\Web Pages_old\proteomic_fractions_linear_files/Yang_linear_img/85861172.jpg","show blot")</f>
        <v>show blot</v>
      </c>
      <c r="G438" t="s">
        <v>437</v>
      </c>
      <c r="I438" s="6">
        <v>4.0849936023951434</v>
      </c>
      <c r="K438" s="8"/>
    </row>
    <row r="439" spans="1:11" ht="15" x14ac:dyDescent="0.25">
      <c r="A439" s="3" t="str">
        <f>HYPERLINK("proteomic_fractions_linear_files/Yang_linear_img/238776830.jpg", "238776830")</f>
        <v>238776830</v>
      </c>
      <c r="C439" s="3" t="str">
        <f>HYPERLINK("http://www.ncbi.nlm.nih.gov/protein/238776830","Apol10b")</f>
        <v>Apol10b</v>
      </c>
      <c r="E439" t="str">
        <f>HYPERLINK("J:\Depot - mpkCCD Fractions\Main Web Page\Web Pages_old\proteomic_fractions_linear_files/Yang_linear_img/238776830.jpg","show blot")</f>
        <v>show blot</v>
      </c>
      <c r="G439" t="s">
        <v>438</v>
      </c>
      <c r="I439" s="6">
        <v>5.7713152509694581</v>
      </c>
      <c r="K439" s="8"/>
    </row>
    <row r="440" spans="1:11" ht="15" x14ac:dyDescent="0.25">
      <c r="A440" s="3" t="str">
        <f>HYPERLINK("proteomic_fractions_linear_files/Yang_linear_img/161484642.jpg", "161484642")</f>
        <v>161484642</v>
      </c>
      <c r="C440" s="3" t="str">
        <f>HYPERLINK("http://www.ncbi.nlm.nih.gov/protein/161484642","Apoo")</f>
        <v>Apoo</v>
      </c>
      <c r="E440" t="str">
        <f>HYPERLINK("J:\Depot - mpkCCD Fractions\Main Web Page\Web Pages_old\proteomic_fractions_linear_files/Yang_linear_img/161484642.jpg","show blot")</f>
        <v>show blot</v>
      </c>
      <c r="G440" t="s">
        <v>439</v>
      </c>
      <c r="I440" s="6">
        <v>4.9567072494161177</v>
      </c>
      <c r="K440" s="8"/>
    </row>
    <row r="441" spans="1:11" ht="15" x14ac:dyDescent="0.25">
      <c r="A441" s="3" t="str">
        <f>HYPERLINK("proteomic_fractions_linear_files/Yang_linear_img/313569763.jpg", "313569763")</f>
        <v>313569763</v>
      </c>
      <c r="C441" s="3" t="str">
        <f>HYPERLINK("http://www.ncbi.nlm.nih.gov/protein/313569763","Apoo")</f>
        <v>Apoo</v>
      </c>
      <c r="E441" t="str">
        <f>HYPERLINK("J:\Depot - mpkCCD Fractions\Main Web Page\Web Pages_old\proteomic_fractions_linear_files/Yang_linear_img/313569763.jpg","show blot")</f>
        <v>show blot</v>
      </c>
      <c r="G441" t="s">
        <v>440</v>
      </c>
      <c r="I441" s="6">
        <v>4.9567072494161177</v>
      </c>
      <c r="K441" s="8"/>
    </row>
    <row r="442" spans="1:11" ht="15" x14ac:dyDescent="0.25">
      <c r="A442" s="3" t="str">
        <f>HYPERLINK("proteomic_fractions_linear_files/Yang_linear_img/313569872.jpg", "313569872")</f>
        <v>313569872</v>
      </c>
      <c r="C442" s="3" t="str">
        <f>HYPERLINK("http://www.ncbi.nlm.nih.gov/protein/313569872","Apoo")</f>
        <v>Apoo</v>
      </c>
      <c r="E442" t="str">
        <f>HYPERLINK("J:\Depot - mpkCCD Fractions\Main Web Page\Web Pages_old\proteomic_fractions_linear_files/Yang_linear_img/313569872.jpg","show blot")</f>
        <v>show blot</v>
      </c>
      <c r="G442" t="s">
        <v>441</v>
      </c>
      <c r="I442" s="6">
        <v>4.9567072494161177</v>
      </c>
      <c r="K442" s="8"/>
    </row>
    <row r="443" spans="1:11" ht="15" x14ac:dyDescent="0.25">
      <c r="A443" s="3" t="str">
        <f>HYPERLINK("proteomic_fractions_linear_files/Yang_linear_img/13386062.jpg", "13386062")</f>
        <v>13386062</v>
      </c>
      <c r="C443" s="3" t="str">
        <f>HYPERLINK("http://www.ncbi.nlm.nih.gov/protein/13386062","Apool")</f>
        <v>Apool</v>
      </c>
      <c r="E443" t="str">
        <f>HYPERLINK("J:\Depot - mpkCCD Fractions\Main Web Page\Web Pages_old\proteomic_fractions_linear_files/Yang_linear_img/13386062.jpg","show blot")</f>
        <v>show blot</v>
      </c>
      <c r="G443" t="s">
        <v>442</v>
      </c>
      <c r="I443" s="6">
        <v>5.1157388180774488</v>
      </c>
      <c r="K443" s="8"/>
    </row>
    <row r="444" spans="1:11" ht="15" x14ac:dyDescent="0.25">
      <c r="A444" s="3" t="str">
        <f>HYPERLINK("proteomic_fractions_linear_files/Yang_linear_img/311893401.jpg", "311893401")</f>
        <v>311893401</v>
      </c>
      <c r="C444" s="3" t="str">
        <f>HYPERLINK("http://www.ncbi.nlm.nih.gov/protein/311893401","App")</f>
        <v>App</v>
      </c>
      <c r="E444" t="str">
        <f>HYPERLINK("J:\Depot - mpkCCD Fractions\Main Web Page\Web Pages_old\proteomic_fractions_linear_files/Yang_linear_img/311893401.jpg","show blot")</f>
        <v>show blot</v>
      </c>
      <c r="G444" t="s">
        <v>443</v>
      </c>
      <c r="I444" s="6">
        <v>5.0862497006679153</v>
      </c>
      <c r="K444" s="8"/>
    </row>
    <row r="445" spans="1:11" ht="15" x14ac:dyDescent="0.25">
      <c r="A445" s="3" t="str">
        <f>HYPERLINK("proteomic_fractions_linear_files/Yang_linear_img/311893404.jpg", "311893404")</f>
        <v>311893404</v>
      </c>
      <c r="C445" s="3" t="str">
        <f>HYPERLINK("http://www.ncbi.nlm.nih.gov/protein/311893404","App")</f>
        <v>App</v>
      </c>
      <c r="E445" t="str">
        <f>HYPERLINK("J:\Depot - mpkCCD Fractions\Main Web Page\Web Pages_old\proteomic_fractions_linear_files/Yang_linear_img/311893404.jpg","show blot")</f>
        <v>show blot</v>
      </c>
      <c r="G445" t="s">
        <v>444</v>
      </c>
      <c r="I445" s="6">
        <v>5.0862497006679153</v>
      </c>
      <c r="K445" s="8"/>
    </row>
    <row r="446" spans="1:11" ht="15" x14ac:dyDescent="0.25">
      <c r="A446" s="3" t="str">
        <f>HYPERLINK("proteomic_fractions_linear_files/Yang_linear_img/311893406.jpg", "311893406")</f>
        <v>311893406</v>
      </c>
      <c r="C446" s="3" t="str">
        <f>HYPERLINK("http://www.ncbi.nlm.nih.gov/protein/311893406","App")</f>
        <v>App</v>
      </c>
      <c r="E446" t="str">
        <f>HYPERLINK("J:\Depot - mpkCCD Fractions\Main Web Page\Web Pages_old\proteomic_fractions_linear_files/Yang_linear_img/311893406.jpg","show blot")</f>
        <v>show blot</v>
      </c>
      <c r="G446" t="s">
        <v>445</v>
      </c>
      <c r="I446" s="6">
        <v>5.0862497006679153</v>
      </c>
      <c r="K446" s="8"/>
    </row>
    <row r="447" spans="1:11" ht="15" x14ac:dyDescent="0.25">
      <c r="A447" s="3" t="str">
        <f>HYPERLINK("proteomic_fractions_linear_files/Yang_linear_img/311893408.jpg", "311893408")</f>
        <v>311893408</v>
      </c>
      <c r="C447" s="3" t="str">
        <f>HYPERLINK("http://www.ncbi.nlm.nih.gov/protein/311893408","App")</f>
        <v>App</v>
      </c>
      <c r="E447" t="str">
        <f>HYPERLINK("J:\Depot - mpkCCD Fractions\Main Web Page\Web Pages_old\proteomic_fractions_linear_files/Yang_linear_img/311893408.jpg","show blot")</f>
        <v>show blot</v>
      </c>
      <c r="G447" t="s">
        <v>446</v>
      </c>
      <c r="I447" s="6">
        <v>5.0862497006679153</v>
      </c>
      <c r="K447" s="8"/>
    </row>
    <row r="448" spans="1:11" ht="15" x14ac:dyDescent="0.25">
      <c r="A448" s="3" t="str">
        <f>HYPERLINK("proteomic_fractions_linear_files/Yang_linear_img/47271504.jpg", "47271504")</f>
        <v>47271504</v>
      </c>
      <c r="C448" s="3" t="str">
        <f>HYPERLINK("http://www.ncbi.nlm.nih.gov/protein/47271504","App")</f>
        <v>App</v>
      </c>
      <c r="E448" t="str">
        <f>HYPERLINK("J:\Depot - mpkCCD Fractions\Main Web Page\Web Pages_old\proteomic_fractions_linear_files/Yang_linear_img/47271504.jpg","show blot")</f>
        <v>show blot</v>
      </c>
      <c r="G448" t="s">
        <v>447</v>
      </c>
      <c r="I448" s="6">
        <v>5.0862497006679153</v>
      </c>
      <c r="K448" s="8"/>
    </row>
    <row r="449" spans="1:11" ht="15" x14ac:dyDescent="0.25">
      <c r="A449" s="3" t="str">
        <f>HYPERLINK("proteomic_fractions_linear_files/Yang_linear_img/21699066.jpg", "21699066")</f>
        <v>21699066</v>
      </c>
      <c r="C449" s="3" t="str">
        <f>HYPERLINK("http://www.ncbi.nlm.nih.gov/protein/21699066","Appl1")</f>
        <v>Appl1</v>
      </c>
      <c r="E449" t="str">
        <f>HYPERLINK("J:\Depot - mpkCCD Fractions\Main Web Page\Web Pages_old\proteomic_fractions_linear_files/Yang_linear_img/21699066.jpg","show blot")</f>
        <v>show blot</v>
      </c>
      <c r="G449" t="s">
        <v>448</v>
      </c>
      <c r="I449" s="6">
        <v>3.9950694058769787</v>
      </c>
      <c r="K449" s="8"/>
    </row>
    <row r="450" spans="1:11" ht="15" x14ac:dyDescent="0.25">
      <c r="A450" s="3" t="str">
        <f>HYPERLINK("proteomic_fractions_linear_files/Yang_linear_img/21644587.jpg", "21644587")</f>
        <v>21644587</v>
      </c>
      <c r="C450" s="3" t="str">
        <f>HYPERLINK("http://www.ncbi.nlm.nih.gov/protein/21644587","Appl2")</f>
        <v>Appl2</v>
      </c>
      <c r="E450" t="str">
        <f>HYPERLINK("J:\Depot - mpkCCD Fractions\Main Web Page\Web Pages_old\proteomic_fractions_linear_files/Yang_linear_img/21644587.jpg","show blot")</f>
        <v>show blot</v>
      </c>
      <c r="G450" t="s">
        <v>449</v>
      </c>
      <c r="I450" s="6">
        <v>2.1891183724796774</v>
      </c>
      <c r="K450" s="8"/>
    </row>
    <row r="451" spans="1:11" ht="15" x14ac:dyDescent="0.25">
      <c r="A451" s="3" t="str">
        <f>HYPERLINK("proteomic_fractions_linear_files/Yang_linear_img/118601013.jpg", "118601013")</f>
        <v>118601013</v>
      </c>
      <c r="C451" s="3" t="str">
        <f>HYPERLINK("http://www.ncbi.nlm.nih.gov/protein/118601013","Aprt")</f>
        <v>Aprt</v>
      </c>
      <c r="E451" t="str">
        <f>HYPERLINK("J:\Depot - mpkCCD Fractions\Main Web Page\Web Pages_old\proteomic_fractions_linear_files/Yang_linear_img/118601013.jpg","show blot")</f>
        <v>show blot</v>
      </c>
      <c r="G451" t="s">
        <v>450</v>
      </c>
      <c r="I451" s="6">
        <v>5.8851209795681738</v>
      </c>
      <c r="K451" s="8"/>
    </row>
    <row r="452" spans="1:11" ht="15" x14ac:dyDescent="0.25">
      <c r="A452" s="3" t="str">
        <f>HYPERLINK("proteomic_fractions_linear_files/Yang_linear_img/160415209.jpg", "160415209")</f>
        <v>160415209</v>
      </c>
      <c r="C452" s="3" t="str">
        <f>HYPERLINK("http://www.ncbi.nlm.nih.gov/protein/160415209","Aqp2")</f>
        <v>Aqp2</v>
      </c>
      <c r="E452" t="str">
        <f>HYPERLINK("J:\Depot - mpkCCD Fractions\Main Web Page\Web Pages_old\proteomic_fractions_linear_files/Yang_linear_img/160415209.jpg","show blot")</f>
        <v>show blot</v>
      </c>
      <c r="G452" t="s">
        <v>451</v>
      </c>
      <c r="I452" s="6">
        <v>6.1472555966488294</v>
      </c>
      <c r="K452" s="8"/>
    </row>
    <row r="453" spans="1:11" ht="15" x14ac:dyDescent="0.25">
      <c r="A453" s="3" t="str">
        <f>HYPERLINK("proteomic_fractions_linear_files/Yang_linear_img/163644327.jpg", "163644327")</f>
        <v>163644327</v>
      </c>
      <c r="C453" s="3" t="str">
        <f>HYPERLINK("http://www.ncbi.nlm.nih.gov/protein/163644327","Aqr")</f>
        <v>Aqr</v>
      </c>
      <c r="E453" t="str">
        <f>HYPERLINK("J:\Depot - mpkCCD Fractions\Main Web Page\Web Pages_old\proteomic_fractions_linear_files/Yang_linear_img/163644327.jpg","show blot")</f>
        <v>show blot</v>
      </c>
      <c r="G453" t="s">
        <v>452</v>
      </c>
      <c r="I453" s="6">
        <v>2.8262911058918005</v>
      </c>
      <c r="K453" s="8"/>
    </row>
    <row r="454" spans="1:11" ht="15" x14ac:dyDescent="0.25">
      <c r="A454" s="3" t="str">
        <f>HYPERLINK("proteomic_fractions_linear_files/Yang_linear_img/227496776.jpg", "227496776")</f>
        <v>227496776</v>
      </c>
      <c r="C454" s="3" t="str">
        <f>HYPERLINK("http://www.ncbi.nlm.nih.gov/protein/227496776","Araf")</f>
        <v>Araf</v>
      </c>
      <c r="E454" t="str">
        <f>HYPERLINK("J:\Depot - mpkCCD Fractions\Main Web Page\Web Pages_old\proteomic_fractions_linear_files/Yang_linear_img/227496776.jpg","show blot")</f>
        <v>show blot</v>
      </c>
      <c r="G454" t="s">
        <v>453</v>
      </c>
      <c r="I454" s="6">
        <v>5.4619567213126663</v>
      </c>
      <c r="K454" s="8"/>
    </row>
    <row r="455" spans="1:11" ht="15" x14ac:dyDescent="0.25">
      <c r="A455" s="3" t="str">
        <f>HYPERLINK("proteomic_fractions_linear_files/Yang_linear_img/27545181.jpg", "27545181")</f>
        <v>27545181</v>
      </c>
      <c r="C455" s="3" t="str">
        <f>HYPERLINK("http://www.ncbi.nlm.nih.gov/protein/27545181","Araf")</f>
        <v>Araf</v>
      </c>
      <c r="E455" t="str">
        <f>HYPERLINK("J:\Depot - mpkCCD Fractions\Main Web Page\Web Pages_old\proteomic_fractions_linear_files/Yang_linear_img/27545181.jpg","show blot")</f>
        <v>show blot</v>
      </c>
      <c r="G455" t="s">
        <v>454</v>
      </c>
      <c r="I455" s="6">
        <v>5.4619567213126663</v>
      </c>
      <c r="K455" s="8"/>
    </row>
    <row r="456" spans="1:11" ht="15" x14ac:dyDescent="0.25">
      <c r="A456" s="3" t="str">
        <f>HYPERLINK("proteomic_fractions_linear_files/Yang_linear_img/148747410.jpg", "148747410")</f>
        <v>148747410</v>
      </c>
      <c r="C456" s="3" t="str">
        <f>HYPERLINK("http://www.ncbi.nlm.nih.gov/protein/148747410","Arcn1")</f>
        <v>Arcn1</v>
      </c>
      <c r="E456" t="str">
        <f>HYPERLINK("J:\Depot - mpkCCD Fractions\Main Web Page\Web Pages_old\proteomic_fractions_linear_files/Yang_linear_img/148747410.jpg","show blot")</f>
        <v>show blot</v>
      </c>
      <c r="G456" t="s">
        <v>455</v>
      </c>
      <c r="I456" s="6">
        <v>5.8676321905300606</v>
      </c>
      <c r="K456" s="8"/>
    </row>
    <row r="457" spans="1:11" ht="15" x14ac:dyDescent="0.25">
      <c r="A457" s="3" t="str">
        <f>HYPERLINK("proteomic_fractions_linear_files/Yang_linear_img/6680716.jpg", "6680716")</f>
        <v>6680716</v>
      </c>
      <c r="C457" s="3" t="str">
        <f>HYPERLINK("http://www.ncbi.nlm.nih.gov/protein/6680716","Arf1")</f>
        <v>Arf1</v>
      </c>
      <c r="E457" t="str">
        <f>HYPERLINK("J:\Depot - mpkCCD Fractions\Main Web Page\Web Pages_old\proteomic_fractions_linear_files/Yang_linear_img/6680716.jpg","show blot")</f>
        <v>show blot</v>
      </c>
      <c r="G457" t="s">
        <v>456</v>
      </c>
      <c r="I457" s="6">
        <v>6.8937871331029479</v>
      </c>
      <c r="K457" s="8"/>
    </row>
    <row r="458" spans="1:11" ht="15" x14ac:dyDescent="0.25">
      <c r="A458" s="3" t="str">
        <f>HYPERLINK("proteomic_fractions_linear_files/Yang_linear_img/6671571.jpg", "6671571")</f>
        <v>6671571</v>
      </c>
      <c r="C458" s="3" t="str">
        <f>HYPERLINK("http://www.ncbi.nlm.nih.gov/protein/6671571","Arf2")</f>
        <v>Arf2</v>
      </c>
      <c r="E458" t="str">
        <f>HYPERLINK("J:\Depot - mpkCCD Fractions\Main Web Page\Web Pages_old\proteomic_fractions_linear_files/Yang_linear_img/6671571.jpg","show blot")</f>
        <v>show blot</v>
      </c>
      <c r="G458" t="s">
        <v>457</v>
      </c>
      <c r="I458" s="6">
        <v>6.8336351775280653</v>
      </c>
      <c r="K458" s="8"/>
    </row>
    <row r="459" spans="1:11" ht="15" x14ac:dyDescent="0.25">
      <c r="A459" s="3" t="str">
        <f>HYPERLINK("proteomic_fractions_linear_files/Yang_linear_img/6680718.jpg", "6680718")</f>
        <v>6680718</v>
      </c>
      <c r="C459" s="3" t="str">
        <f>HYPERLINK("http://www.ncbi.nlm.nih.gov/protein/6680718","Arf3")</f>
        <v>Arf3</v>
      </c>
      <c r="E459" t="str">
        <f>HYPERLINK("J:\Depot - mpkCCD Fractions\Main Web Page\Web Pages_old\proteomic_fractions_linear_files/Yang_linear_img/6680718.jpg","show blot")</f>
        <v>show blot</v>
      </c>
      <c r="G459" t="s">
        <v>458</v>
      </c>
      <c r="I459" s="6">
        <v>6.8846481669115267</v>
      </c>
      <c r="K459" s="8"/>
    </row>
    <row r="460" spans="1:11" ht="15" x14ac:dyDescent="0.25">
      <c r="A460" s="3" t="str">
        <f>HYPERLINK("proteomic_fractions_linear_files/Yang_linear_img/6680720.jpg", "6680720")</f>
        <v>6680720</v>
      </c>
      <c r="C460" s="3" t="str">
        <f>HYPERLINK("http://www.ncbi.nlm.nih.gov/protein/6680720","Arf4")</f>
        <v>Arf4</v>
      </c>
      <c r="E460" t="str">
        <f>HYPERLINK("J:\Depot - mpkCCD Fractions\Main Web Page\Web Pages_old\proteomic_fractions_linear_files/Yang_linear_img/6680720.jpg","show blot")</f>
        <v>show blot</v>
      </c>
      <c r="G460" t="s">
        <v>459</v>
      </c>
      <c r="I460" s="6">
        <v>6.5126910992920486</v>
      </c>
      <c r="K460" s="8"/>
    </row>
    <row r="461" spans="1:11" ht="15" x14ac:dyDescent="0.25">
      <c r="A461" s="3" t="str">
        <f>HYPERLINK("proteomic_fractions_linear_files/Yang_linear_img/6680722.jpg", "6680722")</f>
        <v>6680722</v>
      </c>
      <c r="C461" s="3" t="str">
        <f>HYPERLINK("http://www.ncbi.nlm.nih.gov/protein/6680722","Arf5")</f>
        <v>Arf5</v>
      </c>
      <c r="E461" t="str">
        <f>HYPERLINK("J:\Depot - mpkCCD Fractions\Main Web Page\Web Pages_old\proteomic_fractions_linear_files/Yang_linear_img/6680722.jpg","show blot")</f>
        <v>show blot</v>
      </c>
      <c r="G461" t="s">
        <v>460</v>
      </c>
      <c r="I461" s="6">
        <v>6.5543251953864257</v>
      </c>
      <c r="K461" s="8"/>
    </row>
    <row r="462" spans="1:11" ht="15" x14ac:dyDescent="0.25">
      <c r="A462" s="3" t="str">
        <f>HYPERLINK("proteomic_fractions_linear_files/Yang_linear_img/6680724.jpg", "6680724")</f>
        <v>6680724</v>
      </c>
      <c r="C462" s="3" t="str">
        <f>HYPERLINK("http://www.ncbi.nlm.nih.gov/protein/6680724","Arf6")</f>
        <v>Arf6</v>
      </c>
      <c r="E462" t="str">
        <f>HYPERLINK("J:\Depot - mpkCCD Fractions\Main Web Page\Web Pages_old\proteomic_fractions_linear_files/Yang_linear_img/6680724.jpg","show blot")</f>
        <v>show blot</v>
      </c>
      <c r="G462" t="s">
        <v>461</v>
      </c>
      <c r="I462" s="6">
        <v>6.0736211475505</v>
      </c>
      <c r="K462" s="8"/>
    </row>
    <row r="463" spans="1:11" ht="15" x14ac:dyDescent="0.25">
      <c r="A463" s="3" t="str">
        <f>HYPERLINK("proteomic_fractions_linear_files/Yang_linear_img/295148126.jpg", "295148126")</f>
        <v>295148126</v>
      </c>
      <c r="C463" s="3" t="str">
        <f>HYPERLINK("http://www.ncbi.nlm.nih.gov/protein/295148126","Arfgap1")</f>
        <v>Arfgap1</v>
      </c>
      <c r="E463" t="str">
        <f>HYPERLINK("J:\Depot - mpkCCD Fractions\Main Web Page\Web Pages_old\proteomic_fractions_linear_files/Yang_linear_img/295148126.jpg","show blot")</f>
        <v>show blot</v>
      </c>
      <c r="G463" t="s">
        <v>462</v>
      </c>
      <c r="I463" s="6">
        <v>4.3939620122675942</v>
      </c>
      <c r="K463" s="8"/>
    </row>
    <row r="464" spans="1:11" ht="15" x14ac:dyDescent="0.25">
      <c r="A464" s="3" t="str">
        <f>HYPERLINK("proteomic_fractions_linear_files/Yang_linear_img/295148131.jpg", "295148131")</f>
        <v>295148131</v>
      </c>
      <c r="C464" s="3" t="str">
        <f>HYPERLINK("http://www.ncbi.nlm.nih.gov/protein/295148131","Arfgap1")</f>
        <v>Arfgap1</v>
      </c>
      <c r="E464" t="str">
        <f>HYPERLINK("J:\Depot - mpkCCD Fractions\Main Web Page\Web Pages_old\proteomic_fractions_linear_files/Yang_linear_img/295148131.jpg","show blot")</f>
        <v>show blot</v>
      </c>
      <c r="G464" t="s">
        <v>463</v>
      </c>
      <c r="I464" s="6">
        <v>4.3939620122675942</v>
      </c>
      <c r="K464" s="8"/>
    </row>
    <row r="465" spans="1:11" ht="15" x14ac:dyDescent="0.25">
      <c r="A465" s="3" t="str">
        <f>HYPERLINK("proteomic_fractions_linear_files/Yang_linear_img/295148135.jpg", "295148135")</f>
        <v>295148135</v>
      </c>
      <c r="C465" s="3" t="str">
        <f>HYPERLINK("http://www.ncbi.nlm.nih.gov/protein/295148135","Arfgap1")</f>
        <v>Arfgap1</v>
      </c>
      <c r="E465" t="str">
        <f>HYPERLINK("J:\Depot - mpkCCD Fractions\Main Web Page\Web Pages_old\proteomic_fractions_linear_files/Yang_linear_img/295148135.jpg","show blot")</f>
        <v>show blot</v>
      </c>
      <c r="G465" t="s">
        <v>464</v>
      </c>
      <c r="I465" s="6">
        <v>4.3939620122675942</v>
      </c>
      <c r="K465" s="8"/>
    </row>
    <row r="466" spans="1:11" ht="15" x14ac:dyDescent="0.25">
      <c r="A466" s="3" t="str">
        <f>HYPERLINK("proteomic_fractions_linear_files/Yang_linear_img/31542139.jpg", "31542139")</f>
        <v>31542139</v>
      </c>
      <c r="C466" s="3" t="str">
        <f>HYPERLINK("http://www.ncbi.nlm.nih.gov/protein/31542139","Arfgap1")</f>
        <v>Arfgap1</v>
      </c>
      <c r="E466" t="str">
        <f>HYPERLINK("J:\Depot - mpkCCD Fractions\Main Web Page\Web Pages_old\proteomic_fractions_linear_files/Yang_linear_img/31542139.jpg","show blot")</f>
        <v>show blot</v>
      </c>
      <c r="G466" t="s">
        <v>465</v>
      </c>
      <c r="I466" s="6">
        <v>4.3939620122675942</v>
      </c>
      <c r="K466" s="8"/>
    </row>
    <row r="467" spans="1:11" ht="15" x14ac:dyDescent="0.25">
      <c r="A467" s="3" t="str">
        <f>HYPERLINK("proteomic_fractions_linear_files/Yang_linear_img/260763915.jpg", "260763915")</f>
        <v>260763915</v>
      </c>
      <c r="C467" s="3" t="str">
        <f>HYPERLINK("http://www.ncbi.nlm.nih.gov/protein/260763915","Arfgap2")</f>
        <v>Arfgap2</v>
      </c>
      <c r="E467" t="str">
        <f>HYPERLINK("J:\Depot - mpkCCD Fractions\Main Web Page\Web Pages_old\proteomic_fractions_linear_files/Yang_linear_img/260763915.jpg","show blot")</f>
        <v>show blot</v>
      </c>
      <c r="G467" t="s">
        <v>466</v>
      </c>
      <c r="I467" s="6">
        <v>4.1152016452472804</v>
      </c>
      <c r="K467" s="8"/>
    </row>
    <row r="468" spans="1:11" ht="15" x14ac:dyDescent="0.25">
      <c r="A468" s="3" t="str">
        <f>HYPERLINK("proteomic_fractions_linear_files/Yang_linear_img/260763917.jpg", "260763917")</f>
        <v>260763917</v>
      </c>
      <c r="C468" s="3" t="str">
        <f>HYPERLINK("http://www.ncbi.nlm.nih.gov/protein/260763917","Arfgap2")</f>
        <v>Arfgap2</v>
      </c>
      <c r="E468" t="str">
        <f>HYPERLINK("J:\Depot - mpkCCD Fractions\Main Web Page\Web Pages_old\proteomic_fractions_linear_files/Yang_linear_img/260763917.jpg","show blot")</f>
        <v>show blot</v>
      </c>
      <c r="G468" t="s">
        <v>467</v>
      </c>
      <c r="I468" s="6">
        <v>4.1152016452472804</v>
      </c>
      <c r="K468" s="8"/>
    </row>
    <row r="469" spans="1:11" ht="15" x14ac:dyDescent="0.25">
      <c r="A469" s="3" t="str">
        <f>HYPERLINK("proteomic_fractions_linear_files/Yang_linear_img/30841021.jpg", "30841021")</f>
        <v>30841021</v>
      </c>
      <c r="C469" s="3" t="str">
        <f>HYPERLINK("http://www.ncbi.nlm.nih.gov/protein/30841021","Arfgap3")</f>
        <v>Arfgap3</v>
      </c>
      <c r="E469" t="str">
        <f>HYPERLINK("J:\Depot - mpkCCD Fractions\Main Web Page\Web Pages_old\proteomic_fractions_linear_files/Yang_linear_img/30841021.jpg","show blot")</f>
        <v>show blot</v>
      </c>
      <c r="G469" t="s">
        <v>468</v>
      </c>
      <c r="I469" s="6">
        <v>3.1018094435780834</v>
      </c>
      <c r="K469" s="8"/>
    </row>
    <row r="470" spans="1:11" ht="15" x14ac:dyDescent="0.25">
      <c r="A470" s="3" t="str">
        <f>HYPERLINK("proteomic_fractions_linear_files/Yang_linear_img/156231075.jpg", "156231075")</f>
        <v>156231075</v>
      </c>
      <c r="C470" s="3" t="str">
        <f>HYPERLINK("http://www.ncbi.nlm.nih.gov/protein/156231075","Arfgef1")</f>
        <v>Arfgef1</v>
      </c>
      <c r="E470" t="str">
        <f>HYPERLINK("J:\Depot - mpkCCD Fractions\Main Web Page\Web Pages_old\proteomic_fractions_linear_files/Yang_linear_img/156231075.jpg","show blot")</f>
        <v>show blot</v>
      </c>
      <c r="G470" t="s">
        <v>469</v>
      </c>
      <c r="I470" s="6">
        <v>5.4193122370516535</v>
      </c>
      <c r="K470" s="8"/>
    </row>
    <row r="471" spans="1:11" ht="15" x14ac:dyDescent="0.25">
      <c r="A471" s="3" t="str">
        <f>HYPERLINK("proteomic_fractions_linear_files/Yang_linear_img/148229140.jpg", "148229140")</f>
        <v>148229140</v>
      </c>
      <c r="C471" s="3" t="str">
        <f>HYPERLINK("http://www.ncbi.nlm.nih.gov/protein/148229140","Arfgef2")</f>
        <v>Arfgef2</v>
      </c>
      <c r="E471" t="str">
        <f>HYPERLINK("J:\Depot - mpkCCD Fractions\Main Web Page\Web Pages_old\proteomic_fractions_linear_files/Yang_linear_img/148229140.jpg","show blot")</f>
        <v>show blot</v>
      </c>
      <c r="G471" t="s">
        <v>470</v>
      </c>
      <c r="I471" s="6">
        <v>4.9459525292762994</v>
      </c>
      <c r="K471" s="8"/>
    </row>
    <row r="472" spans="1:11" ht="15" x14ac:dyDescent="0.25">
      <c r="A472" s="3" t="str">
        <f>HYPERLINK("proteomic_fractions_linear_files/Yang_linear_img/124487362.jpg", "124487362")</f>
        <v>124487362</v>
      </c>
      <c r="C472" s="3" t="str">
        <f>HYPERLINK("http://www.ncbi.nlm.nih.gov/protein/124487362","Arfip1")</f>
        <v>Arfip1</v>
      </c>
      <c r="E472" t="str">
        <f>HYPERLINK("J:\Depot - mpkCCD Fractions\Main Web Page\Web Pages_old\proteomic_fractions_linear_files/Yang_linear_img/124487362.jpg","show blot")</f>
        <v>show blot</v>
      </c>
      <c r="G472" t="s">
        <v>471</v>
      </c>
      <c r="I472" s="6">
        <v>6.0261757655819777</v>
      </c>
      <c r="K472" s="8"/>
    </row>
    <row r="473" spans="1:11" ht="15" x14ac:dyDescent="0.25">
      <c r="A473" s="3" t="str">
        <f>HYPERLINK("proteomic_fractions_linear_files/Yang_linear_img/228008331.jpg", "228008331")</f>
        <v>228008331</v>
      </c>
      <c r="C473" s="3" t="str">
        <f>HYPERLINK("http://www.ncbi.nlm.nih.gov/protein/228008331","Arfip2")</f>
        <v>Arfip2</v>
      </c>
      <c r="E473" t="str">
        <f>HYPERLINK("J:\Depot - mpkCCD Fractions\Main Web Page\Web Pages_old\proteomic_fractions_linear_files/Yang_linear_img/228008331.jpg","show blot")</f>
        <v>show blot</v>
      </c>
      <c r="G473" t="s">
        <v>472</v>
      </c>
      <c r="I473" s="6">
        <v>4.6381421201773216</v>
      </c>
      <c r="K473" s="8"/>
    </row>
    <row r="474" spans="1:11" ht="15" x14ac:dyDescent="0.25">
      <c r="A474" s="3" t="str">
        <f>HYPERLINK("proteomic_fractions_linear_files/Yang_linear_img/260763870.jpg", "260763870")</f>
        <v>260763870</v>
      </c>
      <c r="C474" s="3" t="str">
        <f>HYPERLINK("http://www.ncbi.nlm.nih.gov/protein/260763870","Arfrp1")</f>
        <v>Arfrp1</v>
      </c>
      <c r="E474" t="str">
        <f>HYPERLINK("J:\Depot - mpkCCD Fractions\Main Web Page\Web Pages_old\proteomic_fractions_linear_files/Yang_linear_img/260763870.jpg","show blot")</f>
        <v>show blot</v>
      </c>
      <c r="G474" t="s">
        <v>473</v>
      </c>
      <c r="I474" s="6">
        <v>4.378159896090823</v>
      </c>
      <c r="K474" s="8"/>
    </row>
    <row r="475" spans="1:11" ht="15" x14ac:dyDescent="0.25">
      <c r="A475" s="3" t="str">
        <f>HYPERLINK("proteomic_fractions_linear_files/Yang_linear_img/260763882.jpg", "260763882")</f>
        <v>260763882</v>
      </c>
      <c r="C475" s="3" t="str">
        <f>HYPERLINK("http://www.ncbi.nlm.nih.gov/protein/260763882","Arfrp1")</f>
        <v>Arfrp1</v>
      </c>
      <c r="E475" t="str">
        <f>HYPERLINK("J:\Depot - mpkCCD Fractions\Main Web Page\Web Pages_old\proteomic_fractions_linear_files/Yang_linear_img/260763882.jpg","show blot")</f>
        <v>show blot</v>
      </c>
      <c r="G475" t="s">
        <v>474</v>
      </c>
      <c r="I475" s="6">
        <v>4.378159896090823</v>
      </c>
      <c r="K475" s="8"/>
    </row>
    <row r="476" spans="1:11" ht="15" x14ac:dyDescent="0.25">
      <c r="A476" s="3" t="str">
        <f>HYPERLINK("proteomic_fractions_linear_files/Yang_linear_img/7106255.jpg", "7106255")</f>
        <v>7106255</v>
      </c>
      <c r="C476" s="3" t="str">
        <f>HYPERLINK("http://www.ncbi.nlm.nih.gov/protein/7106255","Arg1")</f>
        <v>Arg1</v>
      </c>
      <c r="E476" t="str">
        <f>HYPERLINK("J:\Depot - mpkCCD Fractions\Main Web Page\Web Pages_old\proteomic_fractions_linear_files/Yang_linear_img/7106255.jpg","show blot")</f>
        <v>show blot</v>
      </c>
      <c r="G476" t="s">
        <v>475</v>
      </c>
      <c r="I476" s="6">
        <v>3.8628943035002816</v>
      </c>
      <c r="K476" s="8"/>
    </row>
    <row r="477" spans="1:11" ht="15" x14ac:dyDescent="0.25">
      <c r="A477" s="3" t="str">
        <f>HYPERLINK("proteomic_fractions_linear_files/Yang_linear_img/6753110.jpg", "6753110")</f>
        <v>6753110</v>
      </c>
      <c r="C477" s="3" t="str">
        <f>HYPERLINK("http://www.ncbi.nlm.nih.gov/protein/6753110","Arg2")</f>
        <v>Arg2</v>
      </c>
      <c r="E477" t="str">
        <f>HYPERLINK("J:\Depot - mpkCCD Fractions\Main Web Page\Web Pages_old\proteomic_fractions_linear_files/Yang_linear_img/6753110.jpg","show blot")</f>
        <v>show blot</v>
      </c>
      <c r="G477" t="s">
        <v>476</v>
      </c>
      <c r="I477" s="6">
        <v>5.8968889010867542</v>
      </c>
      <c r="K477" s="8"/>
    </row>
    <row r="478" spans="1:11" ht="15" x14ac:dyDescent="0.25">
      <c r="A478" s="3" t="str">
        <f>HYPERLINK("proteomic_fractions_linear_files/Yang_linear_img/134152669.jpg", "134152669")</f>
        <v>134152669</v>
      </c>
      <c r="C478" s="3" t="str">
        <f>HYPERLINK("http://www.ncbi.nlm.nih.gov/protein/134152669","Arglu1")</f>
        <v>Arglu1</v>
      </c>
      <c r="E478" t="str">
        <f>HYPERLINK("J:\Depot - mpkCCD Fractions\Main Web Page\Web Pages_old\proteomic_fractions_linear_files/Yang_linear_img/134152669.jpg","show blot")</f>
        <v>show blot</v>
      </c>
      <c r="G478" t="s">
        <v>477</v>
      </c>
      <c r="I478" s="6">
        <v>4.1312120975483531</v>
      </c>
      <c r="K478" s="8"/>
    </row>
    <row r="479" spans="1:11" ht="15" x14ac:dyDescent="0.25">
      <c r="A479" s="3" t="str">
        <f>HYPERLINK("proteomic_fractions_linear_files/Yang_linear_img/225543420.jpg", "225543420")</f>
        <v>225543420</v>
      </c>
      <c r="C479" s="3" t="str">
        <f>HYPERLINK("http://www.ncbi.nlm.nih.gov/protein/225543420","Arhgap1")</f>
        <v>Arhgap1</v>
      </c>
      <c r="E479" t="str">
        <f>HYPERLINK("J:\Depot - mpkCCD Fractions\Main Web Page\Web Pages_old\proteomic_fractions_linear_files/Yang_linear_img/225543420.jpg","show blot")</f>
        <v>show blot</v>
      </c>
      <c r="G479" t="s">
        <v>478</v>
      </c>
      <c r="I479" s="6">
        <v>5.7299137344924684</v>
      </c>
      <c r="K479" s="8"/>
    </row>
    <row r="480" spans="1:11" ht="15" x14ac:dyDescent="0.25">
      <c r="A480" s="3" t="str">
        <f>HYPERLINK("proteomic_fractions_linear_files/Yang_linear_img/225543424.jpg", "225543424")</f>
        <v>225543424</v>
      </c>
      <c r="C480" s="3" t="str">
        <f>HYPERLINK("http://www.ncbi.nlm.nih.gov/protein/225543424","Arhgap1")</f>
        <v>Arhgap1</v>
      </c>
      <c r="E480" t="str">
        <f>HYPERLINK("J:\Depot - mpkCCD Fractions\Main Web Page\Web Pages_old\proteomic_fractions_linear_files/Yang_linear_img/225543424.jpg","show blot")</f>
        <v>show blot</v>
      </c>
      <c r="G480" t="s">
        <v>479</v>
      </c>
      <c r="I480" s="6">
        <v>5.7299137344924684</v>
      </c>
      <c r="K480" s="8"/>
    </row>
    <row r="481" spans="1:11" ht="15" x14ac:dyDescent="0.25">
      <c r="A481" s="3" t="str">
        <f>HYPERLINK("proteomic_fractions_linear_files/Yang_linear_img/116174786.jpg", "116174786")</f>
        <v>116174786</v>
      </c>
      <c r="C481" s="3" t="str">
        <f>HYPERLINK("http://www.ncbi.nlm.nih.gov/protein/116174786","Arhgap10")</f>
        <v>Arhgap10</v>
      </c>
      <c r="E481" t="str">
        <f>HYPERLINK("J:\Depot - mpkCCD Fractions\Main Web Page\Web Pages_old\proteomic_fractions_linear_files/Yang_linear_img/116174786.jpg","show blot")</f>
        <v>show blot</v>
      </c>
      <c r="G481" t="s">
        <v>480</v>
      </c>
      <c r="I481" s="6">
        <v>3.5861143938196607</v>
      </c>
      <c r="K481" s="8"/>
    </row>
    <row r="482" spans="1:11" ht="15" x14ac:dyDescent="0.25">
      <c r="A482" s="3" t="str">
        <f>HYPERLINK("proteomic_fractions_linear_files/Yang_linear_img/169790939.jpg", "169790939")</f>
        <v>169790939</v>
      </c>
      <c r="C482" s="3" t="str">
        <f>HYPERLINK("http://www.ncbi.nlm.nih.gov/protein/169790939","Arhgap17")</f>
        <v>Arhgap17</v>
      </c>
      <c r="E482" t="str">
        <f>HYPERLINK("J:\Depot - mpkCCD Fractions\Main Web Page\Web Pages_old\proteomic_fractions_linear_files/Yang_linear_img/169790939.jpg","show blot")</f>
        <v>show blot</v>
      </c>
      <c r="G482" t="s">
        <v>481</v>
      </c>
      <c r="I482" s="6">
        <v>1.3536277589855434</v>
      </c>
      <c r="K482" s="8"/>
    </row>
    <row r="483" spans="1:11" ht="15" x14ac:dyDescent="0.25">
      <c r="A483" s="3" t="str">
        <f>HYPERLINK("proteomic_fractions_linear_files/Yang_linear_img/169790941.jpg", "169790941")</f>
        <v>169790941</v>
      </c>
      <c r="C483" s="3" t="str">
        <f>HYPERLINK("http://www.ncbi.nlm.nih.gov/protein/169790941","Arhgap17")</f>
        <v>Arhgap17</v>
      </c>
      <c r="E483" t="str">
        <f>HYPERLINK("J:\Depot - mpkCCD Fractions\Main Web Page\Web Pages_old\proteomic_fractions_linear_files/Yang_linear_img/169790941.jpg","show blot")</f>
        <v>show blot</v>
      </c>
      <c r="G483" t="s">
        <v>482</v>
      </c>
      <c r="I483" s="6">
        <v>1.3536277589855434</v>
      </c>
      <c r="K483" s="8"/>
    </row>
    <row r="484" spans="1:11" ht="15" x14ac:dyDescent="0.25">
      <c r="A484" s="3" t="str">
        <f>HYPERLINK("proteomic_fractions_linear_files/Yang_linear_img/169790943.jpg", "169790943")</f>
        <v>169790943</v>
      </c>
      <c r="C484" s="3" t="str">
        <f>HYPERLINK("http://www.ncbi.nlm.nih.gov/protein/169790943","Arhgap17")</f>
        <v>Arhgap17</v>
      </c>
      <c r="E484" t="str">
        <f>HYPERLINK("J:\Depot - mpkCCD Fractions\Main Web Page\Web Pages_old\proteomic_fractions_linear_files/Yang_linear_img/169790943.jpg","show blot")</f>
        <v>show blot</v>
      </c>
      <c r="G484" t="s">
        <v>483</v>
      </c>
      <c r="I484" s="6">
        <v>1.3536277589855434</v>
      </c>
      <c r="K484" s="8"/>
    </row>
    <row r="485" spans="1:11" ht="15" x14ac:dyDescent="0.25">
      <c r="A485" s="3" t="str">
        <f>HYPERLINK("proteomic_fractions_linear_files/Yang_linear_img/169790945.jpg", "169790945")</f>
        <v>169790945</v>
      </c>
      <c r="C485" s="3" t="str">
        <f>HYPERLINK("http://www.ncbi.nlm.nih.gov/protein/169790945","Arhgap17")</f>
        <v>Arhgap17</v>
      </c>
      <c r="E485" t="str">
        <f>HYPERLINK("J:\Depot - mpkCCD Fractions\Main Web Page\Web Pages_old\proteomic_fractions_linear_files/Yang_linear_img/169790945.jpg","show blot")</f>
        <v>show blot</v>
      </c>
      <c r="G485" t="s">
        <v>484</v>
      </c>
      <c r="I485" s="6">
        <v>1.3536277589855434</v>
      </c>
      <c r="K485" s="8"/>
    </row>
    <row r="486" spans="1:11" ht="15" x14ac:dyDescent="0.25">
      <c r="A486" s="3" t="str">
        <f>HYPERLINK("proteomic_fractions_linear_files/Yang_linear_img/169790947.jpg", "169790947")</f>
        <v>169790947</v>
      </c>
      <c r="C486" s="3" t="str">
        <f>HYPERLINK("http://www.ncbi.nlm.nih.gov/protein/169790947","Arhgap17")</f>
        <v>Arhgap17</v>
      </c>
      <c r="E486" t="str">
        <f>HYPERLINK("J:\Depot - mpkCCD Fractions\Main Web Page\Web Pages_old\proteomic_fractions_linear_files/Yang_linear_img/169790947.jpg","show blot")</f>
        <v>show blot</v>
      </c>
      <c r="G486" t="s">
        <v>485</v>
      </c>
      <c r="I486" s="6">
        <v>1.3536277589855434</v>
      </c>
      <c r="K486" s="8"/>
    </row>
    <row r="487" spans="1:11" ht="15" x14ac:dyDescent="0.25">
      <c r="A487" s="3" t="str">
        <f>HYPERLINK("proteomic_fractions_linear_files/Yang_linear_img/33563313.jpg", "33563313")</f>
        <v>33563313</v>
      </c>
      <c r="C487" s="3" t="str">
        <f>HYPERLINK("http://www.ncbi.nlm.nih.gov/protein/33563313","Arhgap18")</f>
        <v>Arhgap18</v>
      </c>
      <c r="E487" t="str">
        <f>HYPERLINK("J:\Depot - mpkCCD Fractions\Main Web Page\Web Pages_old\proteomic_fractions_linear_files/Yang_linear_img/33563313.jpg","show blot")</f>
        <v>show blot</v>
      </c>
      <c r="G487" t="s">
        <v>486</v>
      </c>
      <c r="I487" s="6">
        <v>3.4457690517019057</v>
      </c>
      <c r="K487" s="8"/>
    </row>
    <row r="488" spans="1:11" ht="15" x14ac:dyDescent="0.25">
      <c r="A488" s="3" t="str">
        <f>HYPERLINK("proteomic_fractions_linear_files/Yang_linear_img/83582811.jpg", "83582811")</f>
        <v>83582811</v>
      </c>
      <c r="C488" s="3" t="str">
        <f>HYPERLINK("http://www.ncbi.nlm.nih.gov/protein/83582811","Arhgap25")</f>
        <v>Arhgap25</v>
      </c>
      <c r="E488" t="str">
        <f>HYPERLINK("J:\Depot - mpkCCD Fractions\Main Web Page\Web Pages_old\proteomic_fractions_linear_files/Yang_linear_img/83582811.jpg","show blot")</f>
        <v>show blot</v>
      </c>
      <c r="G488" t="s">
        <v>487</v>
      </c>
      <c r="I488" s="6">
        <v>2.5525465479556604</v>
      </c>
      <c r="K488" s="8"/>
    </row>
    <row r="489" spans="1:11" ht="15" x14ac:dyDescent="0.25">
      <c r="A489" s="3" t="str">
        <f>HYPERLINK("proteomic_fractions_linear_files/Yang_linear_img/83582813.jpg", "83582813")</f>
        <v>83582813</v>
      </c>
      <c r="C489" s="3" t="str">
        <f>HYPERLINK("http://www.ncbi.nlm.nih.gov/protein/83582813","Arhgap25")</f>
        <v>Arhgap25</v>
      </c>
      <c r="E489" t="str">
        <f>HYPERLINK("J:\Depot - mpkCCD Fractions\Main Web Page\Web Pages_old\proteomic_fractions_linear_files/Yang_linear_img/83582813.jpg","show blot")</f>
        <v>show blot</v>
      </c>
      <c r="G489" t="s">
        <v>488</v>
      </c>
      <c r="I489" s="6">
        <v>2.5525465479556604</v>
      </c>
      <c r="K489" s="8"/>
    </row>
    <row r="490" spans="1:11" ht="15" x14ac:dyDescent="0.25">
      <c r="A490" s="3" t="str">
        <f>HYPERLINK("proteomic_fractions_linear_files/Yang_linear_img/83776555.jpg", "83776555")</f>
        <v>83776555</v>
      </c>
      <c r="C490" s="3" t="str">
        <f>HYPERLINK("http://www.ncbi.nlm.nih.gov/protein/83776555","Arhgap27")</f>
        <v>Arhgap27</v>
      </c>
      <c r="E490" t="str">
        <f>HYPERLINK("J:\Depot - mpkCCD Fractions\Main Web Page\Web Pages_old\proteomic_fractions_linear_files/Yang_linear_img/83776555.jpg","show blot")</f>
        <v>show blot</v>
      </c>
      <c r="G490" t="s">
        <v>489</v>
      </c>
      <c r="I490" s="6">
        <v>4.6458007654217992</v>
      </c>
      <c r="K490" s="8"/>
    </row>
    <row r="491" spans="1:11" ht="15" x14ac:dyDescent="0.25">
      <c r="A491" s="3" t="str">
        <f>HYPERLINK("proteomic_fractions_linear_files/Yang_linear_img/118130870.jpg", "118130870")</f>
        <v>118130870</v>
      </c>
      <c r="C491" s="3" t="str">
        <f>HYPERLINK("http://www.ncbi.nlm.nih.gov/protein/118130870","Arhgap27")</f>
        <v>Arhgap27</v>
      </c>
      <c r="E491" t="str">
        <f>HYPERLINK("J:\Depot - mpkCCD Fractions\Main Web Page\Web Pages_old\proteomic_fractions_linear_files/Yang_linear_img/118130870.jpg","show blot")</f>
        <v>show blot</v>
      </c>
      <c r="G491" t="s">
        <v>490</v>
      </c>
      <c r="I491" s="6">
        <v>4.6458007654217992</v>
      </c>
      <c r="K491" s="8"/>
    </row>
    <row r="492" spans="1:11" ht="15" x14ac:dyDescent="0.25">
      <c r="A492" s="3" t="str">
        <f>HYPERLINK("proteomic_fractions_linear_files/Yang_linear_img/327412300.jpg", "327412300")</f>
        <v>327412300</v>
      </c>
      <c r="C492" s="3" t="str">
        <f>HYPERLINK("http://www.ncbi.nlm.nih.gov/protein/327412300","Arhgap27")</f>
        <v>Arhgap27</v>
      </c>
      <c r="E492" t="str">
        <f>HYPERLINK("J:\Depot - mpkCCD Fractions\Main Web Page\Web Pages_old\proteomic_fractions_linear_files/Yang_linear_img/327412300.jpg","show blot")</f>
        <v>show blot</v>
      </c>
      <c r="G492" t="s">
        <v>491</v>
      </c>
      <c r="I492" s="6">
        <v>4.6458007654217992</v>
      </c>
      <c r="K492" s="8"/>
    </row>
    <row r="493" spans="1:11" ht="15" x14ac:dyDescent="0.25">
      <c r="A493" s="3" t="str">
        <f>HYPERLINK("proteomic_fractions_linear_files/Yang_linear_img/33563303.jpg", "33563303")</f>
        <v>33563303</v>
      </c>
      <c r="C493" s="3" t="str">
        <f>HYPERLINK("http://www.ncbi.nlm.nih.gov/protein/33563303","Arhgap29")</f>
        <v>Arhgap29</v>
      </c>
      <c r="E493" t="str">
        <f>HYPERLINK("J:\Depot - mpkCCD Fractions\Main Web Page\Web Pages_old\proteomic_fractions_linear_files/Yang_linear_img/33563303.jpg","show blot")</f>
        <v>show blot</v>
      </c>
      <c r="G493" t="s">
        <v>492</v>
      </c>
      <c r="I493" s="6">
        <v>3.7875761816799898</v>
      </c>
      <c r="K493" s="8"/>
    </row>
    <row r="494" spans="1:11" ht="15" x14ac:dyDescent="0.25">
      <c r="A494" s="3" t="str">
        <f>HYPERLINK("proteomic_fractions_linear_files/Yang_linear_img/229608953.jpg", "229608953")</f>
        <v>229608953</v>
      </c>
      <c r="C494" s="3" t="str">
        <f>HYPERLINK("http://www.ncbi.nlm.nih.gov/protein/229608953","Arhgap30")</f>
        <v>Arhgap30</v>
      </c>
      <c r="E494" t="str">
        <f>HYPERLINK("J:\Depot - mpkCCD Fractions\Main Web Page\Web Pages_old\proteomic_fractions_linear_files/Yang_linear_img/229608953.jpg","show blot")</f>
        <v>show blot</v>
      </c>
      <c r="G494" t="s">
        <v>493</v>
      </c>
      <c r="I494" s="6">
        <v>3.8839260463178924</v>
      </c>
      <c r="K494" s="8"/>
    </row>
    <row r="495" spans="1:11" ht="15" x14ac:dyDescent="0.25">
      <c r="A495" s="3" t="str">
        <f>HYPERLINK("proteomic_fractions_linear_files/Yang_linear_img/30142699.jpg", "30142699")</f>
        <v>30142699</v>
      </c>
      <c r="C495" s="3" t="str">
        <f>HYPERLINK("http://www.ncbi.nlm.nih.gov/protein/30142699","Arhgap33")</f>
        <v>Arhgap33</v>
      </c>
      <c r="E495" t="str">
        <f>HYPERLINK("J:\Depot - mpkCCD Fractions\Main Web Page\Web Pages_old\proteomic_fractions_linear_files/Yang_linear_img/30142699.jpg","show blot")</f>
        <v>show blot</v>
      </c>
      <c r="G495" t="s">
        <v>494</v>
      </c>
      <c r="I495" s="6">
        <v>2.3843556396062597</v>
      </c>
      <c r="K495" s="8"/>
    </row>
    <row r="496" spans="1:11" ht="15" x14ac:dyDescent="0.25">
      <c r="A496" s="3" t="str">
        <f>HYPERLINK("proteomic_fractions_linear_files/Yang_linear_img/86262151.jpg", "86262151")</f>
        <v>86262151</v>
      </c>
      <c r="C496" s="3" t="str">
        <f>HYPERLINK("http://www.ncbi.nlm.nih.gov/protein/86262151","Arhgap5")</f>
        <v>Arhgap5</v>
      </c>
      <c r="E496" t="str">
        <f>HYPERLINK("J:\Depot - mpkCCD Fractions\Main Web Page\Web Pages_old\proteomic_fractions_linear_files/Yang_linear_img/86262151.jpg","show blot")</f>
        <v>show blot</v>
      </c>
      <c r="G496" t="s">
        <v>495</v>
      </c>
      <c r="I496" s="6">
        <v>4.0672405599216486</v>
      </c>
      <c r="K496" s="8"/>
    </row>
    <row r="497" spans="1:11" ht="15" x14ac:dyDescent="0.25">
      <c r="A497" s="3" t="str">
        <f>HYPERLINK("proteomic_fractions_linear_files/Yang_linear_img/31982030.jpg", "31982030")</f>
        <v>31982030</v>
      </c>
      <c r="C497" s="3" t="str">
        <f>HYPERLINK("http://www.ncbi.nlm.nih.gov/protein/31982030","Arhgdia")</f>
        <v>Arhgdia</v>
      </c>
      <c r="E497" t="str">
        <f>HYPERLINK("J:\Depot - mpkCCD Fractions\Main Web Page\Web Pages_old\proteomic_fractions_linear_files/Yang_linear_img/31982030.jpg","show blot")</f>
        <v>show blot</v>
      </c>
      <c r="G497" t="s">
        <v>496</v>
      </c>
      <c r="I497" s="6">
        <v>6.7317181873618326</v>
      </c>
      <c r="K497" s="8"/>
    </row>
    <row r="498" spans="1:11" ht="15" x14ac:dyDescent="0.25">
      <c r="A498" s="3" t="str">
        <f>HYPERLINK("proteomic_fractions_linear_files/Yang_linear_img/33563236.jpg", "33563236")</f>
        <v>33563236</v>
      </c>
      <c r="C498" s="3" t="str">
        <f>HYPERLINK("http://www.ncbi.nlm.nih.gov/protein/33563236","Arhgdib")</f>
        <v>Arhgdib</v>
      </c>
      <c r="E498" t="str">
        <f>HYPERLINK("J:\Depot - mpkCCD Fractions\Main Web Page\Web Pages_old\proteomic_fractions_linear_files/Yang_linear_img/33563236.jpg","show blot")</f>
        <v>show blot</v>
      </c>
      <c r="G498" t="s">
        <v>497</v>
      </c>
      <c r="I498" s="6">
        <v>5.7413215253353798</v>
      </c>
      <c r="K498" s="8"/>
    </row>
    <row r="499" spans="1:11" ht="15" x14ac:dyDescent="0.25">
      <c r="A499" s="3" t="str">
        <f>HYPERLINK("proteomic_fractions_linear_files/Yang_linear_img/194306547.jpg", "194306547")</f>
        <v>194306547</v>
      </c>
      <c r="C499" s="3" t="str">
        <f>HYPERLINK("http://www.ncbi.nlm.nih.gov/protein/194306547","Arhgef1")</f>
        <v>Arhgef1</v>
      </c>
      <c r="E499" t="str">
        <f>HYPERLINK("J:\Depot - mpkCCD Fractions\Main Web Page\Web Pages_old\proteomic_fractions_linear_files/Yang_linear_img/194306547.jpg","show blot")</f>
        <v>show blot</v>
      </c>
      <c r="G499" t="s">
        <v>498</v>
      </c>
      <c r="I499" s="6">
        <v>4.0630023209103143</v>
      </c>
      <c r="K499" s="8"/>
    </row>
    <row r="500" spans="1:11" ht="15" x14ac:dyDescent="0.25">
      <c r="A500" s="3" t="str">
        <f>HYPERLINK("proteomic_fractions_linear_files/Yang_linear_img/194306549.jpg", "194306549")</f>
        <v>194306549</v>
      </c>
      <c r="C500" s="3" t="str">
        <f>HYPERLINK("http://www.ncbi.nlm.nih.gov/protein/194306549","Arhgef1")</f>
        <v>Arhgef1</v>
      </c>
      <c r="E500" t="str">
        <f>HYPERLINK("J:\Depot - mpkCCD Fractions\Main Web Page\Web Pages_old\proteomic_fractions_linear_files/Yang_linear_img/194306549.jpg","show blot")</f>
        <v>show blot</v>
      </c>
      <c r="G500" t="s">
        <v>499</v>
      </c>
      <c r="I500" s="6">
        <v>4.0630023209103143</v>
      </c>
      <c r="K500" s="8"/>
    </row>
    <row r="501" spans="1:11" ht="15" x14ac:dyDescent="0.25">
      <c r="A501" s="3" t="str">
        <f>HYPERLINK("proteomic_fractions_linear_files/Yang_linear_img/194306551.jpg", "194306551")</f>
        <v>194306551</v>
      </c>
      <c r="C501" s="3" t="str">
        <f>HYPERLINK("http://www.ncbi.nlm.nih.gov/protein/194306551","Arhgef1")</f>
        <v>Arhgef1</v>
      </c>
      <c r="E501" t="str">
        <f>HYPERLINK("J:\Depot - mpkCCD Fractions\Main Web Page\Web Pages_old\proteomic_fractions_linear_files/Yang_linear_img/194306551.jpg","show blot")</f>
        <v>show blot</v>
      </c>
      <c r="G501" t="s">
        <v>500</v>
      </c>
      <c r="I501" s="6">
        <v>4.0630023209103143</v>
      </c>
      <c r="K501" s="8"/>
    </row>
    <row r="502" spans="1:11" ht="15" x14ac:dyDescent="0.25">
      <c r="A502" s="3" t="str">
        <f>HYPERLINK("proteomic_fractions_linear_files/Yang_linear_img/6678668.jpg", "6678668")</f>
        <v>6678668</v>
      </c>
      <c r="C502" s="3" t="str">
        <f>HYPERLINK("http://www.ncbi.nlm.nih.gov/protein/6678668","Arhgef1")</f>
        <v>Arhgef1</v>
      </c>
      <c r="E502" t="str">
        <f>HYPERLINK("J:\Depot - mpkCCD Fractions\Main Web Page\Web Pages_old\proteomic_fractions_linear_files/Yang_linear_img/6678668.jpg","show blot")</f>
        <v>show blot</v>
      </c>
      <c r="G502" t="s">
        <v>501</v>
      </c>
      <c r="I502" s="6">
        <v>4.0630023209103143</v>
      </c>
      <c r="K502" s="8"/>
    </row>
    <row r="503" spans="1:11" ht="15" x14ac:dyDescent="0.25">
      <c r="A503" s="3" t="str">
        <f>HYPERLINK("proteomic_fractions_linear_files/Yang_linear_img/111378383.jpg", "111378383")</f>
        <v>111378383</v>
      </c>
      <c r="C503" s="3" t="str">
        <f>HYPERLINK("http://www.ncbi.nlm.nih.gov/protein/111378383","Arhgef10")</f>
        <v>Arhgef10</v>
      </c>
      <c r="E503" t="str">
        <f>HYPERLINK("J:\Depot - mpkCCD Fractions\Main Web Page\Web Pages_old\proteomic_fractions_linear_files/Yang_linear_img/111378383.jpg","show blot")</f>
        <v>show blot</v>
      </c>
      <c r="G503" t="s">
        <v>502</v>
      </c>
      <c r="I503" s="6">
        <v>2.7152978555939806</v>
      </c>
      <c r="K503" s="8"/>
    </row>
    <row r="504" spans="1:11" ht="15" x14ac:dyDescent="0.25">
      <c r="A504" s="3" t="str">
        <f>HYPERLINK("proteomic_fractions_linear_files/Yang_linear_img/111378388.jpg", "111378388")</f>
        <v>111378388</v>
      </c>
      <c r="C504" s="3" t="str">
        <f>HYPERLINK("http://www.ncbi.nlm.nih.gov/protein/111378388","Arhgef10")</f>
        <v>Arhgef10</v>
      </c>
      <c r="E504" t="str">
        <f>HYPERLINK("J:\Depot - mpkCCD Fractions\Main Web Page\Web Pages_old\proteomic_fractions_linear_files/Yang_linear_img/111378388.jpg","show blot")</f>
        <v>show blot</v>
      </c>
      <c r="G504" t="s">
        <v>503</v>
      </c>
      <c r="I504" s="6">
        <v>2.7152978555939806</v>
      </c>
      <c r="K504" s="8"/>
    </row>
    <row r="505" spans="1:11" ht="15" x14ac:dyDescent="0.25">
      <c r="A505" s="3" t="str">
        <f>HYPERLINK("proteomic_fractions_linear_files/Yang_linear_img/163310755.jpg", "163310755")</f>
        <v>163310755</v>
      </c>
      <c r="C505" s="3" t="str">
        <f>HYPERLINK("http://www.ncbi.nlm.nih.gov/protein/163310755","Arhgef10l")</f>
        <v>Arhgef10l</v>
      </c>
      <c r="E505" t="str">
        <f>HYPERLINK("J:\Depot - mpkCCD Fractions\Main Web Page\Web Pages_old\proteomic_fractions_linear_files/Yang_linear_img/163310755.jpg","show blot")</f>
        <v>show blot</v>
      </c>
      <c r="G505" t="s">
        <v>504</v>
      </c>
      <c r="I505" s="6">
        <v>4.0324051290825738</v>
      </c>
      <c r="K505" s="8"/>
    </row>
    <row r="506" spans="1:11" ht="15" x14ac:dyDescent="0.25">
      <c r="A506" s="3" t="str">
        <f>HYPERLINK("proteomic_fractions_linear_files/Yang_linear_img/163310757.jpg", "163310757")</f>
        <v>163310757</v>
      </c>
      <c r="C506" s="3" t="str">
        <f>HYPERLINK("http://www.ncbi.nlm.nih.gov/protein/163310757","Arhgef10l")</f>
        <v>Arhgef10l</v>
      </c>
      <c r="E506" t="str">
        <f>HYPERLINK("J:\Depot - mpkCCD Fractions\Main Web Page\Web Pages_old\proteomic_fractions_linear_files/Yang_linear_img/163310757.jpg","show blot")</f>
        <v>show blot</v>
      </c>
      <c r="G506" t="s">
        <v>505</v>
      </c>
      <c r="I506" s="6">
        <v>4.0324051290825738</v>
      </c>
      <c r="K506" s="8"/>
    </row>
    <row r="507" spans="1:11" ht="15" x14ac:dyDescent="0.25">
      <c r="A507" s="3" t="str">
        <f>HYPERLINK("proteomic_fractions_linear_files/Yang_linear_img/163310759.jpg", "163310759")</f>
        <v>163310759</v>
      </c>
      <c r="C507" s="3" t="str">
        <f>HYPERLINK("http://www.ncbi.nlm.nih.gov/protein/163310759","Arhgef10l")</f>
        <v>Arhgef10l</v>
      </c>
      <c r="E507" t="str">
        <f>HYPERLINK("J:\Depot - mpkCCD Fractions\Main Web Page\Web Pages_old\proteomic_fractions_linear_files/Yang_linear_img/163310759.jpg","show blot")</f>
        <v>show blot</v>
      </c>
      <c r="G507" t="s">
        <v>506</v>
      </c>
      <c r="I507" s="6">
        <v>4.0324051290825738</v>
      </c>
      <c r="K507" s="8"/>
    </row>
    <row r="508" spans="1:11" ht="15" x14ac:dyDescent="0.25">
      <c r="A508" s="3" t="str">
        <f>HYPERLINK("proteomic_fractions_linear_files/Yang_linear_img/51491850.jpg", "51491850")</f>
        <v>51491850</v>
      </c>
      <c r="C508" s="3" t="str">
        <f>HYPERLINK("http://www.ncbi.nlm.nih.gov/protein/51491850","Arhgef11")</f>
        <v>Arhgef11</v>
      </c>
      <c r="E508" t="str">
        <f>HYPERLINK("J:\Depot - mpkCCD Fractions\Main Web Page\Web Pages_old\proteomic_fractions_linear_files/Yang_linear_img/51491850.jpg","show blot")</f>
        <v>show blot</v>
      </c>
      <c r="G508" t="s">
        <v>507</v>
      </c>
      <c r="I508" s="6">
        <v>3.1093908124833423</v>
      </c>
      <c r="K508" s="8"/>
    </row>
    <row r="509" spans="1:11" ht="15" x14ac:dyDescent="0.25">
      <c r="A509" s="3" t="str">
        <f>HYPERLINK("proteomic_fractions_linear_files/Yang_linear_img/145046273.jpg", "145046273")</f>
        <v>145046273</v>
      </c>
      <c r="C509" s="3" t="str">
        <f>HYPERLINK("http://www.ncbi.nlm.nih.gov/protein/145046273","Arhgef12")</f>
        <v>Arhgef12</v>
      </c>
      <c r="E509" t="str">
        <f>HYPERLINK("J:\Depot - mpkCCD Fractions\Main Web Page\Web Pages_old\proteomic_fractions_linear_files/Yang_linear_img/145046273.jpg","show blot")</f>
        <v>show blot</v>
      </c>
      <c r="G509" t="s">
        <v>508</v>
      </c>
      <c r="I509" s="6">
        <v>3.8818366789940026</v>
      </c>
      <c r="K509" s="8"/>
    </row>
    <row r="510" spans="1:11" ht="15" x14ac:dyDescent="0.25">
      <c r="A510" s="3" t="str">
        <f>HYPERLINK("proteomic_fractions_linear_files/Yang_linear_img/163838664.jpg", "163838664")</f>
        <v>163838664</v>
      </c>
      <c r="C510" s="3" t="str">
        <f>HYPERLINK("http://www.ncbi.nlm.nih.gov/protein/163838664","Arhgef16")</f>
        <v>Arhgef16</v>
      </c>
      <c r="E510" t="str">
        <f>HYPERLINK("J:\Depot - mpkCCD Fractions\Main Web Page\Web Pages_old\proteomic_fractions_linear_files/Yang_linear_img/163838664.jpg","show blot")</f>
        <v>show blot</v>
      </c>
      <c r="G510" t="s">
        <v>509</v>
      </c>
      <c r="I510" s="6">
        <v>4.2438425367898134</v>
      </c>
      <c r="K510" s="8"/>
    </row>
    <row r="511" spans="1:11" ht="15" x14ac:dyDescent="0.25">
      <c r="A511" s="3" t="str">
        <f>HYPERLINK("proteomic_fractions_linear_files/Yang_linear_img/41056261.jpg", "41056261")</f>
        <v>41056261</v>
      </c>
      <c r="C511" s="3" t="str">
        <f>HYPERLINK("http://www.ncbi.nlm.nih.gov/protein/41056261","Arhgef18")</f>
        <v>Arhgef18</v>
      </c>
      <c r="E511" t="str">
        <f>HYPERLINK("J:\Depot - mpkCCD Fractions\Main Web Page\Web Pages_old\proteomic_fractions_linear_files/Yang_linear_img/41056261.jpg","show blot")</f>
        <v>show blot</v>
      </c>
      <c r="G511" t="s">
        <v>510</v>
      </c>
      <c r="I511" s="6">
        <v>3.3579737005658821</v>
      </c>
      <c r="K511" s="8"/>
    </row>
    <row r="512" spans="1:11" ht="15" x14ac:dyDescent="0.25">
      <c r="A512" s="3" t="str">
        <f>HYPERLINK("proteomic_fractions_linear_files/Yang_linear_img/170650647.jpg", "170650647")</f>
        <v>170650647</v>
      </c>
      <c r="C512" s="3" t="str">
        <f>HYPERLINK("http://www.ncbi.nlm.nih.gov/protein/170650647","Arhgef2")</f>
        <v>Arhgef2</v>
      </c>
      <c r="E512" t="str">
        <f>HYPERLINK("J:\Depot - mpkCCD Fractions\Main Web Page\Web Pages_old\proteomic_fractions_linear_files/Yang_linear_img/170650647.jpg","show blot")</f>
        <v>show blot</v>
      </c>
      <c r="G512" t="s">
        <v>511</v>
      </c>
      <c r="I512" s="6">
        <v>5.015886083695376</v>
      </c>
      <c r="K512" s="8"/>
    </row>
    <row r="513" spans="1:11" ht="15" x14ac:dyDescent="0.25">
      <c r="A513" s="3" t="str">
        <f>HYPERLINK("proteomic_fractions_linear_files/Yang_linear_img/312032458.jpg", "312032458")</f>
        <v>312032458</v>
      </c>
      <c r="C513" s="3" t="str">
        <f>HYPERLINK("http://www.ncbi.nlm.nih.gov/protein/312032458","Arhgef2")</f>
        <v>Arhgef2</v>
      </c>
      <c r="E513" t="str">
        <f>HYPERLINK("J:\Depot - mpkCCD Fractions\Main Web Page\Web Pages_old\proteomic_fractions_linear_files/Yang_linear_img/312032458.jpg","show blot")</f>
        <v>show blot</v>
      </c>
      <c r="G513" t="s">
        <v>512</v>
      </c>
      <c r="I513" s="6">
        <v>5.015886083695376</v>
      </c>
      <c r="K513" s="8"/>
    </row>
    <row r="514" spans="1:11" ht="15" x14ac:dyDescent="0.25">
      <c r="A514" s="3" t="str">
        <f>HYPERLINK("proteomic_fractions_linear_files/Yang_linear_img/312032460.jpg", "312032460")</f>
        <v>312032460</v>
      </c>
      <c r="C514" s="3" t="str">
        <f>HYPERLINK("http://www.ncbi.nlm.nih.gov/protein/312032460","Arhgef2")</f>
        <v>Arhgef2</v>
      </c>
      <c r="E514" t="str">
        <f>HYPERLINK("J:\Depot - mpkCCD Fractions\Main Web Page\Web Pages_old\proteomic_fractions_linear_files/Yang_linear_img/312032460.jpg","show blot")</f>
        <v>show blot</v>
      </c>
      <c r="G514" t="s">
        <v>513</v>
      </c>
      <c r="I514" s="6">
        <v>5.015886083695376</v>
      </c>
      <c r="K514" s="8"/>
    </row>
    <row r="515" spans="1:11" ht="15" x14ac:dyDescent="0.25">
      <c r="A515" s="3" t="str">
        <f>HYPERLINK("proteomic_fractions_linear_files/Yang_linear_img/312032462.jpg", "312032462")</f>
        <v>312032462</v>
      </c>
      <c r="C515" s="3" t="str">
        <f>HYPERLINK("http://www.ncbi.nlm.nih.gov/protein/312032462","Arhgef2")</f>
        <v>Arhgef2</v>
      </c>
      <c r="E515" t="str">
        <f>HYPERLINK("J:\Depot - mpkCCD Fractions\Main Web Page\Web Pages_old\proteomic_fractions_linear_files/Yang_linear_img/312032462.jpg","show blot")</f>
        <v>show blot</v>
      </c>
      <c r="G515" t="s">
        <v>514</v>
      </c>
      <c r="I515" s="6">
        <v>5.015886083695376</v>
      </c>
      <c r="K515" s="8"/>
    </row>
    <row r="516" spans="1:11" ht="15" x14ac:dyDescent="0.25">
      <c r="A516" s="3" t="str">
        <f>HYPERLINK("proteomic_fractions_linear_files/Yang_linear_img/123702010.jpg", "123702010")</f>
        <v>123702010</v>
      </c>
      <c r="C516" s="3" t="str">
        <f>HYPERLINK("http://www.ncbi.nlm.nih.gov/protein/123702010","Arhgef28")</f>
        <v>Arhgef28</v>
      </c>
      <c r="E516" t="str">
        <f>HYPERLINK("J:\Depot - mpkCCD Fractions\Main Web Page\Web Pages_old\proteomic_fractions_linear_files/Yang_linear_img/123702010.jpg","show blot")</f>
        <v>show blot</v>
      </c>
      <c r="G516" t="s">
        <v>515</v>
      </c>
      <c r="I516" s="6">
        <v>3.7400212853174857</v>
      </c>
      <c r="K516" s="8"/>
    </row>
    <row r="517" spans="1:11" ht="15" x14ac:dyDescent="0.25">
      <c r="A517" s="3" t="str">
        <f>HYPERLINK("proteomic_fractions_linear_files/Yang_linear_img/160333547.jpg", "160333547")</f>
        <v>160333547</v>
      </c>
      <c r="C517" s="3" t="str">
        <f>HYPERLINK("http://www.ncbi.nlm.nih.gov/protein/160333547","Arhgef37")</f>
        <v>Arhgef37</v>
      </c>
      <c r="E517" t="str">
        <f>HYPERLINK("J:\Depot - mpkCCD Fractions\Main Web Page\Web Pages_old\proteomic_fractions_linear_files/Yang_linear_img/160333547.jpg","show blot")</f>
        <v>show blot</v>
      </c>
      <c r="G517" t="s">
        <v>516</v>
      </c>
      <c r="I517" s="6">
        <v>2.73292529407601</v>
      </c>
      <c r="K517" s="8"/>
    </row>
    <row r="518" spans="1:11" ht="15" x14ac:dyDescent="0.25">
      <c r="A518" s="3" t="str">
        <f>HYPERLINK("proteomic_fractions_linear_files/Yang_linear_img/56699448.jpg", "56699448")</f>
        <v>56699448</v>
      </c>
      <c r="C518" s="3" t="str">
        <f>HYPERLINK("http://www.ncbi.nlm.nih.gov/protein/56699448","Arhgef4")</f>
        <v>Arhgef4</v>
      </c>
      <c r="E518" t="str">
        <f>HYPERLINK("J:\Depot - mpkCCD Fractions\Main Web Page\Web Pages_old\proteomic_fractions_linear_files/Yang_linear_img/56699448.jpg","show blot")</f>
        <v>show blot</v>
      </c>
      <c r="G518" t="s">
        <v>517</v>
      </c>
      <c r="I518" s="6">
        <v>2.1376649878921699</v>
      </c>
      <c r="K518" s="8"/>
    </row>
    <row r="519" spans="1:11" ht="15" x14ac:dyDescent="0.25">
      <c r="A519" s="3" t="str">
        <f>HYPERLINK("proteomic_fractions_linear_files/Yang_linear_img/110625819.jpg", "110625819")</f>
        <v>110625819</v>
      </c>
      <c r="C519" s="3" t="str">
        <f>HYPERLINK("http://www.ncbi.nlm.nih.gov/protein/110625819","Arhgef40")</f>
        <v>Arhgef40</v>
      </c>
      <c r="E519" t="str">
        <f>HYPERLINK("J:\Depot - mpkCCD Fractions\Main Web Page\Web Pages_old\proteomic_fractions_linear_files/Yang_linear_img/110625819.jpg","show blot")</f>
        <v>show blot</v>
      </c>
      <c r="G519" t="s">
        <v>518</v>
      </c>
      <c r="I519" s="6">
        <v>2.3499934743304491</v>
      </c>
      <c r="K519" s="8"/>
    </row>
    <row r="520" spans="1:11" ht="15" x14ac:dyDescent="0.25">
      <c r="A520" s="3" t="str">
        <f>HYPERLINK("proteomic_fractions_linear_files/Yang_linear_img/225543507.jpg", "225543507")</f>
        <v>225543507</v>
      </c>
      <c r="C520" s="3" t="str">
        <f>HYPERLINK("http://www.ncbi.nlm.nih.gov/protein/225543507","Arhgef40")</f>
        <v>Arhgef40</v>
      </c>
      <c r="E520" t="str">
        <f>HYPERLINK("J:\Depot - mpkCCD Fractions\Main Web Page\Web Pages_old\proteomic_fractions_linear_files/Yang_linear_img/225543507.jpg","show blot")</f>
        <v>show blot</v>
      </c>
      <c r="G520" t="s">
        <v>519</v>
      </c>
      <c r="I520" s="6">
        <v>2.3499934743304491</v>
      </c>
      <c r="K520" s="8"/>
    </row>
    <row r="521" spans="1:11" ht="15" x14ac:dyDescent="0.25">
      <c r="A521" s="3" t="str">
        <f>HYPERLINK("proteomic_fractions_linear_files/Yang_linear_img/225543509.jpg", "225543509")</f>
        <v>225543509</v>
      </c>
      <c r="C521" s="3" t="str">
        <f>HYPERLINK("http://www.ncbi.nlm.nih.gov/protein/225543509","Arhgef40")</f>
        <v>Arhgef40</v>
      </c>
      <c r="E521" t="str">
        <f>HYPERLINK("J:\Depot - mpkCCD Fractions\Main Web Page\Web Pages_old\proteomic_fractions_linear_files/Yang_linear_img/225543509.jpg","show blot")</f>
        <v>show blot</v>
      </c>
      <c r="G521" t="s">
        <v>520</v>
      </c>
      <c r="I521" s="6">
        <v>2.3499934743304491</v>
      </c>
      <c r="K521" s="8"/>
    </row>
    <row r="522" spans="1:11" ht="15" x14ac:dyDescent="0.25">
      <c r="A522" s="3" t="str">
        <f>HYPERLINK("proteomic_fractions_linear_files/Yang_linear_img/169234803.jpg", "169234803")</f>
        <v>169234803</v>
      </c>
      <c r="C522" s="3" t="str">
        <f>HYPERLINK("http://www.ncbi.nlm.nih.gov/protein/169234803","Arhgef5")</f>
        <v>Arhgef5</v>
      </c>
      <c r="E522" t="str">
        <f>HYPERLINK("J:\Depot - mpkCCD Fractions\Main Web Page\Web Pages_old\proteomic_fractions_linear_files/Yang_linear_img/169234803.jpg","show blot")</f>
        <v>show blot</v>
      </c>
      <c r="G522" t="s">
        <v>521</v>
      </c>
      <c r="I522" s="6">
        <v>2.448077173445943</v>
      </c>
      <c r="K522" s="8"/>
    </row>
    <row r="523" spans="1:11" ht="15" x14ac:dyDescent="0.25">
      <c r="A523" s="3" t="str">
        <f>HYPERLINK("proteomic_fractions_linear_files/Yang_linear_img/270132620.jpg", "270132620")</f>
        <v>270132620</v>
      </c>
      <c r="C523" s="3" t="str">
        <f>HYPERLINK("http://www.ncbi.nlm.nih.gov/protein/270132620","Arhgef6")</f>
        <v>Arhgef6</v>
      </c>
      <c r="E523" t="str">
        <f>HYPERLINK("J:\Depot - mpkCCD Fractions\Main Web Page\Web Pages_old\proteomic_fractions_linear_files/Yang_linear_img/270132620.jpg","show blot")</f>
        <v>show blot</v>
      </c>
      <c r="G523" t="s">
        <v>522</v>
      </c>
      <c r="I523" s="6">
        <v>4.0616139453289541</v>
      </c>
      <c r="K523" s="8"/>
    </row>
    <row r="524" spans="1:11" ht="15" x14ac:dyDescent="0.25">
      <c r="A524" s="3" t="str">
        <f>HYPERLINK("proteomic_fractions_linear_files/Yang_linear_img/165377085.jpg", "165377085")</f>
        <v>165377085</v>
      </c>
      <c r="C524" s="3" t="str">
        <f>HYPERLINK("http://www.ncbi.nlm.nih.gov/protein/165377085","Arhgef7")</f>
        <v>Arhgef7</v>
      </c>
      <c r="E524" t="str">
        <f>HYPERLINK("J:\Depot - mpkCCD Fractions\Main Web Page\Web Pages_old\proteomic_fractions_linear_files/Yang_linear_img/165377085.jpg","show blot")</f>
        <v>show blot</v>
      </c>
      <c r="G524" t="s">
        <v>523</v>
      </c>
      <c r="I524" s="6">
        <v>4.5654227943268815</v>
      </c>
      <c r="K524" s="8"/>
    </row>
    <row r="525" spans="1:11" ht="15" x14ac:dyDescent="0.25">
      <c r="A525" s="3" t="str">
        <f>HYPERLINK("proteomic_fractions_linear_files/Yang_linear_img/165377089.jpg", "165377089")</f>
        <v>165377089</v>
      </c>
      <c r="C525" s="3" t="str">
        <f>HYPERLINK("http://www.ncbi.nlm.nih.gov/protein/165377089","Arhgef7")</f>
        <v>Arhgef7</v>
      </c>
      <c r="E525" t="str">
        <f>HYPERLINK("J:\Depot - mpkCCD Fractions\Main Web Page\Web Pages_old\proteomic_fractions_linear_files/Yang_linear_img/165377089.jpg","show blot")</f>
        <v>show blot</v>
      </c>
      <c r="G525" t="s">
        <v>524</v>
      </c>
      <c r="I525" s="6">
        <v>4.5654227943268815</v>
      </c>
      <c r="K525" s="8"/>
    </row>
    <row r="526" spans="1:11" ht="15" x14ac:dyDescent="0.25">
      <c r="A526" s="3" t="str">
        <f>HYPERLINK("proteomic_fractions_linear_files/Yang_linear_img/31980859.jpg", "31980859")</f>
        <v>31980859</v>
      </c>
      <c r="C526" s="3" t="str">
        <f>HYPERLINK("http://www.ncbi.nlm.nih.gov/protein/31980859","Arhgef7")</f>
        <v>Arhgef7</v>
      </c>
      <c r="E526" t="str">
        <f>HYPERLINK("J:\Depot - mpkCCD Fractions\Main Web Page\Web Pages_old\proteomic_fractions_linear_files/Yang_linear_img/31980859.jpg","show blot")</f>
        <v>show blot</v>
      </c>
      <c r="G526" t="s">
        <v>525</v>
      </c>
      <c r="I526" s="6">
        <v>4.5654227943268815</v>
      </c>
      <c r="K526" s="8"/>
    </row>
    <row r="527" spans="1:11" ht="15" x14ac:dyDescent="0.25">
      <c r="A527" s="3" t="str">
        <f>HYPERLINK("proteomic_fractions_linear_files/Yang_linear_img/84370312.jpg", "84370312")</f>
        <v>84370312</v>
      </c>
      <c r="C527" s="3" t="str">
        <f>HYPERLINK("http://www.ncbi.nlm.nih.gov/protein/84370312","Arhgef9")</f>
        <v>Arhgef9</v>
      </c>
      <c r="E527" t="str">
        <f>HYPERLINK("J:\Depot - mpkCCD Fractions\Main Web Page\Web Pages_old\proteomic_fractions_linear_files/Yang_linear_img/84370312.jpg","show blot")</f>
        <v>show blot</v>
      </c>
      <c r="G527" t="s">
        <v>526</v>
      </c>
      <c r="I527" s="6">
        <v>2.1082100085538942</v>
      </c>
      <c r="K527" s="8"/>
    </row>
    <row r="528" spans="1:11" ht="15" x14ac:dyDescent="0.25">
      <c r="A528" s="3" t="str">
        <f>HYPERLINK("proteomic_fractions_linear_files/Yang_linear_img/124249109.jpg", "124249109")</f>
        <v>124249109</v>
      </c>
      <c r="C528" s="3" t="str">
        <f>HYPERLINK("http://www.ncbi.nlm.nih.gov/protein/124249109","Arid1a")</f>
        <v>Arid1a</v>
      </c>
      <c r="E528" t="str">
        <f>HYPERLINK("J:\Depot - mpkCCD Fractions\Main Web Page\Web Pages_old\proteomic_fractions_linear_files/Yang_linear_img/124249109.jpg","show blot")</f>
        <v>show blot</v>
      </c>
      <c r="G528" t="s">
        <v>527</v>
      </c>
      <c r="I528" s="6">
        <v>4.8031185711598781</v>
      </c>
      <c r="K528" s="8"/>
    </row>
    <row r="529" spans="1:11" ht="15" x14ac:dyDescent="0.25">
      <c r="A529" s="3" t="str">
        <f>HYPERLINK("proteomic_fractions_linear_files/Yang_linear_img/163954953.jpg", "163954953")</f>
        <v>163954953</v>
      </c>
      <c r="C529" s="3" t="str">
        <f>HYPERLINK("http://www.ncbi.nlm.nih.gov/protein/163954953","Arih1")</f>
        <v>Arih1</v>
      </c>
      <c r="E529" t="str">
        <f>HYPERLINK("J:\Depot - mpkCCD Fractions\Main Web Page\Web Pages_old\proteomic_fractions_linear_files/Yang_linear_img/163954953.jpg","show blot")</f>
        <v>show blot</v>
      </c>
      <c r="G529" t="s">
        <v>528</v>
      </c>
      <c r="I529" s="6">
        <v>4.6368423007202049</v>
      </c>
      <c r="K529" s="8"/>
    </row>
    <row r="530" spans="1:11" ht="15" x14ac:dyDescent="0.25">
      <c r="A530" s="3" t="str">
        <f>HYPERLINK("proteomic_fractions_linear_files/Yang_linear_img/6753118.jpg", "6753118")</f>
        <v>6753118</v>
      </c>
      <c r="C530" s="3" t="str">
        <f>HYPERLINK("http://www.ncbi.nlm.nih.gov/protein/6753118","Arih2")</f>
        <v>Arih2</v>
      </c>
      <c r="E530" t="str">
        <f>HYPERLINK("J:\Depot - mpkCCD Fractions\Main Web Page\Web Pages_old\proteomic_fractions_linear_files/Yang_linear_img/6753118.jpg","show blot")</f>
        <v>show blot</v>
      </c>
      <c r="G530" t="s">
        <v>529</v>
      </c>
      <c r="I530" s="6">
        <v>4.1877433286371044</v>
      </c>
      <c r="K530" s="8"/>
    </row>
    <row r="531" spans="1:11" ht="15" x14ac:dyDescent="0.25">
      <c r="A531" s="3" t="str">
        <f>HYPERLINK("proteomic_fractions_linear_files/Yang_linear_img/153792526.jpg", "153792526")</f>
        <v>153792526</v>
      </c>
      <c r="C531" s="3" t="str">
        <f>HYPERLINK("http://www.ncbi.nlm.nih.gov/protein/153792526","Arl1")</f>
        <v>Arl1</v>
      </c>
      <c r="E531" t="str">
        <f>HYPERLINK("J:\Depot - mpkCCD Fractions\Main Web Page\Web Pages_old\proteomic_fractions_linear_files/Yang_linear_img/153792526.jpg","show blot")</f>
        <v>show blot</v>
      </c>
      <c r="G531" t="s">
        <v>530</v>
      </c>
      <c r="I531" s="6">
        <v>5.8595333243504601</v>
      </c>
      <c r="K531" s="8"/>
    </row>
    <row r="532" spans="1:11" ht="15" x14ac:dyDescent="0.25">
      <c r="A532" s="3" t="str">
        <f>HYPERLINK("proteomic_fractions_linear_files/Yang_linear_img/255683326.jpg", "255683326")</f>
        <v>255683326</v>
      </c>
      <c r="C532" s="3" t="str">
        <f>HYPERLINK("http://www.ncbi.nlm.nih.gov/protein/255683326","Arl13b")</f>
        <v>Arl13b</v>
      </c>
      <c r="E532" t="str">
        <f>HYPERLINK("J:\Depot - mpkCCD Fractions\Main Web Page\Web Pages_old\proteomic_fractions_linear_files/Yang_linear_img/255683326.jpg","show blot")</f>
        <v>show blot</v>
      </c>
      <c r="G532" t="s">
        <v>531</v>
      </c>
      <c r="I532" s="6">
        <v>1.8765065042658811</v>
      </c>
      <c r="K532" s="8"/>
    </row>
    <row r="533" spans="1:11" ht="15" x14ac:dyDescent="0.25">
      <c r="A533" s="3" t="str">
        <f>HYPERLINK("proteomic_fractions_linear_files/Yang_linear_img/27369856.jpg", "27369856")</f>
        <v>27369856</v>
      </c>
      <c r="C533" s="3" t="str">
        <f>HYPERLINK("http://www.ncbi.nlm.nih.gov/protein/27369856","Arl15")</f>
        <v>Arl15</v>
      </c>
      <c r="E533" t="str">
        <f>HYPERLINK("J:\Depot - mpkCCD Fractions\Main Web Page\Web Pages_old\proteomic_fractions_linear_files/Yang_linear_img/27369856.jpg","show blot")</f>
        <v>show blot</v>
      </c>
      <c r="G533" t="s">
        <v>532</v>
      </c>
      <c r="I533" s="6">
        <v>4.6939010646562602</v>
      </c>
      <c r="K533" s="8"/>
    </row>
    <row r="534" spans="1:11" ht="15" x14ac:dyDescent="0.25">
      <c r="A534" s="3" t="str">
        <f>HYPERLINK("proteomic_fractions_linear_files/Yang_linear_img/31980988.jpg", "31980988")</f>
        <v>31980988</v>
      </c>
      <c r="C534" s="3" t="str">
        <f>HYPERLINK("http://www.ncbi.nlm.nih.gov/protein/31980988","Arl2")</f>
        <v>Arl2</v>
      </c>
      <c r="E534" t="str">
        <f>HYPERLINK("J:\Depot - mpkCCD Fractions\Main Web Page\Web Pages_old\proteomic_fractions_linear_files/Yang_linear_img/31980988.jpg","show blot")</f>
        <v>show blot</v>
      </c>
      <c r="G534" t="s">
        <v>533</v>
      </c>
      <c r="I534" s="6">
        <v>5.5519564334655733</v>
      </c>
      <c r="K534" s="8"/>
    </row>
    <row r="535" spans="1:11" ht="15" x14ac:dyDescent="0.25">
      <c r="A535" s="3" t="str">
        <f>HYPERLINK("proteomic_fractions_linear_files/Yang_linear_img/18859591.jpg", "18859591")</f>
        <v>18859591</v>
      </c>
      <c r="C535" s="3" t="str">
        <f>HYPERLINK("http://www.ncbi.nlm.nih.gov/protein/18859591","Arl2bp")</f>
        <v>Arl2bp</v>
      </c>
      <c r="E535" t="str">
        <f>HYPERLINK("J:\Depot - mpkCCD Fractions\Main Web Page\Web Pages_old\proteomic_fractions_linear_files/Yang_linear_img/18859591.jpg","show blot")</f>
        <v>show blot</v>
      </c>
      <c r="G535" t="s">
        <v>534</v>
      </c>
      <c r="I535" s="6">
        <v>4.5894079696730277</v>
      </c>
      <c r="K535" s="8"/>
    </row>
    <row r="536" spans="1:11" ht="15" x14ac:dyDescent="0.25">
      <c r="A536" s="3" t="str">
        <f>HYPERLINK("proteomic_fractions_linear_files/Yang_linear_img/30348958.jpg", "30348958")</f>
        <v>30348958</v>
      </c>
      <c r="C536" s="3" t="str">
        <f>HYPERLINK("http://www.ncbi.nlm.nih.gov/protein/30348958","Arl2bp")</f>
        <v>Arl2bp</v>
      </c>
      <c r="E536" t="str">
        <f>HYPERLINK("J:\Depot - mpkCCD Fractions\Main Web Page\Web Pages_old\proteomic_fractions_linear_files/Yang_linear_img/30348958.jpg","show blot")</f>
        <v>show blot</v>
      </c>
      <c r="G536" t="s">
        <v>535</v>
      </c>
      <c r="I536" s="6">
        <v>4.5894079696730277</v>
      </c>
      <c r="K536" s="8"/>
    </row>
    <row r="537" spans="1:11" ht="15" x14ac:dyDescent="0.25">
      <c r="A537" s="3" t="str">
        <f>HYPERLINK("proteomic_fractions_linear_files/Yang_linear_img/9789881.jpg", "9789881")</f>
        <v>9789881</v>
      </c>
      <c r="C537" s="3" t="str">
        <f>HYPERLINK("http://www.ncbi.nlm.nih.gov/protein/9789881","Arl3")</f>
        <v>Arl3</v>
      </c>
      <c r="E537" t="str">
        <f>HYPERLINK("J:\Depot - mpkCCD Fractions\Main Web Page\Web Pages_old\proteomic_fractions_linear_files/Yang_linear_img/9789881.jpg","show blot")</f>
        <v>show blot</v>
      </c>
      <c r="G537" t="s">
        <v>536</v>
      </c>
      <c r="I537" s="6">
        <v>5.918406060349148</v>
      </c>
      <c r="K537" s="8"/>
    </row>
    <row r="538" spans="1:11" ht="15" x14ac:dyDescent="0.25">
      <c r="A538" s="3" t="str">
        <f>HYPERLINK("proteomic_fractions_linear_files/Yang_linear_img/113462000.jpg", "113462000")</f>
        <v>113462000</v>
      </c>
      <c r="C538" s="3" t="str">
        <f>HYPERLINK("http://www.ncbi.nlm.nih.gov/protein/113462000","Arl4c")</f>
        <v>Arl4c</v>
      </c>
      <c r="E538" t="str">
        <f>HYPERLINK("J:\Depot - mpkCCD Fractions\Main Web Page\Web Pages_old\proteomic_fractions_linear_files/Yang_linear_img/113462000.jpg","show blot")</f>
        <v>show blot</v>
      </c>
      <c r="G538" t="s">
        <v>537</v>
      </c>
      <c r="I538" s="6">
        <v>2.001445240874181</v>
      </c>
      <c r="K538" s="8"/>
    </row>
    <row r="539" spans="1:11" ht="15" x14ac:dyDescent="0.25">
      <c r="A539" s="3" t="str">
        <f>HYPERLINK("proteomic_fractions_linear_files/Yang_linear_img/33695144.jpg", "33695144")</f>
        <v>33695144</v>
      </c>
      <c r="C539" s="3" t="str">
        <f>HYPERLINK("http://www.ncbi.nlm.nih.gov/protein/33695144","Arl5a")</f>
        <v>Arl5a</v>
      </c>
      <c r="E539" t="str">
        <f>HYPERLINK("J:\Depot - mpkCCD Fractions\Main Web Page\Web Pages_old\proteomic_fractions_linear_files/Yang_linear_img/33695144.jpg","show blot")</f>
        <v>show blot</v>
      </c>
      <c r="G539" t="s">
        <v>538</v>
      </c>
      <c r="I539" s="6">
        <v>4.4117881158073908</v>
      </c>
      <c r="K539" s="8"/>
    </row>
    <row r="540" spans="1:11" ht="15" x14ac:dyDescent="0.25">
      <c r="A540" s="3" t="str">
        <f>HYPERLINK("proteomic_fractions_linear_files/Yang_linear_img/27229225.jpg", "27229225")</f>
        <v>27229225</v>
      </c>
      <c r="C540" s="3" t="str">
        <f>HYPERLINK("http://www.ncbi.nlm.nih.gov/protein/27229225","Arl5b")</f>
        <v>Arl5b</v>
      </c>
      <c r="E540" t="str">
        <f>HYPERLINK("J:\Depot - mpkCCD Fractions\Main Web Page\Web Pages_old\proteomic_fractions_linear_files/Yang_linear_img/27229225.jpg","show blot")</f>
        <v>show blot</v>
      </c>
      <c r="G540" t="s">
        <v>539</v>
      </c>
      <c r="I540" s="6">
        <v>4.2570117307992996</v>
      </c>
      <c r="K540" s="8"/>
    </row>
    <row r="541" spans="1:11" ht="15" x14ac:dyDescent="0.25">
      <c r="A541" s="3" t="str">
        <f>HYPERLINK("proteomic_fractions_linear_files/Yang_linear_img/46402217.jpg", "46402217")</f>
        <v>46402217</v>
      </c>
      <c r="C541" s="3" t="str">
        <f>HYPERLINK("http://www.ncbi.nlm.nih.gov/protein/46402217","Arl5c")</f>
        <v>Arl5c</v>
      </c>
      <c r="E541" t="str">
        <f>HYPERLINK("J:\Depot - mpkCCD Fractions\Main Web Page\Web Pages_old\proteomic_fractions_linear_files/Yang_linear_img/46402217.jpg","show blot")</f>
        <v>show blot</v>
      </c>
      <c r="G541" t="s">
        <v>540</v>
      </c>
      <c r="I541" s="6">
        <v>4.2570117307992996</v>
      </c>
      <c r="K541" s="8"/>
    </row>
    <row r="542" spans="1:11" ht="15" x14ac:dyDescent="0.25">
      <c r="A542" s="3" t="str">
        <f>HYPERLINK("proteomic_fractions_linear_files/Yang_linear_img/188528681.jpg", "188528681")</f>
        <v>188528681</v>
      </c>
      <c r="C542" s="3" t="str">
        <f>HYPERLINK("http://www.ncbi.nlm.nih.gov/protein/188528681","Arl6")</f>
        <v>Arl6</v>
      </c>
      <c r="E542" t="str">
        <f>HYPERLINK("J:\Depot - mpkCCD Fractions\Main Web Page\Web Pages_old\proteomic_fractions_linear_files/Yang_linear_img/188528681.jpg","show blot")</f>
        <v>show blot</v>
      </c>
      <c r="G542" t="s">
        <v>541</v>
      </c>
      <c r="I542" s="6">
        <v>5.1166755850193386</v>
      </c>
      <c r="K542" s="8"/>
    </row>
    <row r="543" spans="1:11" ht="15" x14ac:dyDescent="0.25">
      <c r="A543" s="3" t="str">
        <f>HYPERLINK("proteomic_fractions_linear_files/Yang_linear_img/45433590.jpg", "45433590")</f>
        <v>45433590</v>
      </c>
      <c r="C543" s="3" t="str">
        <f>HYPERLINK("http://www.ncbi.nlm.nih.gov/protein/45433590","Arl6ip1")</f>
        <v>Arl6ip1</v>
      </c>
      <c r="E543" t="str">
        <f>HYPERLINK("J:\Depot - mpkCCD Fractions\Main Web Page\Web Pages_old\proteomic_fractions_linear_files/Yang_linear_img/45433590.jpg","show blot")</f>
        <v>show blot</v>
      </c>
      <c r="G543" t="s">
        <v>542</v>
      </c>
      <c r="I543" s="6">
        <v>5.1008092604083872</v>
      </c>
      <c r="K543" s="8"/>
    </row>
    <row r="544" spans="1:11" ht="15" x14ac:dyDescent="0.25">
      <c r="A544" s="3" t="str">
        <f>HYPERLINK("proteomic_fractions_linear_files/Yang_linear_img/21362283.jpg", "21362283")</f>
        <v>21362283</v>
      </c>
      <c r="C544" s="3" t="str">
        <f>HYPERLINK("http://www.ncbi.nlm.nih.gov/protein/21362283","Arl6ip4")</f>
        <v>Arl6ip4</v>
      </c>
      <c r="E544" t="str">
        <f>HYPERLINK("J:\Depot - mpkCCD Fractions\Main Web Page\Web Pages_old\proteomic_fractions_linear_files/Yang_linear_img/21362283.jpg","show blot")</f>
        <v>show blot</v>
      </c>
      <c r="G544" t="s">
        <v>543</v>
      </c>
      <c r="I544" s="6">
        <v>4.6284251163892982</v>
      </c>
      <c r="K544" s="8"/>
    </row>
    <row r="545" spans="1:11" ht="15" x14ac:dyDescent="0.25">
      <c r="A545" s="3" t="str">
        <f>HYPERLINK("proteomic_fractions_linear_files/Yang_linear_img/14149750.jpg", "14149750")</f>
        <v>14149750</v>
      </c>
      <c r="C545" s="3" t="str">
        <f>HYPERLINK("http://www.ncbi.nlm.nih.gov/protein/14149750","Arl6ip5")</f>
        <v>Arl6ip5</v>
      </c>
      <c r="E545" t="str">
        <f>HYPERLINK("J:\Depot - mpkCCD Fractions\Main Web Page\Web Pages_old\proteomic_fractions_linear_files/Yang_linear_img/14149750.jpg","show blot")</f>
        <v>show blot</v>
      </c>
      <c r="G545" t="s">
        <v>544</v>
      </c>
      <c r="I545" s="6">
        <v>4.6811281741513771</v>
      </c>
      <c r="K545" s="8"/>
    </row>
    <row r="546" spans="1:11" ht="15" x14ac:dyDescent="0.25">
      <c r="A546" s="3" t="str">
        <f>HYPERLINK("proteomic_fractions_linear_files/Yang_linear_img/254281227.jpg", "254281227")</f>
        <v>254281227</v>
      </c>
      <c r="C546" s="3" t="str">
        <f>HYPERLINK("http://www.ncbi.nlm.nih.gov/protein/254281227","Arl6ip6")</f>
        <v>Arl6ip6</v>
      </c>
      <c r="E546" t="str">
        <f>HYPERLINK("J:\Depot - mpkCCD Fractions\Main Web Page\Web Pages_old\proteomic_fractions_linear_files/Yang_linear_img/254281227.jpg","show blot")</f>
        <v>show blot</v>
      </c>
      <c r="G546" t="s">
        <v>545</v>
      </c>
      <c r="I546" s="6">
        <v>4.1556045977196545</v>
      </c>
      <c r="K546" s="8"/>
    </row>
    <row r="547" spans="1:11" ht="15" x14ac:dyDescent="0.25">
      <c r="A547" s="3" t="str">
        <f>HYPERLINK("proteomic_fractions_linear_files/Yang_linear_img/23956194.jpg", "23956194")</f>
        <v>23956194</v>
      </c>
      <c r="C547" s="3" t="str">
        <f>HYPERLINK("http://www.ncbi.nlm.nih.gov/protein/23956194","Arl8a")</f>
        <v>Arl8a</v>
      </c>
      <c r="E547" t="str">
        <f>HYPERLINK("J:\Depot - mpkCCD Fractions\Main Web Page\Web Pages_old\proteomic_fractions_linear_files/Yang_linear_img/23956194.jpg","show blot")</f>
        <v>show blot</v>
      </c>
      <c r="G547" t="s">
        <v>546</v>
      </c>
      <c r="I547" s="6">
        <v>6.2306495114398484</v>
      </c>
      <c r="K547" s="8"/>
    </row>
    <row r="548" spans="1:11" ht="15" x14ac:dyDescent="0.25">
      <c r="A548" s="3" t="str">
        <f>HYPERLINK("proteomic_fractions_linear_files/Yang_linear_img/13385518.jpg", "13385518")</f>
        <v>13385518</v>
      </c>
      <c r="C548" s="3" t="str">
        <f>HYPERLINK("http://www.ncbi.nlm.nih.gov/protein/13385518","Arl8b")</f>
        <v>Arl8b</v>
      </c>
      <c r="E548" t="str">
        <f>HYPERLINK("J:\Depot - mpkCCD Fractions\Main Web Page\Web Pages_old\proteomic_fractions_linear_files/Yang_linear_img/13385518.jpg","show blot")</f>
        <v>show blot</v>
      </c>
      <c r="G548" t="s">
        <v>547</v>
      </c>
      <c r="I548" s="6">
        <v>6.2926059959102689</v>
      </c>
      <c r="K548" s="8"/>
    </row>
    <row r="549" spans="1:11" ht="15" x14ac:dyDescent="0.25">
      <c r="A549" s="3" t="str">
        <f>HYPERLINK("proteomic_fractions_linear_files/Yang_linear_img/21312676.jpg", "21312676")</f>
        <v>21312676</v>
      </c>
      <c r="C549" s="3" t="str">
        <f>HYPERLINK("http://www.ncbi.nlm.nih.gov/protein/21312676","Armc1")</f>
        <v>Armc1</v>
      </c>
      <c r="E549" t="str">
        <f>HYPERLINK("J:\Depot - mpkCCD Fractions\Main Web Page\Web Pages_old\proteomic_fractions_linear_files/Yang_linear_img/21312676.jpg","show blot")</f>
        <v>show blot</v>
      </c>
      <c r="G549" t="s">
        <v>548</v>
      </c>
      <c r="I549" s="6">
        <v>4.6249021880625634</v>
      </c>
      <c r="K549" s="8"/>
    </row>
    <row r="550" spans="1:11" ht="15" x14ac:dyDescent="0.25">
      <c r="A550" s="3" t="str">
        <f>HYPERLINK("proteomic_fractions_linear_files/Yang_linear_img/377833866.jpg", "377833866")</f>
        <v>377833866</v>
      </c>
      <c r="C550" s="3" t="str">
        <f>HYPERLINK("http://www.ncbi.nlm.nih.gov/protein/377833866","Armc1")</f>
        <v>Armc1</v>
      </c>
      <c r="E550" t="str">
        <f>HYPERLINK("J:\Depot - mpkCCD Fractions\Main Web Page\Web Pages_old\proteomic_fractions_linear_files/Yang_linear_img/377833866.jpg","show blot")</f>
        <v>show blot</v>
      </c>
      <c r="G550" t="s">
        <v>549</v>
      </c>
      <c r="I550" s="6">
        <v>4.6249021880625634</v>
      </c>
      <c r="K550" s="8"/>
    </row>
    <row r="551" spans="1:11" ht="15" x14ac:dyDescent="0.25">
      <c r="A551" s="3" t="str">
        <f>HYPERLINK("proteomic_fractions_linear_files/Yang_linear_img/13385536.jpg", "13385536")</f>
        <v>13385536</v>
      </c>
      <c r="C551" s="3" t="str">
        <f>HYPERLINK("http://www.ncbi.nlm.nih.gov/protein/13385536","Armc10")</f>
        <v>Armc10</v>
      </c>
      <c r="E551" t="str">
        <f>HYPERLINK("J:\Depot - mpkCCD Fractions\Main Web Page\Web Pages_old\proteomic_fractions_linear_files/Yang_linear_img/13385536.jpg","show blot")</f>
        <v>show blot</v>
      </c>
      <c r="G551" t="s">
        <v>550</v>
      </c>
      <c r="I551" s="6">
        <v>5.244835135604788</v>
      </c>
      <c r="K551" s="8"/>
    </row>
    <row r="552" spans="1:11" ht="15" x14ac:dyDescent="0.25">
      <c r="A552" s="3" t="str">
        <f>HYPERLINK("proteomic_fractions_linear_files/Yang_linear_img/113199755.jpg", "113199755")</f>
        <v>113199755</v>
      </c>
      <c r="C552" s="3" t="str">
        <f>HYPERLINK("http://www.ncbi.nlm.nih.gov/protein/113199755","Armc6")</f>
        <v>Armc6</v>
      </c>
      <c r="E552" t="str">
        <f>HYPERLINK("J:\Depot - mpkCCD Fractions\Main Web Page\Web Pages_old\proteomic_fractions_linear_files/Yang_linear_img/113199755.jpg","show blot")</f>
        <v>show blot</v>
      </c>
      <c r="G552" t="s">
        <v>551</v>
      </c>
      <c r="I552" s="6">
        <v>4.4233705940371602</v>
      </c>
      <c r="K552" s="8"/>
    </row>
    <row r="553" spans="1:11" ht="15" x14ac:dyDescent="0.25">
      <c r="A553" s="3" t="str">
        <f>HYPERLINK("proteomic_fractions_linear_files/Yang_linear_img/29244300.jpg", "29244300")</f>
        <v>29244300</v>
      </c>
      <c r="C553" s="3" t="str">
        <f>HYPERLINK("http://www.ncbi.nlm.nih.gov/protein/29244300","Armc7")</f>
        <v>Armc7</v>
      </c>
      <c r="E553" t="str">
        <f>HYPERLINK("J:\Depot - mpkCCD Fractions\Main Web Page\Web Pages_old\proteomic_fractions_linear_files/Yang_linear_img/29244300.jpg","show blot")</f>
        <v>show blot</v>
      </c>
      <c r="G553" t="s">
        <v>552</v>
      </c>
      <c r="I553" s="6">
        <v>3.5687755878410181</v>
      </c>
      <c r="K553" s="8"/>
    </row>
    <row r="554" spans="1:11" ht="15" x14ac:dyDescent="0.25">
      <c r="A554" s="3" t="str">
        <f>HYPERLINK("proteomic_fractions_linear_files/Yang_linear_img/260763997.jpg", "260763997")</f>
        <v>260763997</v>
      </c>
      <c r="C554" s="3" t="str">
        <f>HYPERLINK("http://www.ncbi.nlm.nih.gov/protein/260763997","Armc8")</f>
        <v>Armc8</v>
      </c>
      <c r="E554" t="str">
        <f>HYPERLINK("J:\Depot - mpkCCD Fractions\Main Web Page\Web Pages_old\proteomic_fractions_linear_files/Yang_linear_img/260763997.jpg","show blot")</f>
        <v>show blot</v>
      </c>
      <c r="G554" t="s">
        <v>553</v>
      </c>
      <c r="I554" s="6">
        <v>5.2805753005305478</v>
      </c>
      <c r="K554" s="8"/>
    </row>
    <row r="555" spans="1:11" ht="15" x14ac:dyDescent="0.25">
      <c r="A555" s="3" t="str">
        <f>HYPERLINK("proteomic_fractions_linear_files/Yang_linear_img/260763999.jpg", "260763999")</f>
        <v>260763999</v>
      </c>
      <c r="C555" s="3" t="str">
        <f>HYPERLINK("http://www.ncbi.nlm.nih.gov/protein/260763999","Armc8")</f>
        <v>Armc8</v>
      </c>
      <c r="E555" t="str">
        <f>HYPERLINK("J:\Depot - mpkCCD Fractions\Main Web Page\Web Pages_old\proteomic_fractions_linear_files/Yang_linear_img/260763999.jpg","show blot")</f>
        <v>show blot</v>
      </c>
      <c r="G555" t="s">
        <v>554</v>
      </c>
      <c r="I555" s="6">
        <v>5.2805753005305478</v>
      </c>
      <c r="K555" s="8"/>
    </row>
    <row r="556" spans="1:11" ht="15" x14ac:dyDescent="0.25">
      <c r="A556" s="3" t="str">
        <f>HYPERLINK("proteomic_fractions_linear_files/Yang_linear_img/83627702.jpg", "83627702")</f>
        <v>83627702</v>
      </c>
      <c r="C556" s="3" t="str">
        <f>HYPERLINK("http://www.ncbi.nlm.nih.gov/protein/83627702","Arnt")</f>
        <v>Arnt</v>
      </c>
      <c r="E556" t="str">
        <f>HYPERLINK("J:\Depot - mpkCCD Fractions\Main Web Page\Web Pages_old\proteomic_fractions_linear_files/Yang_linear_img/83627702.jpg","show blot")</f>
        <v>show blot</v>
      </c>
      <c r="G556" t="s">
        <v>555</v>
      </c>
      <c r="I556" s="6">
        <v>2.5081889622006441</v>
      </c>
      <c r="K556" s="8"/>
    </row>
    <row r="557" spans="1:11" ht="15" x14ac:dyDescent="0.25">
      <c r="A557" s="3" t="str">
        <f>HYPERLINK("proteomic_fractions_linear_files/Yang_linear_img/83627709.jpg", "83627709")</f>
        <v>83627709</v>
      </c>
      <c r="C557" s="3" t="str">
        <f>HYPERLINK("http://www.ncbi.nlm.nih.gov/protein/83627709","Arnt")</f>
        <v>Arnt</v>
      </c>
      <c r="E557" t="str">
        <f>HYPERLINK("J:\Depot - mpkCCD Fractions\Main Web Page\Web Pages_old\proteomic_fractions_linear_files/Yang_linear_img/83627709.jpg","show blot")</f>
        <v>show blot</v>
      </c>
      <c r="G557" t="s">
        <v>556</v>
      </c>
      <c r="I557" s="6">
        <v>2.5081889622006441</v>
      </c>
      <c r="K557" s="8"/>
    </row>
    <row r="558" spans="1:11" ht="15" x14ac:dyDescent="0.25">
      <c r="A558" s="3" t="str">
        <f>HYPERLINK("proteomic_fractions_linear_files/Yang_linear_img/34328095.jpg", "34328095")</f>
        <v>34328095</v>
      </c>
      <c r="C558" s="3" t="str">
        <f>HYPERLINK("http://www.ncbi.nlm.nih.gov/protein/34328095","Arnt2")</f>
        <v>Arnt2</v>
      </c>
      <c r="E558" t="str">
        <f>HYPERLINK("J:\Depot - mpkCCD Fractions\Main Web Page\Web Pages_old\proteomic_fractions_linear_files/Yang_linear_img/34328095.jpg","show blot")</f>
        <v>show blot</v>
      </c>
      <c r="G558" t="s">
        <v>557</v>
      </c>
      <c r="I558" s="6">
        <v>2.5455132852244566</v>
      </c>
      <c r="K558" s="8"/>
    </row>
    <row r="559" spans="1:11" ht="15" x14ac:dyDescent="0.25">
      <c r="A559" s="3" t="str">
        <f>HYPERLINK("proteomic_fractions_linear_files/Yang_linear_img/9790221.jpg", "9790221")</f>
        <v>9790221</v>
      </c>
      <c r="C559" s="3" t="str">
        <f>HYPERLINK("http://www.ncbi.nlm.nih.gov/protein/9790221","Arpc1a")</f>
        <v>Arpc1a</v>
      </c>
      <c r="E559" t="str">
        <f>HYPERLINK("J:\Depot - mpkCCD Fractions\Main Web Page\Web Pages_old\proteomic_fractions_linear_files/Yang_linear_img/9790221.jpg","show blot")</f>
        <v>show blot</v>
      </c>
      <c r="G559" t="s">
        <v>558</v>
      </c>
      <c r="I559" s="6">
        <v>5.0202042521818262</v>
      </c>
      <c r="K559" s="8"/>
    </row>
    <row r="560" spans="1:11" ht="15" x14ac:dyDescent="0.25">
      <c r="A560" s="3" t="str">
        <f>HYPERLINK("proteomic_fractions_linear_files/Yang_linear_img/160837788.jpg", "160837788")</f>
        <v>160837788</v>
      </c>
      <c r="C560" s="3" t="str">
        <f>HYPERLINK("http://www.ncbi.nlm.nih.gov/protein/160837788","Arpc1b")</f>
        <v>Arpc1b</v>
      </c>
      <c r="E560" t="str">
        <f>HYPERLINK("J:\Depot - mpkCCD Fractions\Main Web Page\Web Pages_old\proteomic_fractions_linear_files/Yang_linear_img/160837788.jpg","show blot")</f>
        <v>show blot</v>
      </c>
      <c r="G560" t="s">
        <v>559</v>
      </c>
      <c r="I560" s="6">
        <v>6.0851052043116676</v>
      </c>
      <c r="K560" s="8"/>
    </row>
    <row r="561" spans="1:11" ht="15" x14ac:dyDescent="0.25">
      <c r="A561" s="3" t="str">
        <f>HYPERLINK("proteomic_fractions_linear_files/Yang_linear_img/112363072.jpg", "112363072")</f>
        <v>112363072</v>
      </c>
      <c r="C561" s="3" t="str">
        <f>HYPERLINK("http://www.ncbi.nlm.nih.gov/protein/112363072","Arpc2")</f>
        <v>Arpc2</v>
      </c>
      <c r="E561" t="str">
        <f>HYPERLINK("J:\Depot - mpkCCD Fractions\Main Web Page\Web Pages_old\proteomic_fractions_linear_files/Yang_linear_img/112363072.jpg","show blot")</f>
        <v>show blot</v>
      </c>
      <c r="G561" t="s">
        <v>560</v>
      </c>
      <c r="I561" s="6">
        <v>6.2077539079999751</v>
      </c>
      <c r="K561" s="8"/>
    </row>
    <row r="562" spans="1:11" ht="15" x14ac:dyDescent="0.25">
      <c r="A562" s="3" t="str">
        <f>HYPERLINK("proteomic_fractions_linear_files/Yang_linear_img/9790141.jpg", "9790141")</f>
        <v>9790141</v>
      </c>
      <c r="C562" s="3" t="str">
        <f>HYPERLINK("http://www.ncbi.nlm.nih.gov/protein/9790141","Arpc3")</f>
        <v>Arpc3</v>
      </c>
      <c r="E562" t="str">
        <f>HYPERLINK("J:\Depot - mpkCCD Fractions\Main Web Page\Web Pages_old\proteomic_fractions_linear_files/Yang_linear_img/9790141.jpg","show blot")</f>
        <v>show blot</v>
      </c>
      <c r="G562" t="s">
        <v>561</v>
      </c>
      <c r="I562" s="6">
        <v>6.206434791668447</v>
      </c>
      <c r="K562" s="8"/>
    </row>
    <row r="563" spans="1:11" ht="15" x14ac:dyDescent="0.25">
      <c r="A563" s="3" t="str">
        <f>HYPERLINK("proteomic_fractions_linear_files/Yang_linear_img/13386054.jpg", "13386054")</f>
        <v>13386054</v>
      </c>
      <c r="C563" s="3" t="str">
        <f>HYPERLINK("http://www.ncbi.nlm.nih.gov/protein/13386054","Arpc4")</f>
        <v>Arpc4</v>
      </c>
      <c r="E563" t="str">
        <f>HYPERLINK("J:\Depot - mpkCCD Fractions\Main Web Page\Web Pages_old\proteomic_fractions_linear_files/Yang_linear_img/13386054.jpg","show blot")</f>
        <v>show blot</v>
      </c>
      <c r="G563" t="s">
        <v>562</v>
      </c>
      <c r="I563" s="6">
        <v>6.7896776204110107</v>
      </c>
      <c r="K563" s="8"/>
    </row>
    <row r="564" spans="1:11" ht="15" x14ac:dyDescent="0.25">
      <c r="A564" s="3" t="str">
        <f>HYPERLINK("proteomic_fractions_linear_files/Yang_linear_img/281427242.jpg", "281427242")</f>
        <v>281427242</v>
      </c>
      <c r="C564" s="3" t="str">
        <f>HYPERLINK("http://www.ncbi.nlm.nih.gov/protein/281427242","Arpc4")</f>
        <v>Arpc4</v>
      </c>
      <c r="E564" t="str">
        <f>HYPERLINK("J:\Depot - mpkCCD Fractions\Main Web Page\Web Pages_old\proteomic_fractions_linear_files/Yang_linear_img/281427242.jpg","show blot")</f>
        <v>show blot</v>
      </c>
      <c r="G564" t="s">
        <v>563</v>
      </c>
      <c r="I564" s="6">
        <v>6.7896776204110107</v>
      </c>
      <c r="K564" s="8"/>
    </row>
    <row r="565" spans="1:11" ht="15" x14ac:dyDescent="0.25">
      <c r="A565" s="3" t="str">
        <f>HYPERLINK("proteomic_fractions_linear_files/Yang_linear_img/281427244.jpg", "281427244")</f>
        <v>281427244</v>
      </c>
      <c r="C565" s="3" t="str">
        <f>HYPERLINK("http://www.ncbi.nlm.nih.gov/protein/281427244","Arpc4")</f>
        <v>Arpc4</v>
      </c>
      <c r="E565" t="str">
        <f>HYPERLINK("J:\Depot - mpkCCD Fractions\Main Web Page\Web Pages_old\proteomic_fractions_linear_files/Yang_linear_img/281427244.jpg","show blot")</f>
        <v>show blot</v>
      </c>
      <c r="G565" t="s">
        <v>564</v>
      </c>
      <c r="I565" s="6">
        <v>6.7896776204110107</v>
      </c>
      <c r="K565" s="8"/>
    </row>
    <row r="566" spans="1:11" ht="15" x14ac:dyDescent="0.25">
      <c r="A566" s="3" t="str">
        <f>HYPERLINK("proteomic_fractions_linear_files/Yang_linear_img/224809382.jpg", "224809382")</f>
        <v>224809382</v>
      </c>
      <c r="C566" s="3" t="str">
        <f>HYPERLINK("http://www.ncbi.nlm.nih.gov/protein/224809382","Arpc5")</f>
        <v>Arpc5</v>
      </c>
      <c r="E566" t="str">
        <f>HYPERLINK("J:\Depot - mpkCCD Fractions\Main Web Page\Web Pages_old\proteomic_fractions_linear_files/Yang_linear_img/224809382.jpg","show blot")</f>
        <v>show blot</v>
      </c>
      <c r="G566" t="s">
        <v>565</v>
      </c>
      <c r="I566" s="6">
        <v>6.3064777044184597</v>
      </c>
      <c r="K566" s="8"/>
    </row>
    <row r="567" spans="1:11" ht="15" x14ac:dyDescent="0.25">
      <c r="A567" s="3" t="str">
        <f>HYPERLINK("proteomic_fractions_linear_files/Yang_linear_img/21312654.jpg", "21312654")</f>
        <v>21312654</v>
      </c>
      <c r="C567" s="3" t="str">
        <f>HYPERLINK("http://www.ncbi.nlm.nih.gov/protein/21312654","Arpc5l")</f>
        <v>Arpc5l</v>
      </c>
      <c r="E567" t="str">
        <f>HYPERLINK("J:\Depot - mpkCCD Fractions\Main Web Page\Web Pages_old\proteomic_fractions_linear_files/Yang_linear_img/21312654.jpg","show blot")</f>
        <v>show blot</v>
      </c>
      <c r="G567" t="s">
        <v>566</v>
      </c>
      <c r="I567" s="6">
        <v>5.5128870700819332</v>
      </c>
      <c r="K567" s="8"/>
    </row>
    <row r="568" spans="1:11" ht="15" x14ac:dyDescent="0.25">
      <c r="A568" s="3" t="str">
        <f>HYPERLINK("proteomic_fractions_linear_files/Yang_linear_img/10946986.jpg", "10946986")</f>
        <v>10946986</v>
      </c>
      <c r="C568" s="3" t="str">
        <f>HYPERLINK("http://www.ncbi.nlm.nih.gov/protein/10946986","Arpp19")</f>
        <v>Arpp19</v>
      </c>
      <c r="E568" t="str">
        <f>HYPERLINK("J:\Depot - mpkCCD Fractions\Main Web Page\Web Pages_old\proteomic_fractions_linear_files/Yang_linear_img/10946986.jpg","show blot")</f>
        <v>show blot</v>
      </c>
      <c r="G568" t="s">
        <v>567</v>
      </c>
      <c r="I568" s="6">
        <v>4.8818633952606971</v>
      </c>
      <c r="K568" s="8"/>
    </row>
    <row r="569" spans="1:11" ht="15" x14ac:dyDescent="0.25">
      <c r="A569" s="3" t="str">
        <f>HYPERLINK("proteomic_fractions_linear_files/Yang_linear_img/217416411.jpg", "217416411")</f>
        <v>217416411</v>
      </c>
      <c r="C569" s="3" t="str">
        <f>HYPERLINK("http://www.ncbi.nlm.nih.gov/protein/217416411","Arpp19")</f>
        <v>Arpp19</v>
      </c>
      <c r="E569" t="str">
        <f>HYPERLINK("J:\Depot - mpkCCD Fractions\Main Web Page\Web Pages_old\proteomic_fractions_linear_files/Yang_linear_img/217416411.jpg","show blot")</f>
        <v>show blot</v>
      </c>
      <c r="G569" t="s">
        <v>568</v>
      </c>
      <c r="I569" s="6">
        <v>4.8818633952606971</v>
      </c>
      <c r="K569" s="8"/>
    </row>
    <row r="570" spans="1:11" ht="15" x14ac:dyDescent="0.25">
      <c r="A570" s="3" t="str">
        <f>HYPERLINK("proteomic_fractions_linear_files/Yang_linear_img/244798004.jpg", "244798004")</f>
        <v>244798004</v>
      </c>
      <c r="C570" s="3" t="str">
        <f>HYPERLINK("http://www.ncbi.nlm.nih.gov/protein/244798004","Arrdc1")</f>
        <v>Arrdc1</v>
      </c>
      <c r="E570" t="str">
        <f>HYPERLINK("J:\Depot - mpkCCD Fractions\Main Web Page\Web Pages_old\proteomic_fractions_linear_files/Yang_linear_img/244798004.jpg","show blot")</f>
        <v>show blot</v>
      </c>
      <c r="G570" t="s">
        <v>569</v>
      </c>
      <c r="I570" s="6">
        <v>2.8118409638947286</v>
      </c>
      <c r="K570" s="8"/>
    </row>
    <row r="571" spans="1:11" ht="15" x14ac:dyDescent="0.25">
      <c r="A571" s="3" t="str">
        <f>HYPERLINK("proteomic_fractions_linear_files/Yang_linear_img/244798112.jpg", "244798112")</f>
        <v>244798112</v>
      </c>
      <c r="C571" s="3" t="str">
        <f>HYPERLINK("http://www.ncbi.nlm.nih.gov/protein/244798112","Arrdc1")</f>
        <v>Arrdc1</v>
      </c>
      <c r="E571" t="str">
        <f>HYPERLINK("J:\Depot - mpkCCD Fractions\Main Web Page\Web Pages_old\proteomic_fractions_linear_files/Yang_linear_img/244798112.jpg","show blot")</f>
        <v>show blot</v>
      </c>
      <c r="G571" t="s">
        <v>570</v>
      </c>
      <c r="I571" s="6">
        <v>2.8118409638947286</v>
      </c>
      <c r="K571" s="8"/>
    </row>
    <row r="572" spans="1:11" ht="15" x14ac:dyDescent="0.25">
      <c r="A572" s="3" t="str">
        <f>HYPERLINK("proteomic_fractions_linear_files/Yang_linear_img/67972647.jpg", "67972647")</f>
        <v>67972647</v>
      </c>
      <c r="C572" s="3" t="str">
        <f>HYPERLINK("http://www.ncbi.nlm.nih.gov/protein/67972647","Arsa")</f>
        <v>Arsa</v>
      </c>
      <c r="E572" t="str">
        <f>HYPERLINK("J:\Depot - mpkCCD Fractions\Main Web Page\Web Pages_old\proteomic_fractions_linear_files/Yang_linear_img/67972647.jpg","show blot")</f>
        <v>show blot</v>
      </c>
      <c r="G572" t="s">
        <v>571</v>
      </c>
      <c r="I572" s="6">
        <v>4.9735001463798687</v>
      </c>
      <c r="K572" s="8"/>
    </row>
    <row r="573" spans="1:11" ht="15" x14ac:dyDescent="0.25">
      <c r="A573" s="3" t="str">
        <f>HYPERLINK("proteomic_fractions_linear_files/Yang_linear_img/125656171.jpg", "125656171")</f>
        <v>125656171</v>
      </c>
      <c r="C573" s="3" t="str">
        <f>HYPERLINK("http://www.ncbi.nlm.nih.gov/protein/125656171","Arsb")</f>
        <v>Arsb</v>
      </c>
      <c r="E573" t="str">
        <f>HYPERLINK("J:\Depot - mpkCCD Fractions\Main Web Page\Web Pages_old\proteomic_fractions_linear_files/Yang_linear_img/125656171.jpg","show blot")</f>
        <v>show blot</v>
      </c>
      <c r="G573" t="s">
        <v>572</v>
      </c>
      <c r="I573" s="6">
        <v>4.0606321460021038</v>
      </c>
      <c r="K573" s="8"/>
    </row>
    <row r="574" spans="1:11" ht="15" x14ac:dyDescent="0.25">
      <c r="A574" s="3" t="str">
        <f>HYPERLINK("proteomic_fractions_linear_files/Yang_linear_img/433809355;40254129.jpg", "433809355;40254129")</f>
        <v>433809355;40254129</v>
      </c>
      <c r="C574" s="3" t="str">
        <f>HYPERLINK("http://www.ncbi.nlm.nih.gov/protein/433809355;40254129","Arvcf")</f>
        <v>Arvcf</v>
      </c>
      <c r="E574" t="str">
        <f>HYPERLINK("J:\Depot - mpkCCD Fractions\Main Web Page\Web Pages_old\proteomic_fractions_linear_files/Yang_linear_img/433809355;40254129.jpg","show blot")</f>
        <v>show blot</v>
      </c>
      <c r="G574" t="s">
        <v>573</v>
      </c>
      <c r="I574" s="6">
        <v>3.6981245198350527</v>
      </c>
      <c r="K574" s="8"/>
    </row>
    <row r="575" spans="1:11" ht="15" x14ac:dyDescent="0.25">
      <c r="A575" s="3" t="str">
        <f>HYPERLINK("proteomic_fractions_linear_files/Yang_linear_img/40254129.jpg", "40254129")</f>
        <v>40254129</v>
      </c>
      <c r="C575" s="3" t="str">
        <f>HYPERLINK("http://www.ncbi.nlm.nih.gov/protein/40254129","Arvcf")</f>
        <v>Arvcf</v>
      </c>
      <c r="E575" t="str">
        <f>HYPERLINK("J:\Depot - mpkCCD Fractions\Main Web Page\Web Pages_old\proteomic_fractions_linear_files/Yang_linear_img/40254129.jpg","show blot")</f>
        <v>show blot</v>
      </c>
      <c r="G575" t="s">
        <v>573</v>
      </c>
      <c r="I575" s="6">
        <v>3.6981245198350527</v>
      </c>
      <c r="K575" s="8"/>
    </row>
    <row r="576" spans="1:11" ht="15" x14ac:dyDescent="0.25">
      <c r="A576" s="3" t="str">
        <f>HYPERLINK("proteomic_fractions_linear_files/Yang_linear_img/433809348.jpg", "433809348")</f>
        <v>433809348</v>
      </c>
      <c r="C576" s="3" t="str">
        <f>HYPERLINK("http://www.ncbi.nlm.nih.gov/protein/433809348","Arvcf")</f>
        <v>Arvcf</v>
      </c>
      <c r="E576" t="str">
        <f>HYPERLINK("J:\Depot - mpkCCD Fractions\Main Web Page\Web Pages_old\proteomic_fractions_linear_files/Yang_linear_img/433809348.jpg","show blot")</f>
        <v>show blot</v>
      </c>
      <c r="G576" t="s">
        <v>574</v>
      </c>
      <c r="I576" s="6">
        <v>3.6981245198350527</v>
      </c>
      <c r="K576" s="8"/>
    </row>
    <row r="577" spans="1:11" ht="15" x14ac:dyDescent="0.25">
      <c r="A577" s="3" t="str">
        <f>HYPERLINK("proteomic_fractions_linear_files/Yang_linear_img/433809350.jpg", "433809350")</f>
        <v>433809350</v>
      </c>
      <c r="C577" s="3" t="str">
        <f>HYPERLINK("http://www.ncbi.nlm.nih.gov/protein/433809350","Arvcf")</f>
        <v>Arvcf</v>
      </c>
      <c r="E577" t="str">
        <f>HYPERLINK("J:\Depot - mpkCCD Fractions\Main Web Page\Web Pages_old\proteomic_fractions_linear_files/Yang_linear_img/433809350.jpg","show blot")</f>
        <v>show blot</v>
      </c>
      <c r="G577" t="s">
        <v>575</v>
      </c>
      <c r="I577" s="6">
        <v>3.6981245198350527</v>
      </c>
      <c r="K577" s="8"/>
    </row>
    <row r="578" spans="1:11" ht="15" x14ac:dyDescent="0.25">
      <c r="A578" s="3" t="str">
        <f>HYPERLINK("proteomic_fractions_linear_files/Yang_linear_img/433809357.jpg", "433809357")</f>
        <v>433809357</v>
      </c>
      <c r="C578" s="3" t="str">
        <f>HYPERLINK("http://www.ncbi.nlm.nih.gov/protein/433809357","Arvcf")</f>
        <v>Arvcf</v>
      </c>
      <c r="E578" t="str">
        <f>HYPERLINK("J:\Depot - mpkCCD Fractions\Main Web Page\Web Pages_old\proteomic_fractions_linear_files/Yang_linear_img/433809357.jpg","show blot")</f>
        <v>show blot</v>
      </c>
      <c r="G578" t="s">
        <v>576</v>
      </c>
      <c r="I578" s="6">
        <v>3.6981245198350527</v>
      </c>
      <c r="K578" s="8"/>
    </row>
    <row r="579" spans="1:11" ht="15" x14ac:dyDescent="0.25">
      <c r="A579" s="3" t="str">
        <f>HYPERLINK("proteomic_fractions_linear_files/Yang_linear_img/21624631.jpg", "21624631")</f>
        <v>21624631</v>
      </c>
      <c r="C579" s="3" t="str">
        <f>HYPERLINK("http://www.ncbi.nlm.nih.gov/protein/21624631","Arxes2")</f>
        <v>Arxes2</v>
      </c>
      <c r="E579" t="str">
        <f>HYPERLINK("J:\Depot - mpkCCD Fractions\Main Web Page\Web Pages_old\proteomic_fractions_linear_files/Yang_linear_img/21624631.jpg","show blot")</f>
        <v>show blot</v>
      </c>
      <c r="G579" t="s">
        <v>577</v>
      </c>
      <c r="I579" s="6">
        <v>3.61844558199508</v>
      </c>
      <c r="K579" s="8"/>
    </row>
    <row r="580" spans="1:11" ht="15" x14ac:dyDescent="0.25">
      <c r="A580" s="3" t="str">
        <f>HYPERLINK("proteomic_fractions_linear_files/Yang_linear_img/9790019.jpg", "9790019")</f>
        <v>9790019</v>
      </c>
      <c r="C580" s="3" t="str">
        <f>HYPERLINK("http://www.ncbi.nlm.nih.gov/protein/9790019","Asah1")</f>
        <v>Asah1</v>
      </c>
      <c r="E580" t="str">
        <f>HYPERLINK("J:\Depot - mpkCCD Fractions\Main Web Page\Web Pages_old\proteomic_fractions_linear_files/Yang_linear_img/9790019.jpg","show blot")</f>
        <v>show blot</v>
      </c>
      <c r="G580" t="s">
        <v>578</v>
      </c>
      <c r="I580" s="6">
        <v>6.6253375093138693</v>
      </c>
      <c r="K580" s="8"/>
    </row>
    <row r="581" spans="1:11" ht="15" x14ac:dyDescent="0.25">
      <c r="A581" s="3" t="str">
        <f>HYPERLINK("proteomic_fractions_linear_files/Yang_linear_img/9055168.jpg", "9055168")</f>
        <v>9055168</v>
      </c>
      <c r="C581" s="3" t="str">
        <f>HYPERLINK("http://www.ncbi.nlm.nih.gov/protein/9055168","Asah2")</f>
        <v>Asah2</v>
      </c>
      <c r="E581" t="str">
        <f>HYPERLINK("J:\Depot - mpkCCD Fractions\Main Web Page\Web Pages_old\proteomic_fractions_linear_files/Yang_linear_img/9055168.jpg","show blot")</f>
        <v>show blot</v>
      </c>
      <c r="G581" t="s">
        <v>579</v>
      </c>
      <c r="I581" s="6">
        <v>3.1996278503114999</v>
      </c>
      <c r="K581" s="8"/>
    </row>
    <row r="582" spans="1:11" ht="15" x14ac:dyDescent="0.25">
      <c r="A582" s="3" t="str">
        <f>HYPERLINK("proteomic_fractions_linear_files/Yang_linear_img/451327597.jpg", "451327597")</f>
        <v>451327597</v>
      </c>
      <c r="C582" s="3" t="str">
        <f>HYPERLINK("http://www.ncbi.nlm.nih.gov/protein/451327597","Asap1")</f>
        <v>Asap1</v>
      </c>
      <c r="E582" t="str">
        <f>HYPERLINK("J:\Depot - mpkCCD Fractions\Main Web Page\Web Pages_old\proteomic_fractions_linear_files/Yang_linear_img/451327597.jpg","show blot")</f>
        <v>show blot</v>
      </c>
      <c r="G582" t="s">
        <v>580</v>
      </c>
      <c r="I582" s="6">
        <v>2.669123269523062</v>
      </c>
      <c r="K582" s="8"/>
    </row>
    <row r="583" spans="1:11" ht="15" x14ac:dyDescent="0.25">
      <c r="A583" s="3" t="str">
        <f>HYPERLINK("proteomic_fractions_linear_files/Yang_linear_img/451327599.jpg", "451327599")</f>
        <v>451327599</v>
      </c>
      <c r="C583" s="3" t="str">
        <f>HYPERLINK("http://www.ncbi.nlm.nih.gov/protein/451327599","Asap1")</f>
        <v>Asap1</v>
      </c>
      <c r="E583" t="str">
        <f>HYPERLINK("J:\Depot - mpkCCD Fractions\Main Web Page\Web Pages_old\proteomic_fractions_linear_files/Yang_linear_img/451327599.jpg","show blot")</f>
        <v>show blot</v>
      </c>
      <c r="G583" t="s">
        <v>581</v>
      </c>
      <c r="I583" s="6">
        <v>2.669123269523062</v>
      </c>
      <c r="K583" s="8"/>
    </row>
    <row r="584" spans="1:11" ht="15" x14ac:dyDescent="0.25">
      <c r="A584" s="3" t="str">
        <f>HYPERLINK("proteomic_fractions_linear_files/Yang_linear_img/451327601.jpg", "451327601")</f>
        <v>451327601</v>
      </c>
      <c r="C584" s="3" t="str">
        <f>HYPERLINK("http://www.ncbi.nlm.nih.gov/protein/451327601","Asap1")</f>
        <v>Asap1</v>
      </c>
      <c r="E584" t="str">
        <f>HYPERLINK("J:\Depot - mpkCCD Fractions\Main Web Page\Web Pages_old\proteomic_fractions_linear_files/Yang_linear_img/451327601.jpg","show blot")</f>
        <v>show blot</v>
      </c>
      <c r="G584" t="s">
        <v>582</v>
      </c>
      <c r="I584" s="6">
        <v>2.669123269523062</v>
      </c>
      <c r="K584" s="8"/>
    </row>
    <row r="585" spans="1:11" ht="15" x14ac:dyDescent="0.25">
      <c r="A585" s="3" t="str">
        <f>HYPERLINK("proteomic_fractions_linear_files/Yang_linear_img/451327606.jpg", "451327606")</f>
        <v>451327606</v>
      </c>
      <c r="C585" s="3" t="str">
        <f>HYPERLINK("http://www.ncbi.nlm.nih.gov/protein/451327606","Asap1")</f>
        <v>Asap1</v>
      </c>
      <c r="E585" t="str">
        <f>HYPERLINK("J:\Depot - mpkCCD Fractions\Main Web Page\Web Pages_old\proteomic_fractions_linear_files/Yang_linear_img/451327606.jpg","show blot")</f>
        <v>show blot</v>
      </c>
      <c r="G585" t="s">
        <v>583</v>
      </c>
      <c r="I585" s="6">
        <v>2.669123269523062</v>
      </c>
      <c r="K585" s="8"/>
    </row>
    <row r="586" spans="1:11" ht="15" x14ac:dyDescent="0.25">
      <c r="A586" s="3" t="str">
        <f>HYPERLINK("proteomic_fractions_linear_files/Yang_linear_img/65301464.jpg", "65301464")</f>
        <v>65301464</v>
      </c>
      <c r="C586" s="3" t="str">
        <f>HYPERLINK("http://www.ncbi.nlm.nih.gov/protein/65301464","Asap1")</f>
        <v>Asap1</v>
      </c>
      <c r="E586" t="str">
        <f>HYPERLINK("J:\Depot - mpkCCD Fractions\Main Web Page\Web Pages_old\proteomic_fractions_linear_files/Yang_linear_img/65301464.jpg","show blot")</f>
        <v>show blot</v>
      </c>
      <c r="G586" t="s">
        <v>584</v>
      </c>
      <c r="I586" s="6">
        <v>2.669123269523062</v>
      </c>
      <c r="K586" s="8"/>
    </row>
    <row r="587" spans="1:11" ht="15" x14ac:dyDescent="0.25">
      <c r="A587" s="3" t="str">
        <f>HYPERLINK("proteomic_fractions_linear_files/Yang_linear_img/147907212.jpg", "147907212")</f>
        <v>147907212</v>
      </c>
      <c r="C587" s="3" t="str">
        <f>HYPERLINK("http://www.ncbi.nlm.nih.gov/protein/147907212","Asap2")</f>
        <v>Asap2</v>
      </c>
      <c r="E587" t="str">
        <f>HYPERLINK("J:\Depot - mpkCCD Fractions\Main Web Page\Web Pages_old\proteomic_fractions_linear_files/Yang_linear_img/147907212.jpg","show blot")</f>
        <v>show blot</v>
      </c>
      <c r="G587" t="s">
        <v>585</v>
      </c>
      <c r="I587" s="6">
        <v>5.2021468865949121</v>
      </c>
      <c r="K587" s="8"/>
    </row>
    <row r="588" spans="1:11" ht="15" x14ac:dyDescent="0.25">
      <c r="A588" s="3" t="str">
        <f>HYPERLINK("proteomic_fractions_linear_files/Yang_linear_img/148223355.jpg", "148223355")</f>
        <v>148223355</v>
      </c>
      <c r="C588" s="3" t="str">
        <f>HYPERLINK("http://www.ncbi.nlm.nih.gov/protein/148223355","Asap2")</f>
        <v>Asap2</v>
      </c>
      <c r="E588" t="str">
        <f>HYPERLINK("J:\Depot - mpkCCD Fractions\Main Web Page\Web Pages_old\proteomic_fractions_linear_files/Yang_linear_img/148223355.jpg","show blot")</f>
        <v>show blot</v>
      </c>
      <c r="G588" t="s">
        <v>586</v>
      </c>
      <c r="I588" s="6">
        <v>5.2021468865949121</v>
      </c>
      <c r="K588" s="8"/>
    </row>
    <row r="589" spans="1:11" ht="15" x14ac:dyDescent="0.25">
      <c r="A589" s="3" t="str">
        <f>HYPERLINK("proteomic_fractions_linear_files/Yang_linear_img/206597526.jpg", "206597526")</f>
        <v>206597526</v>
      </c>
      <c r="C589" s="3" t="str">
        <f>HYPERLINK("http://www.ncbi.nlm.nih.gov/protein/206597526","Asap2")</f>
        <v>Asap2</v>
      </c>
      <c r="E589" t="str">
        <f>HYPERLINK("J:\Depot - mpkCCD Fractions\Main Web Page\Web Pages_old\proteomic_fractions_linear_files/Yang_linear_img/206597526.jpg","show blot")</f>
        <v>show blot</v>
      </c>
      <c r="G589" t="s">
        <v>587</v>
      </c>
      <c r="I589" s="6">
        <v>5.2021468865949121</v>
      </c>
      <c r="K589" s="8"/>
    </row>
    <row r="590" spans="1:11" ht="15" x14ac:dyDescent="0.25">
      <c r="A590" s="3" t="str">
        <f>HYPERLINK("proteomic_fractions_linear_files/Yang_linear_img/282721040.jpg", "282721040")</f>
        <v>282721040</v>
      </c>
      <c r="C590" s="3" t="str">
        <f>HYPERLINK("http://www.ncbi.nlm.nih.gov/protein/282721040","Asb14")</f>
        <v>Asb14</v>
      </c>
      <c r="E590" t="str">
        <f>HYPERLINK("J:\Depot - mpkCCD Fractions\Main Web Page\Web Pages_old\proteomic_fractions_linear_files/Yang_linear_img/282721040.jpg","show blot")</f>
        <v>show blot</v>
      </c>
      <c r="G590" t="s">
        <v>588</v>
      </c>
      <c r="I590" s="6">
        <v>2.3126944017198481</v>
      </c>
      <c r="K590" s="8"/>
    </row>
    <row r="591" spans="1:11" ht="15" x14ac:dyDescent="0.25">
      <c r="A591" s="3" t="str">
        <f>HYPERLINK("proteomic_fractions_linear_files/Yang_linear_img/268370092.jpg", "268370092")</f>
        <v>268370092</v>
      </c>
      <c r="C591" s="3" t="str">
        <f>HYPERLINK("http://www.ncbi.nlm.nih.gov/protein/268370092","Asb15")</f>
        <v>Asb15</v>
      </c>
      <c r="E591" t="str">
        <f>HYPERLINK("J:\Depot - mpkCCD Fractions\Main Web Page\Web Pages_old\proteomic_fractions_linear_files/Yang_linear_img/268370092.jpg","show blot")</f>
        <v>show blot</v>
      </c>
      <c r="G591" t="s">
        <v>589</v>
      </c>
      <c r="I591" s="6">
        <v>4.5172559801710079</v>
      </c>
      <c r="K591" s="8"/>
    </row>
    <row r="592" spans="1:11" ht="15" x14ac:dyDescent="0.25">
      <c r="A592" s="3" t="str">
        <f>HYPERLINK("proteomic_fractions_linear_files/Yang_linear_img/17505202.jpg", "17505202")</f>
        <v>17505202</v>
      </c>
      <c r="C592" s="3" t="str">
        <f>HYPERLINK("http://www.ncbi.nlm.nih.gov/protein/17505202","Asb4")</f>
        <v>Asb4</v>
      </c>
      <c r="E592" t="str">
        <f>HYPERLINK("J:\Depot - mpkCCD Fractions\Main Web Page\Web Pages_old\proteomic_fractions_linear_files/Yang_linear_img/17505202.jpg","show blot")</f>
        <v>show blot</v>
      </c>
      <c r="G592" t="s">
        <v>590</v>
      </c>
      <c r="I592" s="6">
        <v>3.2612182472041633</v>
      </c>
      <c r="K592" s="8"/>
    </row>
    <row r="593" spans="1:11" ht="15" x14ac:dyDescent="0.25">
      <c r="A593" s="3" t="str">
        <f>HYPERLINK("proteomic_fractions_linear_files/Yang_linear_img/58037141.jpg", "58037141")</f>
        <v>58037141</v>
      </c>
      <c r="C593" s="3" t="str">
        <f>HYPERLINK("http://www.ncbi.nlm.nih.gov/protein/58037141","Ascc1")</f>
        <v>Ascc1</v>
      </c>
      <c r="E593" t="str">
        <f>HYPERLINK("J:\Depot - mpkCCD Fractions\Main Web Page\Web Pages_old\proteomic_fractions_linear_files/Yang_linear_img/58037141.jpg","show blot")</f>
        <v>show blot</v>
      </c>
      <c r="G593" t="s">
        <v>591</v>
      </c>
      <c r="I593" s="6">
        <v>3.728718372653788</v>
      </c>
      <c r="K593" s="8"/>
    </row>
    <row r="594" spans="1:11" ht="15" x14ac:dyDescent="0.25">
      <c r="A594" s="3" t="str">
        <f>HYPERLINK("proteomic_fractions_linear_files/Yang_linear_img/20270208.jpg", "20270208")</f>
        <v>20270208</v>
      </c>
      <c r="C594" s="3" t="str">
        <f>HYPERLINK("http://www.ncbi.nlm.nih.gov/protein/20270208","Ascc2")</f>
        <v>Ascc2</v>
      </c>
      <c r="E594" t="str">
        <f>HYPERLINK("J:\Depot - mpkCCD Fractions\Main Web Page\Web Pages_old\proteomic_fractions_linear_files/Yang_linear_img/20270208.jpg","show blot")</f>
        <v>show blot</v>
      </c>
      <c r="G594" t="s">
        <v>592</v>
      </c>
      <c r="I594" s="6">
        <v>3.0678178308993362</v>
      </c>
      <c r="K594" s="8"/>
    </row>
    <row r="595" spans="1:11" ht="15" x14ac:dyDescent="0.25">
      <c r="A595" s="3" t="str">
        <f>HYPERLINK("proteomic_fractions_linear_files/Yang_linear_img/225703058.jpg", "225703058")</f>
        <v>225703058</v>
      </c>
      <c r="C595" s="3" t="str">
        <f>HYPERLINK("http://www.ncbi.nlm.nih.gov/protein/225703058","Ascc3")</f>
        <v>Ascc3</v>
      </c>
      <c r="E595" t="str">
        <f>HYPERLINK("J:\Depot - mpkCCD Fractions\Main Web Page\Web Pages_old\proteomic_fractions_linear_files/Yang_linear_img/225703058.jpg","show blot")</f>
        <v>show blot</v>
      </c>
      <c r="G595" t="s">
        <v>593</v>
      </c>
      <c r="I595" s="6">
        <v>3.9077642366294265</v>
      </c>
      <c r="K595" s="8"/>
    </row>
    <row r="596" spans="1:11" ht="15" x14ac:dyDescent="0.25">
      <c r="A596" s="3" t="str">
        <f>HYPERLINK("proteomic_fractions_linear_files/Yang_linear_img/13384964.jpg", "13384964")</f>
        <v>13384964</v>
      </c>
      <c r="C596" s="3" t="str">
        <f>HYPERLINK("http://www.ncbi.nlm.nih.gov/protein/13384964","Asf1a")</f>
        <v>Asf1a</v>
      </c>
      <c r="E596" t="str">
        <f>HYPERLINK("J:\Depot - mpkCCD Fractions\Main Web Page\Web Pages_old\proteomic_fractions_linear_files/Yang_linear_img/13384964.jpg","show blot")</f>
        <v>show blot</v>
      </c>
      <c r="G596" t="s">
        <v>594</v>
      </c>
      <c r="I596" s="6">
        <v>4.3912399392542474</v>
      </c>
      <c r="K596" s="8"/>
    </row>
    <row r="597" spans="1:11" ht="15" x14ac:dyDescent="0.25">
      <c r="A597" s="3" t="str">
        <f>HYPERLINK("proteomic_fractions_linear_files/Yang_linear_img/21313226.jpg", "21313226")</f>
        <v>21313226</v>
      </c>
      <c r="C597" s="3" t="str">
        <f>HYPERLINK("http://www.ncbi.nlm.nih.gov/protein/21313226","Asf1b")</f>
        <v>Asf1b</v>
      </c>
      <c r="E597" t="str">
        <f>HYPERLINK("J:\Depot - mpkCCD Fractions\Main Web Page\Web Pages_old\proteomic_fractions_linear_files/Yang_linear_img/21313226.jpg","show blot")</f>
        <v>show blot</v>
      </c>
      <c r="G597" t="s">
        <v>595</v>
      </c>
      <c r="I597" s="6">
        <v>4.339191435453313</v>
      </c>
      <c r="K597" s="8"/>
    </row>
    <row r="598" spans="1:11" ht="15" x14ac:dyDescent="0.25">
      <c r="A598" s="3" t="str">
        <f>HYPERLINK("proteomic_fractions_linear_files/Yang_linear_img/124248550.jpg", "124248550")</f>
        <v>124248550</v>
      </c>
      <c r="C598" s="3" t="str">
        <f>HYPERLINK("http://www.ncbi.nlm.nih.gov/protein/124248550","Ash2l")</f>
        <v>Ash2l</v>
      </c>
      <c r="E598" t="str">
        <f>HYPERLINK("J:\Depot - mpkCCD Fractions\Main Web Page\Web Pages_old\proteomic_fractions_linear_files/Yang_linear_img/124248550.jpg","show blot")</f>
        <v>show blot</v>
      </c>
      <c r="G598" t="s">
        <v>596</v>
      </c>
      <c r="I598" s="6">
        <v>4.374347303312307</v>
      </c>
      <c r="K598" s="8"/>
    </row>
    <row r="599" spans="1:11" ht="15" x14ac:dyDescent="0.25">
      <c r="A599" s="3" t="str">
        <f>HYPERLINK("proteomic_fractions_linear_files/Yang_linear_img/124248552.jpg", "124248552")</f>
        <v>124248552</v>
      </c>
      <c r="C599" s="3" t="str">
        <f>HYPERLINK("http://www.ncbi.nlm.nih.gov/protein/124248552","Ash2l")</f>
        <v>Ash2l</v>
      </c>
      <c r="E599" t="str">
        <f>HYPERLINK("J:\Depot - mpkCCD Fractions\Main Web Page\Web Pages_old\proteomic_fractions_linear_files/Yang_linear_img/124248552.jpg","show blot")</f>
        <v>show blot</v>
      </c>
      <c r="G599" t="s">
        <v>597</v>
      </c>
      <c r="I599" s="6">
        <v>4.374347303312307</v>
      </c>
      <c r="K599" s="8"/>
    </row>
    <row r="600" spans="1:11" ht="15" x14ac:dyDescent="0.25">
      <c r="A600" s="3" t="str">
        <f>HYPERLINK("proteomic_fractions_linear_files/Yang_linear_img/19526986.jpg", "19526986")</f>
        <v>19526986</v>
      </c>
      <c r="C600" s="3" t="str">
        <f>HYPERLINK("http://www.ncbi.nlm.nih.gov/protein/19526986","Asl")</f>
        <v>Asl</v>
      </c>
      <c r="E600" t="str">
        <f>HYPERLINK("J:\Depot - mpkCCD Fractions\Main Web Page\Web Pages_old\proteomic_fractions_linear_files/Yang_linear_img/19526986.jpg","show blot")</f>
        <v>show blot</v>
      </c>
      <c r="G600" t="s">
        <v>598</v>
      </c>
      <c r="I600" s="6">
        <v>5.8493807595590317</v>
      </c>
      <c r="K600" s="8"/>
    </row>
    <row r="601" spans="1:11" ht="15" x14ac:dyDescent="0.25">
      <c r="A601" s="3" t="str">
        <f>HYPERLINK("proteomic_fractions_linear_files/Yang_linear_img/12025542.jpg", "12025542")</f>
        <v>12025542</v>
      </c>
      <c r="C601" s="3" t="str">
        <f>HYPERLINK("http://www.ncbi.nlm.nih.gov/protein/12025542","Asna1")</f>
        <v>Asna1</v>
      </c>
      <c r="E601" t="str">
        <f>HYPERLINK("J:\Depot - mpkCCD Fractions\Main Web Page\Web Pages_old\proteomic_fractions_linear_files/Yang_linear_img/12025542.jpg","show blot")</f>
        <v>show blot</v>
      </c>
      <c r="G601" t="s">
        <v>599</v>
      </c>
      <c r="I601" s="6">
        <v>5.8622080683107436</v>
      </c>
      <c r="K601" s="8"/>
    </row>
    <row r="602" spans="1:11" ht="15" x14ac:dyDescent="0.25">
      <c r="A602" s="3" t="str">
        <f>HYPERLINK("proteomic_fractions_linear_files/Yang_linear_img/33469123.jpg", "33469123")</f>
        <v>33469123</v>
      </c>
      <c r="C602" s="3" t="str">
        <f>HYPERLINK("http://www.ncbi.nlm.nih.gov/protein/33469123","Asns")</f>
        <v>Asns</v>
      </c>
      <c r="E602" t="str">
        <f>HYPERLINK("J:\Depot - mpkCCD Fractions\Main Web Page\Web Pages_old\proteomic_fractions_linear_files/Yang_linear_img/33469123.jpg","show blot")</f>
        <v>show blot</v>
      </c>
      <c r="G602" t="s">
        <v>600</v>
      </c>
      <c r="I602" s="6">
        <v>3.8559837632413485</v>
      </c>
      <c r="K602" s="8"/>
    </row>
    <row r="603" spans="1:11" ht="15" x14ac:dyDescent="0.25">
      <c r="A603" s="3" t="str">
        <f>HYPERLINK("proteomic_fractions_linear_files/Yang_linear_img/125628654.jpg", "125628654")</f>
        <v>125628654</v>
      </c>
      <c r="C603" s="3" t="str">
        <f>HYPERLINK("http://www.ncbi.nlm.nih.gov/protein/125628654","Asph")</f>
        <v>Asph</v>
      </c>
      <c r="E603" t="str">
        <f>HYPERLINK("J:\Depot - mpkCCD Fractions\Main Web Page\Web Pages_old\proteomic_fractions_linear_files/Yang_linear_img/125628654.jpg","show blot")</f>
        <v>show blot</v>
      </c>
      <c r="G603" t="s">
        <v>601</v>
      </c>
      <c r="I603" s="6">
        <v>5.4018938963721039</v>
      </c>
      <c r="K603" s="8"/>
    </row>
    <row r="604" spans="1:11" ht="15" x14ac:dyDescent="0.25">
      <c r="A604" s="3" t="str">
        <f>HYPERLINK("proteomic_fractions_linear_files/Yang_linear_img/295390570.jpg", "295390570")</f>
        <v>295390570</v>
      </c>
      <c r="C604" s="3" t="str">
        <f>HYPERLINK("http://www.ncbi.nlm.nih.gov/protein/295390570","Asph")</f>
        <v>Asph</v>
      </c>
      <c r="E604" t="str">
        <f>HYPERLINK("J:\Depot - mpkCCD Fractions\Main Web Page\Web Pages_old\proteomic_fractions_linear_files/Yang_linear_img/295390570.jpg","show blot")</f>
        <v>show blot</v>
      </c>
      <c r="G604" t="s">
        <v>602</v>
      </c>
      <c r="I604" s="6">
        <v>5.4018938963721039</v>
      </c>
      <c r="K604" s="8"/>
    </row>
    <row r="605" spans="1:11" ht="15" x14ac:dyDescent="0.25">
      <c r="A605" s="3" t="str">
        <f>HYPERLINK("proteomic_fractions_linear_files/Yang_linear_img/295390587.jpg", "295390587")</f>
        <v>295390587</v>
      </c>
      <c r="C605" s="3" t="str">
        <f>HYPERLINK("http://www.ncbi.nlm.nih.gov/protein/295390587","Asph")</f>
        <v>Asph</v>
      </c>
      <c r="E605" t="str">
        <f>HYPERLINK("J:\Depot - mpkCCD Fractions\Main Web Page\Web Pages_old\proteomic_fractions_linear_files/Yang_linear_img/295390587.jpg","show blot")</f>
        <v>show blot</v>
      </c>
      <c r="G605" t="s">
        <v>603</v>
      </c>
      <c r="I605" s="6">
        <v>5.4018938963721039</v>
      </c>
      <c r="K605" s="8"/>
    </row>
    <row r="606" spans="1:11" ht="15" x14ac:dyDescent="0.25">
      <c r="A606" s="3" t="str">
        <f>HYPERLINK("proteomic_fractions_linear_files/Yang_linear_img/295390598.jpg", "295390598")</f>
        <v>295390598</v>
      </c>
      <c r="C606" s="3" t="str">
        <f>HYPERLINK("http://www.ncbi.nlm.nih.gov/protein/295390598","Asph")</f>
        <v>Asph</v>
      </c>
      <c r="E606" t="str">
        <f>HYPERLINK("J:\Depot - mpkCCD Fractions\Main Web Page\Web Pages_old\proteomic_fractions_linear_files/Yang_linear_img/295390598.jpg","show blot")</f>
        <v>show blot</v>
      </c>
      <c r="G606" t="s">
        <v>604</v>
      </c>
      <c r="I606" s="6">
        <v>5.4018938963721039</v>
      </c>
      <c r="K606" s="8"/>
    </row>
    <row r="607" spans="1:11" ht="15" x14ac:dyDescent="0.25">
      <c r="A607" s="3" t="str">
        <f>HYPERLINK("proteomic_fractions_linear_files/Yang_linear_img/125628659.jpg", "125628659")</f>
        <v>125628659</v>
      </c>
      <c r="C607" s="3" t="str">
        <f>HYPERLINK("http://www.ncbi.nlm.nih.gov/protein/125628659","Asph")</f>
        <v>Asph</v>
      </c>
      <c r="E607" t="str">
        <f>HYPERLINK("J:\Depot - mpkCCD Fractions\Main Web Page\Web Pages_old\proteomic_fractions_linear_files/Yang_linear_img/125628659.jpg","show blot")</f>
        <v>show blot</v>
      </c>
      <c r="G607" t="s">
        <v>605</v>
      </c>
      <c r="I607" s="6">
        <v>5.4018938963721039</v>
      </c>
      <c r="K607" s="8"/>
    </row>
    <row r="608" spans="1:11" ht="15" x14ac:dyDescent="0.25">
      <c r="A608" s="3" t="str">
        <f>HYPERLINK("proteomic_fractions_linear_files/Yang_linear_img/295390525.jpg", "295390525")</f>
        <v>295390525</v>
      </c>
      <c r="C608" s="3" t="str">
        <f>HYPERLINK("http://www.ncbi.nlm.nih.gov/protein/295390525","Asph")</f>
        <v>Asph</v>
      </c>
      <c r="E608" t="str">
        <f>HYPERLINK("J:\Depot - mpkCCD Fractions\Main Web Page\Web Pages_old\proteomic_fractions_linear_files/Yang_linear_img/295390525.jpg","show blot")</f>
        <v>show blot</v>
      </c>
      <c r="G608" t="s">
        <v>606</v>
      </c>
      <c r="I608" s="6">
        <v>5.4018938963721039</v>
      </c>
      <c r="K608" s="8"/>
    </row>
    <row r="609" spans="1:11" ht="15" x14ac:dyDescent="0.25">
      <c r="A609" s="3" t="str">
        <f>HYPERLINK("proteomic_fractions_linear_files/Yang_linear_img/295390538.jpg", "295390538")</f>
        <v>295390538</v>
      </c>
      <c r="C609" s="3" t="str">
        <f>HYPERLINK("http://www.ncbi.nlm.nih.gov/protein/295390538","Asph")</f>
        <v>Asph</v>
      </c>
      <c r="E609" t="str">
        <f>HYPERLINK("J:\Depot - mpkCCD Fractions\Main Web Page\Web Pages_old\proteomic_fractions_linear_files/Yang_linear_img/295390538.jpg","show blot")</f>
        <v>show blot</v>
      </c>
      <c r="G609" t="s">
        <v>607</v>
      </c>
      <c r="I609" s="6">
        <v>5.4018938963721039</v>
      </c>
      <c r="K609" s="8"/>
    </row>
    <row r="610" spans="1:11" ht="15" x14ac:dyDescent="0.25">
      <c r="A610" s="3" t="str">
        <f>HYPERLINK("proteomic_fractions_linear_files/Yang_linear_img/295390552.jpg", "295390552")</f>
        <v>295390552</v>
      </c>
      <c r="C610" s="3" t="str">
        <f>HYPERLINK("http://www.ncbi.nlm.nih.gov/protein/295390552","Asph")</f>
        <v>Asph</v>
      </c>
      <c r="E610" t="str">
        <f>HYPERLINK("J:\Depot - mpkCCD Fractions\Main Web Page\Web Pages_old\proteomic_fractions_linear_files/Yang_linear_img/295390552.jpg","show blot")</f>
        <v>show blot</v>
      </c>
      <c r="G610" t="s">
        <v>608</v>
      </c>
      <c r="I610" s="6">
        <v>5.4018938963721039</v>
      </c>
      <c r="K610" s="8"/>
    </row>
    <row r="611" spans="1:11" ht="15" x14ac:dyDescent="0.25">
      <c r="A611" s="3" t="str">
        <f>HYPERLINK("proteomic_fractions_linear_files/Yang_linear_img/295390613.jpg", "295390613")</f>
        <v>295390613</v>
      </c>
      <c r="C611" s="3" t="str">
        <f>HYPERLINK("http://www.ncbi.nlm.nih.gov/protein/295390613","Asph")</f>
        <v>Asph</v>
      </c>
      <c r="E611" t="str">
        <f>HYPERLINK("J:\Depot - mpkCCD Fractions\Main Web Page\Web Pages_old\proteomic_fractions_linear_files/Yang_linear_img/295390613.jpg","show blot")</f>
        <v>show blot</v>
      </c>
      <c r="G611" t="s">
        <v>609</v>
      </c>
      <c r="I611" s="6">
        <v>5.4018938963721039</v>
      </c>
      <c r="K611" s="8"/>
    </row>
    <row r="612" spans="1:11" ht="15" x14ac:dyDescent="0.25">
      <c r="A612" s="3" t="str">
        <f>HYPERLINK("proteomic_fractions_linear_files/Yang_linear_img/295390633.jpg", "295390633")</f>
        <v>295390633</v>
      </c>
      <c r="C612" s="3" t="str">
        <f>HYPERLINK("http://www.ncbi.nlm.nih.gov/protein/295390633","Asph")</f>
        <v>Asph</v>
      </c>
      <c r="E612" t="str">
        <f>HYPERLINK("J:\Depot - mpkCCD Fractions\Main Web Page\Web Pages_old\proteomic_fractions_linear_files/Yang_linear_img/295390633.jpg","show blot")</f>
        <v>show blot</v>
      </c>
      <c r="G612" t="s">
        <v>610</v>
      </c>
      <c r="I612" s="6">
        <v>5.4018938963721039</v>
      </c>
      <c r="K612" s="8"/>
    </row>
    <row r="613" spans="1:11" ht="15" x14ac:dyDescent="0.25">
      <c r="A613" s="3" t="str">
        <f>HYPERLINK("proteomic_fractions_linear_files/Yang_linear_img/87298845.jpg", "87298845")</f>
        <v>87298845</v>
      </c>
      <c r="C613" s="3" t="str">
        <f>HYPERLINK("http://www.ncbi.nlm.nih.gov/protein/87298845","Aspm")</f>
        <v>Aspm</v>
      </c>
      <c r="E613" t="str">
        <f>HYPERLINK("J:\Depot - mpkCCD Fractions\Main Web Page\Web Pages_old\proteomic_fractions_linear_files/Yang_linear_img/87298845.jpg","show blot")</f>
        <v>show blot</v>
      </c>
      <c r="G613" t="s">
        <v>611</v>
      </c>
      <c r="I613" s="6">
        <v>0.69561636232843105</v>
      </c>
      <c r="K613" s="8"/>
    </row>
    <row r="614" spans="1:11" ht="15" x14ac:dyDescent="0.25">
      <c r="A614" s="3" t="str">
        <f>HYPERLINK("proteomic_fractions_linear_files/Yang_linear_img/255982537.jpg", "255982537")</f>
        <v>255982537</v>
      </c>
      <c r="C614" s="3" t="str">
        <f>HYPERLINK("http://www.ncbi.nlm.nih.gov/protein/255982537","Aspscr1")</f>
        <v>Aspscr1</v>
      </c>
      <c r="E614" t="str">
        <f>HYPERLINK("J:\Depot - mpkCCD Fractions\Main Web Page\Web Pages_old\proteomic_fractions_linear_files/Yang_linear_img/255982537.jpg","show blot")</f>
        <v>show blot</v>
      </c>
      <c r="G614" t="s">
        <v>612</v>
      </c>
      <c r="I614" s="6">
        <v>4.6694404793908371</v>
      </c>
      <c r="K614" s="8"/>
    </row>
    <row r="615" spans="1:11" ht="15" x14ac:dyDescent="0.25">
      <c r="A615" s="3" t="str">
        <f>HYPERLINK("proteomic_fractions_linear_files/Yang_linear_img/38016200.jpg", "38016200")</f>
        <v>38016200</v>
      </c>
      <c r="C615" s="3" t="str">
        <f>HYPERLINK("http://www.ncbi.nlm.nih.gov/protein/38016200","Aspscr1")</f>
        <v>Aspscr1</v>
      </c>
      <c r="E615" t="str">
        <f>HYPERLINK("J:\Depot - mpkCCD Fractions\Main Web Page\Web Pages_old\proteomic_fractions_linear_files/Yang_linear_img/38016200.jpg","show blot")</f>
        <v>show blot</v>
      </c>
      <c r="G615" t="s">
        <v>613</v>
      </c>
      <c r="I615" s="6">
        <v>4.6694404793908371</v>
      </c>
      <c r="K615" s="8"/>
    </row>
    <row r="616" spans="1:11" ht="15" x14ac:dyDescent="0.25">
      <c r="A616" s="3" t="str">
        <f>HYPERLINK("proteomic_fractions_linear_files/Yang_linear_img/30794438.jpg", "30794438")</f>
        <v>30794438</v>
      </c>
      <c r="C616" s="3" t="str">
        <f>HYPERLINK("http://www.ncbi.nlm.nih.gov/protein/30794438","Aspscr1")</f>
        <v>Aspscr1</v>
      </c>
      <c r="E616" t="str">
        <f>HYPERLINK("J:\Depot - mpkCCD Fractions\Main Web Page\Web Pages_old\proteomic_fractions_linear_files/Yang_linear_img/30794438.jpg","show blot")</f>
        <v>show blot</v>
      </c>
      <c r="G616" t="s">
        <v>614</v>
      </c>
      <c r="I616" s="6">
        <v>4.6694404793908371</v>
      </c>
      <c r="K616" s="8"/>
    </row>
    <row r="617" spans="1:11" ht="15" x14ac:dyDescent="0.25">
      <c r="A617" s="3" t="str">
        <f>HYPERLINK("proteomic_fractions_linear_files/Yang_linear_img/6996911.jpg", "6996911")</f>
        <v>6996911</v>
      </c>
      <c r="C617" s="3" t="str">
        <f>HYPERLINK("http://www.ncbi.nlm.nih.gov/protein/6996911","Ass1")</f>
        <v>Ass1</v>
      </c>
      <c r="E617" t="str">
        <f>HYPERLINK("J:\Depot - mpkCCD Fractions\Main Web Page\Web Pages_old\proteomic_fractions_linear_files/Yang_linear_img/6996911.jpg","show blot")</f>
        <v>show blot</v>
      </c>
      <c r="G617" t="s">
        <v>615</v>
      </c>
      <c r="I617" s="6">
        <v>5.4443073051883655</v>
      </c>
      <c r="K617" s="8"/>
    </row>
    <row r="618" spans="1:11" ht="15" x14ac:dyDescent="0.25">
      <c r="A618" s="3" t="str">
        <f>HYPERLINK("proteomic_fractions_linear_files/Yang_linear_img/31560168.jpg", "31560168")</f>
        <v>31560168</v>
      </c>
      <c r="C618" s="3" t="str">
        <f>HYPERLINK("http://www.ncbi.nlm.nih.gov/protein/31560168","Atad1")</f>
        <v>Atad1</v>
      </c>
      <c r="E618" t="str">
        <f>HYPERLINK("J:\Depot - mpkCCD Fractions\Main Web Page\Web Pages_old\proteomic_fractions_linear_files/Yang_linear_img/31560168.jpg","show blot")</f>
        <v>show blot</v>
      </c>
      <c r="G618" t="s">
        <v>616</v>
      </c>
      <c r="I618" s="6">
        <v>4.4544489984096955</v>
      </c>
      <c r="K618" s="8"/>
    </row>
    <row r="619" spans="1:11" ht="15" x14ac:dyDescent="0.25">
      <c r="A619" s="3" t="str">
        <f>HYPERLINK("proteomic_fractions_linear_files/Yang_linear_img/91199557.jpg", "91199557")</f>
        <v>91199557</v>
      </c>
      <c r="C619" s="3" t="str">
        <f>HYPERLINK("http://www.ncbi.nlm.nih.gov/protein/91199557","Atad2")</f>
        <v>Atad2</v>
      </c>
      <c r="E619" t="str">
        <f>HYPERLINK("J:\Depot - mpkCCD Fractions\Main Web Page\Web Pages_old\proteomic_fractions_linear_files/Yang_linear_img/91199557.jpg","show blot")</f>
        <v>show blot</v>
      </c>
      <c r="G619" t="s">
        <v>617</v>
      </c>
      <c r="I619" s="6">
        <v>2.7472171389501461</v>
      </c>
      <c r="K619" s="8"/>
    </row>
    <row r="620" spans="1:11" ht="15" x14ac:dyDescent="0.25">
      <c r="A620" s="3" t="str">
        <f>HYPERLINK("proteomic_fractions_linear_files/Yang_linear_img/239985513.jpg", "239985513")</f>
        <v>239985513</v>
      </c>
      <c r="C620" s="3" t="str">
        <f>HYPERLINK("http://www.ncbi.nlm.nih.gov/protein/239985513","Atad3a")</f>
        <v>Atad3a</v>
      </c>
      <c r="E620" t="str">
        <f>HYPERLINK("J:\Depot - mpkCCD Fractions\Main Web Page\Web Pages_old\proteomic_fractions_linear_files/Yang_linear_img/239985513.jpg","show blot")</f>
        <v>show blot</v>
      </c>
      <c r="G620" t="s">
        <v>618</v>
      </c>
      <c r="I620" s="6">
        <v>4.380017625766877</v>
      </c>
      <c r="K620" s="8"/>
    </row>
    <row r="621" spans="1:11" ht="15" x14ac:dyDescent="0.25">
      <c r="A621" s="3" t="str">
        <f>HYPERLINK("proteomic_fractions_linear_files/Yang_linear_img/209862913.jpg", "209862913")</f>
        <v>209862913</v>
      </c>
      <c r="C621" s="3" t="str">
        <f>HYPERLINK("http://www.ncbi.nlm.nih.gov/protein/209862913","Ate1")</f>
        <v>Ate1</v>
      </c>
      <c r="E621" t="str">
        <f>HYPERLINK("J:\Depot - mpkCCD Fractions\Main Web Page\Web Pages_old\proteomic_fractions_linear_files/Yang_linear_img/209862913.jpg","show blot")</f>
        <v>show blot</v>
      </c>
      <c r="G621" t="s">
        <v>619</v>
      </c>
      <c r="I621" s="6">
        <v>3.4234028816731605</v>
      </c>
      <c r="K621" s="8"/>
    </row>
    <row r="622" spans="1:11" ht="15" x14ac:dyDescent="0.25">
      <c r="A622" s="3" t="str">
        <f>HYPERLINK("proteomic_fractions_linear_files/Yang_linear_img/31542151.jpg", "31542151")</f>
        <v>31542151</v>
      </c>
      <c r="C622" s="3" t="str">
        <f>HYPERLINK("http://www.ncbi.nlm.nih.gov/protein/31542151","Ate1")</f>
        <v>Ate1</v>
      </c>
      <c r="E622" t="str">
        <f>HYPERLINK("J:\Depot - mpkCCD Fractions\Main Web Page\Web Pages_old\proteomic_fractions_linear_files/Yang_linear_img/31542151.jpg","show blot")</f>
        <v>show blot</v>
      </c>
      <c r="G622" t="s">
        <v>620</v>
      </c>
      <c r="I622" s="6">
        <v>3.4234028816731605</v>
      </c>
      <c r="K622" s="8"/>
    </row>
    <row r="623" spans="1:11" ht="15" x14ac:dyDescent="0.25">
      <c r="A623" s="3" t="str">
        <f>HYPERLINK("proteomic_fractions_linear_files/Yang_linear_img/405113032.jpg", "405113032")</f>
        <v>405113032</v>
      </c>
      <c r="C623" s="3" t="str">
        <f>HYPERLINK("http://www.ncbi.nlm.nih.gov/protein/405113032","Ate1")</f>
        <v>Ate1</v>
      </c>
      <c r="E623" t="str">
        <f>HYPERLINK("J:\Depot - mpkCCD Fractions\Main Web Page\Web Pages_old\proteomic_fractions_linear_files/Yang_linear_img/405113032.jpg","show blot")</f>
        <v>show blot</v>
      </c>
      <c r="G623" t="s">
        <v>621</v>
      </c>
      <c r="I623" s="6">
        <v>3.4234028816731605</v>
      </c>
      <c r="K623" s="8"/>
    </row>
    <row r="624" spans="1:11" ht="15" x14ac:dyDescent="0.25">
      <c r="A624" s="3" t="str">
        <f>HYPERLINK("proteomic_fractions_linear_files/Yang_linear_img/71274127.jpg", "71274127")</f>
        <v>71274127</v>
      </c>
      <c r="C624" s="3" t="str">
        <f>HYPERLINK("http://www.ncbi.nlm.nih.gov/protein/71274127","Ate1")</f>
        <v>Ate1</v>
      </c>
      <c r="E624" t="str">
        <f>HYPERLINK("J:\Depot - mpkCCD Fractions\Main Web Page\Web Pages_old\proteomic_fractions_linear_files/Yang_linear_img/71274127.jpg","show blot")</f>
        <v>show blot</v>
      </c>
      <c r="G624" t="s">
        <v>622</v>
      </c>
      <c r="I624" s="6">
        <v>3.4234028816731605</v>
      </c>
      <c r="K624" s="8"/>
    </row>
    <row r="625" spans="1:11" ht="15" x14ac:dyDescent="0.25">
      <c r="A625" s="3" t="str">
        <f>HYPERLINK("proteomic_fractions_linear_files/Yang_linear_img/124486811.jpg", "124486811")</f>
        <v>124486811</v>
      </c>
      <c r="C625" s="3" t="str">
        <f>HYPERLINK("http://www.ncbi.nlm.nih.gov/protein/124486811","Atf6")</f>
        <v>Atf6</v>
      </c>
      <c r="E625" t="str">
        <f>HYPERLINK("J:\Depot - mpkCCD Fractions\Main Web Page\Web Pages_old\proteomic_fractions_linear_files/Yang_linear_img/124486811.jpg","show blot")</f>
        <v>show blot</v>
      </c>
      <c r="G625" t="s">
        <v>623</v>
      </c>
      <c r="I625" s="6">
        <v>3.8776136931478113</v>
      </c>
      <c r="K625" s="8"/>
    </row>
    <row r="626" spans="1:11" ht="15" x14ac:dyDescent="0.25">
      <c r="A626" s="3" t="str">
        <f>HYPERLINK("proteomic_fractions_linear_files/Yang_linear_img/34328232.jpg", "34328232")</f>
        <v>34328232</v>
      </c>
      <c r="C626" s="3" t="str">
        <f>HYPERLINK("http://www.ncbi.nlm.nih.gov/protein/34328232","Atf7ip")</f>
        <v>Atf7ip</v>
      </c>
      <c r="E626" t="str">
        <f>HYPERLINK("J:\Depot - mpkCCD Fractions\Main Web Page\Web Pages_old\proteomic_fractions_linear_files/Yang_linear_img/34328232.jpg","show blot")</f>
        <v>show blot</v>
      </c>
      <c r="G626" t="s">
        <v>624</v>
      </c>
      <c r="I626" s="6">
        <v>3.5723333156051358</v>
      </c>
      <c r="K626" s="8"/>
    </row>
    <row r="627" spans="1:11" ht="15" x14ac:dyDescent="0.25">
      <c r="A627" s="3" t="str">
        <f>HYPERLINK("proteomic_fractions_linear_files/Yang_linear_img/27777650.jpg", "27777650")</f>
        <v>27777650</v>
      </c>
      <c r="C627" s="3" t="str">
        <f>HYPERLINK("http://www.ncbi.nlm.nih.gov/protein/27777650","Atg16l1")</f>
        <v>Atg16l1</v>
      </c>
      <c r="E627" t="str">
        <f>HYPERLINK("J:\Depot - mpkCCD Fractions\Main Web Page\Web Pages_old\proteomic_fractions_linear_files/Yang_linear_img/27777650.jpg","show blot")</f>
        <v>show blot</v>
      </c>
      <c r="G627" t="s">
        <v>625</v>
      </c>
      <c r="I627" s="6">
        <v>3.527612652889053</v>
      </c>
      <c r="K627" s="8"/>
    </row>
    <row r="628" spans="1:11" ht="15" x14ac:dyDescent="0.25">
      <c r="A628" s="3" t="str">
        <f>HYPERLINK("proteomic_fractions_linear_files/Yang_linear_img/329663747.jpg", "329663747")</f>
        <v>329663747</v>
      </c>
      <c r="C628" s="3" t="str">
        <f>HYPERLINK("http://www.ncbi.nlm.nih.gov/protein/329663747","Atg16l1")</f>
        <v>Atg16l1</v>
      </c>
      <c r="E628" t="str">
        <f>HYPERLINK("J:\Depot - mpkCCD Fractions\Main Web Page\Web Pages_old\proteomic_fractions_linear_files/Yang_linear_img/329663747.jpg","show blot")</f>
        <v>show blot</v>
      </c>
      <c r="G628" t="s">
        <v>626</v>
      </c>
      <c r="I628" s="6">
        <v>3.527612652889053</v>
      </c>
      <c r="K628" s="8"/>
    </row>
    <row r="629" spans="1:11" ht="15" x14ac:dyDescent="0.25">
      <c r="A629" s="3" t="str">
        <f>HYPERLINK("proteomic_fractions_linear_files/Yang_linear_img/329663755.jpg", "329663755")</f>
        <v>329663755</v>
      </c>
      <c r="C629" s="3" t="str">
        <f>HYPERLINK("http://www.ncbi.nlm.nih.gov/protein/329663755","Atg16l1")</f>
        <v>Atg16l1</v>
      </c>
      <c r="E629" t="str">
        <f>HYPERLINK("J:\Depot - mpkCCD Fractions\Main Web Page\Web Pages_old\proteomic_fractions_linear_files/Yang_linear_img/329663755.jpg","show blot")</f>
        <v>show blot</v>
      </c>
      <c r="G629" t="s">
        <v>627</v>
      </c>
      <c r="I629" s="6">
        <v>3.527612652889053</v>
      </c>
      <c r="K629" s="8"/>
    </row>
    <row r="630" spans="1:11" ht="15" x14ac:dyDescent="0.25">
      <c r="A630" s="3" t="str">
        <f>HYPERLINK("proteomic_fractions_linear_files/Yang_linear_img/118197274.jpg", "118197274")</f>
        <v>118197274</v>
      </c>
      <c r="C630" s="3" t="str">
        <f>HYPERLINK("http://www.ncbi.nlm.nih.gov/protein/118197274","Atg2b")</f>
        <v>Atg2b</v>
      </c>
      <c r="E630" t="str">
        <f>HYPERLINK("J:\Depot - mpkCCD Fractions\Main Web Page\Web Pages_old\proteomic_fractions_linear_files/Yang_linear_img/118197274.jpg","show blot")</f>
        <v>show blot</v>
      </c>
      <c r="G630" t="s">
        <v>628</v>
      </c>
      <c r="I630" s="6">
        <v>3.3237768383891959</v>
      </c>
      <c r="K630" s="8"/>
    </row>
    <row r="631" spans="1:11" ht="15" x14ac:dyDescent="0.25">
      <c r="A631" s="3" t="str">
        <f>HYPERLINK("proteomic_fractions_linear_files/Yang_linear_img/13385890.jpg", "13385890")</f>
        <v>13385890</v>
      </c>
      <c r="C631" s="3" t="str">
        <f>HYPERLINK("http://www.ncbi.nlm.nih.gov/protein/13385890","Atg3")</f>
        <v>Atg3</v>
      </c>
      <c r="E631" t="str">
        <f>HYPERLINK("J:\Depot - mpkCCD Fractions\Main Web Page\Web Pages_old\proteomic_fractions_linear_files/Yang_linear_img/13385890.jpg","show blot")</f>
        <v>show blot</v>
      </c>
      <c r="G631" t="s">
        <v>629</v>
      </c>
      <c r="I631" s="6">
        <v>5.2687326282201399</v>
      </c>
      <c r="K631" s="8"/>
    </row>
    <row r="632" spans="1:11" ht="15" x14ac:dyDescent="0.25">
      <c r="A632" s="3" t="str">
        <f>HYPERLINK("proteomic_fractions_linear_files/Yang_linear_img/27883848.jpg", "27883848")</f>
        <v>27883848</v>
      </c>
      <c r="C632" s="3" t="str">
        <f>HYPERLINK("http://www.ncbi.nlm.nih.gov/protein/27883848","Atg4b")</f>
        <v>Atg4b</v>
      </c>
      <c r="E632" t="str">
        <f>HYPERLINK("J:\Depot - mpkCCD Fractions\Main Web Page\Web Pages_old\proteomic_fractions_linear_files/Yang_linear_img/27883848.jpg","show blot")</f>
        <v>show blot</v>
      </c>
      <c r="G632" t="s">
        <v>630</v>
      </c>
      <c r="I632" s="6">
        <v>4.4028352462287037</v>
      </c>
      <c r="K632" s="8"/>
    </row>
    <row r="633" spans="1:11" ht="15" x14ac:dyDescent="0.25">
      <c r="A633" s="3" t="str">
        <f>HYPERLINK("proteomic_fractions_linear_files/Yang_linear_img/16716341.jpg", "16716341")</f>
        <v>16716341</v>
      </c>
      <c r="C633" s="3" t="str">
        <f>HYPERLINK("http://www.ncbi.nlm.nih.gov/protein/16716341","Atg5")</f>
        <v>Atg5</v>
      </c>
      <c r="E633" t="str">
        <f>HYPERLINK("J:\Depot - mpkCCD Fractions\Main Web Page\Web Pages_old\proteomic_fractions_linear_files/Yang_linear_img/16716341.jpg","show blot")</f>
        <v>show blot</v>
      </c>
      <c r="G633" t="s">
        <v>631</v>
      </c>
      <c r="I633" s="6">
        <v>5.0448111302654892</v>
      </c>
      <c r="K633" s="8"/>
    </row>
    <row r="634" spans="1:11" ht="15" x14ac:dyDescent="0.25">
      <c r="A634" s="3" t="str">
        <f>HYPERLINK("proteomic_fractions_linear_files/Yang_linear_img/22550098.jpg", "22550098")</f>
        <v>22550098</v>
      </c>
      <c r="C634" s="3" t="str">
        <f>HYPERLINK("http://www.ncbi.nlm.nih.gov/protein/22550098","Atg7")</f>
        <v>Atg7</v>
      </c>
      <c r="E634" t="str">
        <f>HYPERLINK("J:\Depot - mpkCCD Fractions\Main Web Page\Web Pages_old\proteomic_fractions_linear_files/Yang_linear_img/22550098.jpg","show blot")</f>
        <v>show blot</v>
      </c>
      <c r="G634" t="s">
        <v>632</v>
      </c>
      <c r="I634" s="6">
        <v>4.5436977566544412</v>
      </c>
      <c r="K634" s="8"/>
    </row>
    <row r="635" spans="1:11" ht="15" x14ac:dyDescent="0.25">
      <c r="A635" s="3" t="str">
        <f>HYPERLINK("proteomic_fractions_linear_files/Yang_linear_img/22550098;358679371.jpg", "22550098;358679371")</f>
        <v>22550098;358679371</v>
      </c>
      <c r="C635" s="3" t="str">
        <f>HYPERLINK("http://www.ncbi.nlm.nih.gov/protein/22550098;358679371","Atg7")</f>
        <v>Atg7</v>
      </c>
      <c r="E635" t="str">
        <f>HYPERLINK("J:\Depot - mpkCCD Fractions\Main Web Page\Web Pages_old\proteomic_fractions_linear_files/Yang_linear_img/22550098;358679371.jpg","show blot")</f>
        <v>show blot</v>
      </c>
      <c r="G635" t="s">
        <v>632</v>
      </c>
      <c r="I635" s="6">
        <v>4.5436977566544412</v>
      </c>
      <c r="K635" s="8"/>
    </row>
    <row r="636" spans="1:11" ht="15" x14ac:dyDescent="0.25">
      <c r="A636" s="3" t="str">
        <f>HYPERLINK("proteomic_fractions_linear_files/Yang_linear_img/358679369.jpg", "358679369")</f>
        <v>358679369</v>
      </c>
      <c r="C636" s="3" t="str">
        <f>HYPERLINK("http://www.ncbi.nlm.nih.gov/protein/358679369","Atg7")</f>
        <v>Atg7</v>
      </c>
      <c r="E636" t="str">
        <f>HYPERLINK("J:\Depot - mpkCCD Fractions\Main Web Page\Web Pages_old\proteomic_fractions_linear_files/Yang_linear_img/358679369.jpg","show blot")</f>
        <v>show blot</v>
      </c>
      <c r="G636" t="s">
        <v>633</v>
      </c>
      <c r="I636" s="6">
        <v>4.5436977566544412</v>
      </c>
      <c r="K636" s="8"/>
    </row>
    <row r="637" spans="1:11" ht="15" x14ac:dyDescent="0.25">
      <c r="A637" s="3" t="str">
        <f>HYPERLINK("proteomic_fractions_linear_files/Yang_linear_img/227908823.jpg", "227908823")</f>
        <v>227908823</v>
      </c>
      <c r="C637" s="3" t="str">
        <f>HYPERLINK("http://www.ncbi.nlm.nih.gov/protein/227908823","Atic")</f>
        <v>Atic</v>
      </c>
      <c r="E637" t="str">
        <f>HYPERLINK("J:\Depot - mpkCCD Fractions\Main Web Page\Web Pages_old\proteomic_fractions_linear_files/Yang_linear_img/227908823.jpg","show blot")</f>
        <v>show blot</v>
      </c>
      <c r="G637" t="s">
        <v>634</v>
      </c>
      <c r="I637" s="6">
        <v>5.6892295606740673</v>
      </c>
      <c r="K637" s="8"/>
    </row>
    <row r="638" spans="1:11" ht="15" x14ac:dyDescent="0.25">
      <c r="A638" s="3" t="str">
        <f>HYPERLINK("proteomic_fractions_linear_files/Yang_linear_img/30519971.jpg", "30519971")</f>
        <v>30519971</v>
      </c>
      <c r="C638" s="3" t="str">
        <f>HYPERLINK("http://www.ncbi.nlm.nih.gov/protein/30519971","Atl1")</f>
        <v>Atl1</v>
      </c>
      <c r="E638" t="str">
        <f>HYPERLINK("J:\Depot - mpkCCD Fractions\Main Web Page\Web Pages_old\proteomic_fractions_linear_files/Yang_linear_img/30519971.jpg","show blot")</f>
        <v>show blot</v>
      </c>
      <c r="G638" t="s">
        <v>635</v>
      </c>
      <c r="I638" s="6">
        <v>3.0959671242709041</v>
      </c>
      <c r="K638" s="8"/>
    </row>
    <row r="639" spans="1:11" ht="15" x14ac:dyDescent="0.25">
      <c r="A639" s="3" t="str">
        <f>HYPERLINK("proteomic_fractions_linear_files/Yang_linear_img/557786119.jpg", "557786119")</f>
        <v>557786119</v>
      </c>
      <c r="C639" s="3" t="str">
        <f>HYPERLINK("http://www.ncbi.nlm.nih.gov/protein/557786119","Atl2")</f>
        <v>Atl2</v>
      </c>
      <c r="E639" t="str">
        <f>HYPERLINK("J:\Depot - mpkCCD Fractions\Main Web Page\Web Pages_old\proteomic_fractions_linear_files/Yang_linear_img/557786119.jpg","show blot")</f>
        <v>show blot</v>
      </c>
      <c r="G639" t="s">
        <v>636</v>
      </c>
      <c r="I639" s="6">
        <v>3.7325300682312101</v>
      </c>
      <c r="K639" s="8"/>
    </row>
    <row r="640" spans="1:11" ht="15" x14ac:dyDescent="0.25">
      <c r="A640" s="3" t="str">
        <f>HYPERLINK("proteomic_fractions_linear_files/Yang_linear_img/119372300.jpg", "119372300")</f>
        <v>119372300</v>
      </c>
      <c r="C640" s="3" t="str">
        <f>HYPERLINK("http://www.ncbi.nlm.nih.gov/protein/119372300","Atl2")</f>
        <v>Atl2</v>
      </c>
      <c r="E640" t="str">
        <f>HYPERLINK("J:\Depot - mpkCCD Fractions\Main Web Page\Web Pages_old\proteomic_fractions_linear_files/Yang_linear_img/119372300.jpg","show blot")</f>
        <v>show blot</v>
      </c>
      <c r="G640" t="s">
        <v>637</v>
      </c>
      <c r="I640" s="6">
        <v>3.7325300682312101</v>
      </c>
      <c r="K640" s="8"/>
    </row>
    <row r="641" spans="1:11" ht="15" x14ac:dyDescent="0.25">
      <c r="A641" s="3" t="str">
        <f>HYPERLINK("proteomic_fractions_linear_files/Yang_linear_img/119372304.jpg", "119372304")</f>
        <v>119372304</v>
      </c>
      <c r="C641" s="3" t="str">
        <f>HYPERLINK("http://www.ncbi.nlm.nih.gov/protein/119372304","Atl2")</f>
        <v>Atl2</v>
      </c>
      <c r="E641" t="str">
        <f>HYPERLINK("J:\Depot - mpkCCD Fractions\Main Web Page\Web Pages_old\proteomic_fractions_linear_files/Yang_linear_img/119372304.jpg","show blot")</f>
        <v>show blot</v>
      </c>
      <c r="G641" t="s">
        <v>638</v>
      </c>
      <c r="I641" s="6">
        <v>3.7325300682312101</v>
      </c>
      <c r="K641" s="8"/>
    </row>
    <row r="642" spans="1:11" ht="15" x14ac:dyDescent="0.25">
      <c r="A642" s="3" t="str">
        <f>HYPERLINK("proteomic_fractions_linear_files/Yang_linear_img/254826716.jpg", "254826716")</f>
        <v>254826716</v>
      </c>
      <c r="C642" s="3" t="str">
        <f>HYPERLINK("http://www.ncbi.nlm.nih.gov/protein/254826716","Atl3")</f>
        <v>Atl3</v>
      </c>
      <c r="E642" t="str">
        <f>HYPERLINK("J:\Depot - mpkCCD Fractions\Main Web Page\Web Pages_old\proteomic_fractions_linear_files/Yang_linear_img/254826716.jpg","show blot")</f>
        <v>show blot</v>
      </c>
      <c r="G642" t="s">
        <v>639</v>
      </c>
      <c r="I642" s="6">
        <v>5.3973177147001214</v>
      </c>
      <c r="K642" s="8"/>
    </row>
    <row r="643" spans="1:11" ht="15" x14ac:dyDescent="0.25">
      <c r="A643" s="3" t="str">
        <f>HYPERLINK("proteomic_fractions_linear_files/Yang_linear_img/254826718.jpg", "254826718")</f>
        <v>254826718</v>
      </c>
      <c r="C643" s="3" t="str">
        <f>HYPERLINK("http://www.ncbi.nlm.nih.gov/protein/254826718","Atl3")</f>
        <v>Atl3</v>
      </c>
      <c r="E643" t="str">
        <f>HYPERLINK("J:\Depot - mpkCCD Fractions\Main Web Page\Web Pages_old\proteomic_fractions_linear_files/Yang_linear_img/254826718.jpg","show blot")</f>
        <v>show blot</v>
      </c>
      <c r="G643" t="s">
        <v>640</v>
      </c>
      <c r="I643" s="6">
        <v>5.3973177147001214</v>
      </c>
      <c r="K643" s="8"/>
    </row>
    <row r="644" spans="1:11" ht="15" x14ac:dyDescent="0.25">
      <c r="A644" s="3" t="str">
        <f>HYPERLINK("proteomic_fractions_linear_files/Yang_linear_img/163838660.jpg", "163838660")</f>
        <v>163838660</v>
      </c>
      <c r="C644" s="3" t="str">
        <f>HYPERLINK("http://www.ncbi.nlm.nih.gov/protein/163838660","Atm")</f>
        <v>Atm</v>
      </c>
      <c r="E644" t="str">
        <f>HYPERLINK("J:\Depot - mpkCCD Fractions\Main Web Page\Web Pages_old\proteomic_fractions_linear_files/Yang_linear_img/163838660.jpg","show blot")</f>
        <v>show blot</v>
      </c>
      <c r="G644" t="s">
        <v>641</v>
      </c>
      <c r="I644" s="6">
        <v>1.9696710346277162</v>
      </c>
      <c r="K644" s="8"/>
    </row>
    <row r="645" spans="1:11" ht="15" x14ac:dyDescent="0.25">
      <c r="A645" s="3" t="str">
        <f>HYPERLINK("proteomic_fractions_linear_files/Yang_linear_img/239049657.jpg", "239049657")</f>
        <v>239049657</v>
      </c>
      <c r="C645" s="3" t="str">
        <f>HYPERLINK("http://www.ncbi.nlm.nih.gov/protein/239049657","Atmin")</f>
        <v>Atmin</v>
      </c>
      <c r="E645" t="str">
        <f>HYPERLINK("J:\Depot - mpkCCD Fractions\Main Web Page\Web Pages_old\proteomic_fractions_linear_files/Yang_linear_img/239049657.jpg","show blot")</f>
        <v>show blot</v>
      </c>
      <c r="G645" t="s">
        <v>642</v>
      </c>
      <c r="I645" s="6">
        <v>3.7419337855822157</v>
      </c>
      <c r="K645" s="8"/>
    </row>
    <row r="646" spans="1:11" ht="15" x14ac:dyDescent="0.25">
      <c r="A646" s="3" t="str">
        <f>HYPERLINK("proteomic_fractions_linear_files/Yang_linear_img/6753136.jpg", "6753136")</f>
        <v>6753136</v>
      </c>
      <c r="C646" s="3" t="str">
        <f>HYPERLINK("http://www.ncbi.nlm.nih.gov/protein/6753136","Atox1")</f>
        <v>Atox1</v>
      </c>
      <c r="E646" t="str">
        <f>HYPERLINK("J:\Depot - mpkCCD Fractions\Main Web Page\Web Pages_old\proteomic_fractions_linear_files/Yang_linear_img/6753136.jpg","show blot")</f>
        <v>show blot</v>
      </c>
      <c r="G646" t="s">
        <v>643</v>
      </c>
      <c r="I646" s="6">
        <v>4.6307472317725935</v>
      </c>
      <c r="K646" s="8"/>
    </row>
    <row r="647" spans="1:11" ht="15" x14ac:dyDescent="0.25">
      <c r="A647" s="3" t="str">
        <f>HYPERLINK("proteomic_fractions_linear_files/Yang_linear_img/7656914.jpg", "7656914")</f>
        <v>7656914</v>
      </c>
      <c r="C647" s="3" t="str">
        <f>HYPERLINK("http://www.ncbi.nlm.nih.gov/protein/7656914","Atp11a")</f>
        <v>Atp11a</v>
      </c>
      <c r="E647" t="str">
        <f>HYPERLINK("J:\Depot - mpkCCD Fractions\Main Web Page\Web Pages_old\proteomic_fractions_linear_files/Yang_linear_img/7656914.jpg","show blot")</f>
        <v>show blot</v>
      </c>
      <c r="G647" t="s">
        <v>644</v>
      </c>
      <c r="I647" s="6">
        <v>3.7752316858553745</v>
      </c>
      <c r="K647" s="8"/>
    </row>
    <row r="648" spans="1:11" ht="15" x14ac:dyDescent="0.25">
      <c r="A648" s="3" t="str">
        <f>HYPERLINK("proteomic_fractions_linear_files/Yang_linear_img/62632754.jpg", "62632754")</f>
        <v>62632754</v>
      </c>
      <c r="C648" s="3" t="str">
        <f>HYPERLINK("http://www.ncbi.nlm.nih.gov/protein/62632754","Atp11b")</f>
        <v>Atp11b</v>
      </c>
      <c r="E648" t="str">
        <f>HYPERLINK("J:\Depot - mpkCCD Fractions\Main Web Page\Web Pages_old\proteomic_fractions_linear_files/Yang_linear_img/62632754.jpg","show blot")</f>
        <v>show blot</v>
      </c>
      <c r="G648" t="s">
        <v>645</v>
      </c>
      <c r="I648" s="6">
        <v>3.2156514753268515</v>
      </c>
      <c r="K648" s="8"/>
    </row>
    <row r="649" spans="1:11" ht="15" x14ac:dyDescent="0.25">
      <c r="A649" s="3" t="str">
        <f>HYPERLINK("proteomic_fractions_linear_files/Yang_linear_img/157168326.jpg", "157168326")</f>
        <v>157168326</v>
      </c>
      <c r="C649" s="3" t="str">
        <f>HYPERLINK("http://www.ncbi.nlm.nih.gov/protein/157168326","Atp12a")</f>
        <v>Atp12a</v>
      </c>
      <c r="E649" t="str">
        <f>HYPERLINK("J:\Depot - mpkCCD Fractions\Main Web Page\Web Pages_old\proteomic_fractions_linear_files/Yang_linear_img/157168326.jpg","show blot")</f>
        <v>show blot</v>
      </c>
      <c r="G649" t="s">
        <v>646</v>
      </c>
      <c r="I649" s="6">
        <v>5.5018596465896019</v>
      </c>
      <c r="K649" s="8"/>
    </row>
    <row r="650" spans="1:11" ht="15" x14ac:dyDescent="0.25">
      <c r="A650" s="3" t="str">
        <f>HYPERLINK("proteomic_fractions_linear_files/Yang_linear_img/283135194.jpg", "283135194")</f>
        <v>283135194</v>
      </c>
      <c r="C650" s="3" t="str">
        <f>HYPERLINK("http://www.ncbi.nlm.nih.gov/protein/283135194","Atp13a1")</f>
        <v>Atp13a1</v>
      </c>
      <c r="E650" t="str">
        <f>HYPERLINK("J:\Depot - mpkCCD Fractions\Main Web Page\Web Pages_old\proteomic_fractions_linear_files/Yang_linear_img/283135194.jpg","show blot")</f>
        <v>show blot</v>
      </c>
      <c r="G650" t="s">
        <v>647</v>
      </c>
      <c r="I650" s="6">
        <v>4.4905413832161614</v>
      </c>
      <c r="K650" s="8"/>
    </row>
    <row r="651" spans="1:11" ht="15" x14ac:dyDescent="0.25">
      <c r="A651" s="3" t="str">
        <f>HYPERLINK("proteomic_fractions_linear_files/Yang_linear_img/189339252.jpg", "189339252")</f>
        <v>189339252</v>
      </c>
      <c r="C651" s="3" t="str">
        <f>HYPERLINK("http://www.ncbi.nlm.nih.gov/protein/189339252","Atp13a3")</f>
        <v>Atp13a3</v>
      </c>
      <c r="E651" t="str">
        <f>HYPERLINK("J:\Depot - mpkCCD Fractions\Main Web Page\Web Pages_old\proteomic_fractions_linear_files/Yang_linear_img/189339252.jpg","show blot")</f>
        <v>show blot</v>
      </c>
      <c r="G651" t="s">
        <v>648</v>
      </c>
      <c r="I651" s="6">
        <v>2.3546831531426089</v>
      </c>
      <c r="K651" s="8"/>
    </row>
    <row r="652" spans="1:11" ht="15" x14ac:dyDescent="0.25">
      <c r="A652" s="3" t="str">
        <f>HYPERLINK("proteomic_fractions_linear_files/Yang_linear_img/189339254.jpg", "189339254")</f>
        <v>189339254</v>
      </c>
      <c r="C652" s="3" t="str">
        <f>HYPERLINK("http://www.ncbi.nlm.nih.gov/protein/189339254","Atp13a3")</f>
        <v>Atp13a3</v>
      </c>
      <c r="E652" t="str">
        <f>HYPERLINK("J:\Depot - mpkCCD Fractions\Main Web Page\Web Pages_old\proteomic_fractions_linear_files/Yang_linear_img/189339254.jpg","show blot")</f>
        <v>show blot</v>
      </c>
      <c r="G652" t="s">
        <v>649</v>
      </c>
      <c r="I652" s="6">
        <v>2.3546831531426089</v>
      </c>
      <c r="K652" s="8"/>
    </row>
    <row r="653" spans="1:11" ht="15" x14ac:dyDescent="0.25">
      <c r="A653" s="3" t="str">
        <f>HYPERLINK("proteomic_fractions_linear_files/Yang_linear_img/21450277.jpg", "21450277")</f>
        <v>21450277</v>
      </c>
      <c r="C653" s="3" t="str">
        <f>HYPERLINK("http://www.ncbi.nlm.nih.gov/protein/21450277","Atp1a1")</f>
        <v>Atp1a1</v>
      </c>
      <c r="E653" t="str">
        <f>HYPERLINK("J:\Depot - mpkCCD Fractions\Main Web Page\Web Pages_old\proteomic_fractions_linear_files/Yang_linear_img/21450277.jpg","show blot")</f>
        <v>show blot</v>
      </c>
      <c r="G653" t="s">
        <v>650</v>
      </c>
      <c r="I653" s="6">
        <v>6.7039749994723481</v>
      </c>
      <c r="K653" s="8"/>
    </row>
    <row r="654" spans="1:11" ht="15" x14ac:dyDescent="0.25">
      <c r="A654" s="3" t="str">
        <f>HYPERLINK("proteomic_fractions_linear_files/Yang_linear_img/30409956.jpg", "30409956")</f>
        <v>30409956</v>
      </c>
      <c r="C654" s="3" t="str">
        <f>HYPERLINK("http://www.ncbi.nlm.nih.gov/protein/30409956","Atp1a2")</f>
        <v>Atp1a2</v>
      </c>
      <c r="E654" t="str">
        <f>HYPERLINK("J:\Depot - mpkCCD Fractions\Main Web Page\Web Pages_old\proteomic_fractions_linear_files/Yang_linear_img/30409956.jpg","show blot")</f>
        <v>show blot</v>
      </c>
      <c r="G654" t="s">
        <v>651</v>
      </c>
      <c r="I654" s="6">
        <v>6.2572266224355628</v>
      </c>
      <c r="K654" s="8"/>
    </row>
    <row r="655" spans="1:11" ht="15" x14ac:dyDescent="0.25">
      <c r="A655" s="3" t="str">
        <f>HYPERLINK("proteomic_fractions_linear_files/Yang_linear_img/21450321.jpg", "21450321")</f>
        <v>21450321</v>
      </c>
      <c r="C655" s="3" t="str">
        <f>HYPERLINK("http://www.ncbi.nlm.nih.gov/protein/21450321","Atp1a3")</f>
        <v>Atp1a3</v>
      </c>
      <c r="E655" t="str">
        <f>HYPERLINK("J:\Depot - mpkCCD Fractions\Main Web Page\Web Pages_old\proteomic_fractions_linear_files/Yang_linear_img/21450321.jpg","show blot")</f>
        <v>show blot</v>
      </c>
      <c r="G655" t="s">
        <v>652</v>
      </c>
      <c r="I655" s="6">
        <v>6.2332943011656106</v>
      </c>
      <c r="K655" s="8"/>
    </row>
    <row r="656" spans="1:11" ht="15" x14ac:dyDescent="0.25">
      <c r="A656" s="3" t="str">
        <f>HYPERLINK("proteomic_fractions_linear_files/Yang_linear_img/226958351.jpg", "226958351")</f>
        <v>226958351</v>
      </c>
      <c r="C656" s="3" t="str">
        <f>HYPERLINK("http://www.ncbi.nlm.nih.gov/protein/226958351","Atp1a4")</f>
        <v>Atp1a4</v>
      </c>
      <c r="E656" t="str">
        <f>HYPERLINK("J:\Depot - mpkCCD Fractions\Main Web Page\Web Pages_old\proteomic_fractions_linear_files/Yang_linear_img/226958351.jpg","show blot")</f>
        <v>show blot</v>
      </c>
      <c r="G656" t="s">
        <v>653</v>
      </c>
      <c r="I656" s="6">
        <v>5.7573516939884115</v>
      </c>
      <c r="K656" s="8"/>
    </row>
    <row r="657" spans="1:11" ht="15" x14ac:dyDescent="0.25">
      <c r="A657" s="3" t="str">
        <f>HYPERLINK("proteomic_fractions_linear_files/Yang_linear_img/6753138.jpg", "6753138")</f>
        <v>6753138</v>
      </c>
      <c r="C657" s="3" t="str">
        <f>HYPERLINK("http://www.ncbi.nlm.nih.gov/protein/6753138","Atp1b1")</f>
        <v>Atp1b1</v>
      </c>
      <c r="E657" t="str">
        <f>HYPERLINK("J:\Depot - mpkCCD Fractions\Main Web Page\Web Pages_old\proteomic_fractions_linear_files/Yang_linear_img/6753138.jpg","show blot")</f>
        <v>show blot</v>
      </c>
      <c r="G657" t="s">
        <v>654</v>
      </c>
      <c r="I657" s="6">
        <v>6.5114828302001646</v>
      </c>
      <c r="K657" s="8"/>
    </row>
    <row r="658" spans="1:11" ht="15" x14ac:dyDescent="0.25">
      <c r="A658" s="3" t="str">
        <f>HYPERLINK("proteomic_fractions_linear_files/Yang_linear_img/6680744.jpg", "6680744")</f>
        <v>6680744</v>
      </c>
      <c r="C658" s="3" t="str">
        <f>HYPERLINK("http://www.ncbi.nlm.nih.gov/protein/6680744","Atp1b3")</f>
        <v>Atp1b3</v>
      </c>
      <c r="E658" t="str">
        <f>HYPERLINK("J:\Depot - mpkCCD Fractions\Main Web Page\Web Pages_old\proteomic_fractions_linear_files/Yang_linear_img/6680744.jpg","show blot")</f>
        <v>show blot</v>
      </c>
      <c r="G658" t="s">
        <v>655</v>
      </c>
      <c r="I658" s="6">
        <v>5.0641285513046403</v>
      </c>
      <c r="K658" s="8"/>
    </row>
    <row r="659" spans="1:11" ht="15" x14ac:dyDescent="0.25">
      <c r="A659" s="3" t="str">
        <f>HYPERLINK("proteomic_fractions_linear_files/Yang_linear_img/36031132.jpg", "36031132")</f>
        <v>36031132</v>
      </c>
      <c r="C659" s="3" t="str">
        <f>HYPERLINK("http://www.ncbi.nlm.nih.gov/protein/36031132","Atp2a1")</f>
        <v>Atp2a1</v>
      </c>
      <c r="E659" t="str">
        <f>HYPERLINK("J:\Depot - mpkCCD Fractions\Main Web Page\Web Pages_old\proteomic_fractions_linear_files/Yang_linear_img/36031132.jpg","show blot")</f>
        <v>show blot</v>
      </c>
      <c r="G659" t="s">
        <v>656</v>
      </c>
      <c r="I659" s="6">
        <v>4.9669271942355442</v>
      </c>
      <c r="K659" s="8"/>
    </row>
    <row r="660" spans="1:11" ht="15" x14ac:dyDescent="0.25">
      <c r="A660" s="3" t="str">
        <f>HYPERLINK("proteomic_fractions_linear_files/Yang_linear_img/158635979.jpg", "158635979")</f>
        <v>158635979</v>
      </c>
      <c r="C660" s="3" t="str">
        <f>HYPERLINK("http://www.ncbi.nlm.nih.gov/protein/158635979","Atp2a2")</f>
        <v>Atp2a2</v>
      </c>
      <c r="E660" t="str">
        <f>HYPERLINK("J:\Depot - mpkCCD Fractions\Main Web Page\Web Pages_old\proteomic_fractions_linear_files/Yang_linear_img/158635979.jpg","show blot")</f>
        <v>show blot</v>
      </c>
      <c r="G660" t="s">
        <v>657</v>
      </c>
      <c r="I660" s="6">
        <v>5.5356566300654544</v>
      </c>
      <c r="K660" s="8"/>
    </row>
    <row r="661" spans="1:11" ht="15" x14ac:dyDescent="0.25">
      <c r="A661" s="3" t="str">
        <f>HYPERLINK("proteomic_fractions_linear_files/Yang_linear_img/6806903.jpg", "6806903")</f>
        <v>6806903</v>
      </c>
      <c r="C661" s="3" t="str">
        <f>HYPERLINK("http://www.ncbi.nlm.nih.gov/protein/6806903","Atp2a2")</f>
        <v>Atp2a2</v>
      </c>
      <c r="E661" t="str">
        <f>HYPERLINK("J:\Depot - mpkCCD Fractions\Main Web Page\Web Pages_old\proteomic_fractions_linear_files/Yang_linear_img/6806903.jpg","show blot")</f>
        <v>show blot</v>
      </c>
      <c r="G661" t="s">
        <v>658</v>
      </c>
      <c r="I661" s="6">
        <v>5.5356566300654544</v>
      </c>
      <c r="K661" s="8"/>
    </row>
    <row r="662" spans="1:11" ht="15" x14ac:dyDescent="0.25">
      <c r="A662" s="3" t="str">
        <f>HYPERLINK("proteomic_fractions_linear_files/Yang_linear_img/254039658.jpg", "254039658")</f>
        <v>254039658</v>
      </c>
      <c r="C662" s="3" t="str">
        <f>HYPERLINK("http://www.ncbi.nlm.nih.gov/protein/254039658","Atp2a3")</f>
        <v>Atp2a3</v>
      </c>
      <c r="E662" t="str">
        <f>HYPERLINK("J:\Depot - mpkCCD Fractions\Main Web Page\Web Pages_old\proteomic_fractions_linear_files/Yang_linear_img/254039658.jpg","show blot")</f>
        <v>show blot</v>
      </c>
      <c r="G662" t="s">
        <v>659</v>
      </c>
      <c r="I662" s="6">
        <v>5.2684366721429257</v>
      </c>
      <c r="K662" s="8"/>
    </row>
    <row r="663" spans="1:11" ht="15" x14ac:dyDescent="0.25">
      <c r="A663" s="3" t="str">
        <f>HYPERLINK("proteomic_fractions_linear_files/Yang_linear_img/254039660.jpg", "254039660")</f>
        <v>254039660</v>
      </c>
      <c r="C663" s="3" t="str">
        <f>HYPERLINK("http://www.ncbi.nlm.nih.gov/protein/254039660","Atp2a3")</f>
        <v>Atp2a3</v>
      </c>
      <c r="E663" t="str">
        <f>HYPERLINK("J:\Depot - mpkCCD Fractions\Main Web Page\Web Pages_old\proteomic_fractions_linear_files/Yang_linear_img/254039660.jpg","show blot")</f>
        <v>show blot</v>
      </c>
      <c r="G663" t="s">
        <v>660</v>
      </c>
      <c r="I663" s="6">
        <v>5.2684366721429257</v>
      </c>
      <c r="K663" s="8"/>
    </row>
    <row r="664" spans="1:11" ht="15" x14ac:dyDescent="0.25">
      <c r="A664" s="3" t="str">
        <f>HYPERLINK("proteomic_fractions_linear_files/Yang_linear_img/31542159.jpg", "31542159")</f>
        <v>31542159</v>
      </c>
      <c r="C664" s="3" t="str">
        <f>HYPERLINK("http://www.ncbi.nlm.nih.gov/protein/31542159","Atp2a3")</f>
        <v>Atp2a3</v>
      </c>
      <c r="E664" t="str">
        <f>HYPERLINK("J:\Depot - mpkCCD Fractions\Main Web Page\Web Pages_old\proteomic_fractions_linear_files/Yang_linear_img/31542159.jpg","show blot")</f>
        <v>show blot</v>
      </c>
      <c r="G664" t="s">
        <v>661</v>
      </c>
      <c r="I664" s="6">
        <v>5.2684366721429257</v>
      </c>
      <c r="K664" s="8"/>
    </row>
    <row r="665" spans="1:11" ht="15" x14ac:dyDescent="0.25">
      <c r="A665" s="3" t="str">
        <f>HYPERLINK("proteomic_fractions_linear_files/Yang_linear_img/62234487.jpg", "62234487")</f>
        <v>62234487</v>
      </c>
      <c r="C665" s="3" t="str">
        <f>HYPERLINK("http://www.ncbi.nlm.nih.gov/protein/62234487","Atp2b1")</f>
        <v>Atp2b1</v>
      </c>
      <c r="E665" t="str">
        <f>HYPERLINK("J:\Depot - mpkCCD Fractions\Main Web Page\Web Pages_old\proteomic_fractions_linear_files/Yang_linear_img/62234487.jpg","show blot")</f>
        <v>show blot</v>
      </c>
      <c r="G665" t="s">
        <v>662</v>
      </c>
      <c r="I665" s="6">
        <v>4.7362929195738239</v>
      </c>
      <c r="K665" s="8"/>
    </row>
    <row r="666" spans="1:11" ht="15" x14ac:dyDescent="0.25">
      <c r="A666" s="3" t="str">
        <f>HYPERLINK("proteomic_fractions_linear_files/Yang_linear_img/6753140.jpg", "6753140")</f>
        <v>6753140</v>
      </c>
      <c r="C666" s="3" t="str">
        <f>HYPERLINK("http://www.ncbi.nlm.nih.gov/protein/6753140","Atp2b2")</f>
        <v>Atp2b2</v>
      </c>
      <c r="E666" t="str">
        <f>HYPERLINK("J:\Depot - mpkCCD Fractions\Main Web Page\Web Pages_old\proteomic_fractions_linear_files/Yang_linear_img/6753140.jpg","show blot")</f>
        <v>show blot</v>
      </c>
      <c r="G666" t="s">
        <v>663</v>
      </c>
      <c r="I666" s="6">
        <v>4.3668636768878537</v>
      </c>
      <c r="K666" s="8"/>
    </row>
    <row r="667" spans="1:11" ht="15" x14ac:dyDescent="0.25">
      <c r="A667" s="3" t="str">
        <f>HYPERLINK("proteomic_fractions_linear_files/Yang_linear_img/80861454.jpg", "80861454")</f>
        <v>80861454</v>
      </c>
      <c r="C667" s="3" t="str">
        <f>HYPERLINK("http://www.ncbi.nlm.nih.gov/protein/80861454","Atp2b2")</f>
        <v>Atp2b2</v>
      </c>
      <c r="E667" t="str">
        <f>HYPERLINK("J:\Depot - mpkCCD Fractions\Main Web Page\Web Pages_old\proteomic_fractions_linear_files/Yang_linear_img/80861454.jpg","show blot")</f>
        <v>show blot</v>
      </c>
      <c r="G667" t="s">
        <v>663</v>
      </c>
      <c r="I667" s="6">
        <v>4.3668636768878537</v>
      </c>
      <c r="K667" s="8"/>
    </row>
    <row r="668" spans="1:11" ht="15" x14ac:dyDescent="0.25">
      <c r="A668" s="3" t="str">
        <f>HYPERLINK("proteomic_fractions_linear_files/Yang_linear_img/56699478.jpg", "56699478")</f>
        <v>56699478</v>
      </c>
      <c r="C668" s="3" t="str">
        <f>HYPERLINK("http://www.ncbi.nlm.nih.gov/protein/56699478","Atp2b3")</f>
        <v>Atp2b3</v>
      </c>
      <c r="E668" t="str">
        <f>HYPERLINK("J:\Depot - mpkCCD Fractions\Main Web Page\Web Pages_old\proteomic_fractions_linear_files/Yang_linear_img/56699478.jpg","show blot")</f>
        <v>show blot</v>
      </c>
      <c r="G668" t="s">
        <v>664</v>
      </c>
      <c r="I668" s="6">
        <v>4.3646886718934104</v>
      </c>
      <c r="K668" s="8"/>
    </row>
    <row r="669" spans="1:11" ht="15" x14ac:dyDescent="0.25">
      <c r="A669" s="3" t="str">
        <f>HYPERLINK("proteomic_fractions_linear_files/Yang_linear_img/269784615.jpg", "269784615")</f>
        <v>269784615</v>
      </c>
      <c r="C669" s="3" t="str">
        <f>HYPERLINK("http://www.ncbi.nlm.nih.gov/protein/269784615","Atp2b4")</f>
        <v>Atp2b4</v>
      </c>
      <c r="E669" t="str">
        <f>HYPERLINK("J:\Depot - mpkCCD Fractions\Main Web Page\Web Pages_old\proteomic_fractions_linear_files/Yang_linear_img/269784615.jpg","show blot")</f>
        <v>show blot</v>
      </c>
      <c r="G669" t="s">
        <v>665</v>
      </c>
      <c r="I669" s="6">
        <v>4.0900327027080028</v>
      </c>
      <c r="K669" s="8"/>
    </row>
    <row r="670" spans="1:11" ht="15" x14ac:dyDescent="0.25">
      <c r="A670" s="3" t="str">
        <f>HYPERLINK("proteomic_fractions_linear_files/Yang_linear_img/54261793.jpg", "54261793")</f>
        <v>54261793</v>
      </c>
      <c r="C670" s="3" t="str">
        <f>HYPERLINK("http://www.ncbi.nlm.nih.gov/protein/54261793","Atp2b4")</f>
        <v>Atp2b4</v>
      </c>
      <c r="E670" t="str">
        <f>HYPERLINK("J:\Depot - mpkCCD Fractions\Main Web Page\Web Pages_old\proteomic_fractions_linear_files/Yang_linear_img/54261793.jpg","show blot")</f>
        <v>show blot</v>
      </c>
      <c r="G670" t="s">
        <v>666</v>
      </c>
      <c r="I670" s="6">
        <v>4.0900327027080028</v>
      </c>
      <c r="K670" s="8"/>
    </row>
    <row r="671" spans="1:11" ht="15" x14ac:dyDescent="0.25">
      <c r="A671" s="3" t="str">
        <f>HYPERLINK("proteomic_fractions_linear_files/Yang_linear_img/225690606.jpg", "225690606")</f>
        <v>225690606</v>
      </c>
      <c r="C671" s="3" t="str">
        <f>HYPERLINK("http://www.ncbi.nlm.nih.gov/protein/225690606","Atp2c1")</f>
        <v>Atp2c1</v>
      </c>
      <c r="E671" t="str">
        <f>HYPERLINK("J:\Depot - mpkCCD Fractions\Main Web Page\Web Pages_old\proteomic_fractions_linear_files/Yang_linear_img/225690606.jpg","show blot")</f>
        <v>show blot</v>
      </c>
      <c r="G671" t="s">
        <v>667</v>
      </c>
      <c r="I671" s="6">
        <v>3.572382010263861</v>
      </c>
      <c r="K671" s="8"/>
    </row>
    <row r="672" spans="1:11" ht="15" x14ac:dyDescent="0.25">
      <c r="A672" s="3" t="str">
        <f>HYPERLINK("proteomic_fractions_linear_files/Yang_linear_img/359465596.jpg", "359465596")</f>
        <v>359465596</v>
      </c>
      <c r="C672" s="3" t="str">
        <f>HYPERLINK("http://www.ncbi.nlm.nih.gov/protein/359465596","Atp2c1")</f>
        <v>Atp2c1</v>
      </c>
      <c r="E672" t="str">
        <f>HYPERLINK("J:\Depot - mpkCCD Fractions\Main Web Page\Web Pages_old\proteomic_fractions_linear_files/Yang_linear_img/359465596.jpg","show blot")</f>
        <v>show blot</v>
      </c>
      <c r="G672" t="s">
        <v>668</v>
      </c>
      <c r="I672" s="6">
        <v>3.572382010263861</v>
      </c>
      <c r="K672" s="8"/>
    </row>
    <row r="673" spans="1:11" ht="15" x14ac:dyDescent="0.25">
      <c r="A673" s="3" t="str">
        <f>HYPERLINK("proteomic_fractions_linear_files/Yang_linear_img/359465610.jpg", "359465610")</f>
        <v>359465610</v>
      </c>
      <c r="C673" s="3" t="str">
        <f>HYPERLINK("http://www.ncbi.nlm.nih.gov/protein/359465610","Atp2c1")</f>
        <v>Atp2c1</v>
      </c>
      <c r="E673" t="str">
        <f>HYPERLINK("J:\Depot - mpkCCD Fractions\Main Web Page\Web Pages_old\proteomic_fractions_linear_files/Yang_linear_img/359465610.jpg","show blot")</f>
        <v>show blot</v>
      </c>
      <c r="G673" t="s">
        <v>669</v>
      </c>
      <c r="I673" s="6">
        <v>3.572382010263861</v>
      </c>
      <c r="K673" s="8"/>
    </row>
    <row r="674" spans="1:11" ht="15" x14ac:dyDescent="0.25">
      <c r="A674" s="3" t="str">
        <f>HYPERLINK("proteomic_fractions_linear_files/Yang_linear_img/110225337.jpg", "110225337")</f>
        <v>110225337</v>
      </c>
      <c r="C674" s="3" t="str">
        <f>HYPERLINK("http://www.ncbi.nlm.nih.gov/protein/110225337","Atp4a")</f>
        <v>Atp4a</v>
      </c>
      <c r="E674" t="str">
        <f>HYPERLINK("J:\Depot - mpkCCD Fractions\Main Web Page\Web Pages_old\proteomic_fractions_linear_files/Yang_linear_img/110225337.jpg","show blot")</f>
        <v>show blot</v>
      </c>
      <c r="G674" t="s">
        <v>670</v>
      </c>
      <c r="I674" s="6">
        <v>5.7275001029339867</v>
      </c>
      <c r="K674" s="8"/>
    </row>
    <row r="675" spans="1:11" ht="15" x14ac:dyDescent="0.25">
      <c r="A675" s="3" t="str">
        <f>HYPERLINK("proteomic_fractions_linear_files/Yang_linear_img/6680748.jpg", "6680748")</f>
        <v>6680748</v>
      </c>
      <c r="C675" s="3" t="str">
        <f>HYPERLINK("http://www.ncbi.nlm.nih.gov/protein/6680748","Atp5a1")</f>
        <v>Atp5a1</v>
      </c>
      <c r="E675" t="str">
        <f>HYPERLINK("J:\Depot - mpkCCD Fractions\Main Web Page\Web Pages_old\proteomic_fractions_linear_files/Yang_linear_img/6680748.jpg","show blot")</f>
        <v>show blot</v>
      </c>
      <c r="G675" t="s">
        <v>671</v>
      </c>
      <c r="I675" s="6">
        <v>7.1464094948138586</v>
      </c>
      <c r="K675" s="8"/>
    </row>
    <row r="676" spans="1:11" ht="15" x14ac:dyDescent="0.25">
      <c r="A676" s="3" t="str">
        <f>HYPERLINK("proteomic_fractions_linear_files/Yang_linear_img/31980648.jpg", "31980648")</f>
        <v>31980648</v>
      </c>
      <c r="C676" s="3" t="str">
        <f>HYPERLINK("http://www.ncbi.nlm.nih.gov/protein/31980648","Atp5b")</f>
        <v>Atp5b</v>
      </c>
      <c r="E676" t="str">
        <f>HYPERLINK("J:\Depot - mpkCCD Fractions\Main Web Page\Web Pages_old\proteomic_fractions_linear_files/Yang_linear_img/31980648.jpg","show blot")</f>
        <v>show blot</v>
      </c>
      <c r="G676" t="s">
        <v>672</v>
      </c>
      <c r="I676" s="6">
        <v>7.1608577128288813</v>
      </c>
      <c r="K676" s="8"/>
    </row>
    <row r="677" spans="1:11" ht="15" x14ac:dyDescent="0.25">
      <c r="A677" s="3" t="str">
        <f>HYPERLINK("proteomic_fractions_linear_files/Yang_linear_img/163838641.jpg", "163838641")</f>
        <v>163838641</v>
      </c>
      <c r="C677" s="3" t="str">
        <f>HYPERLINK("http://www.ncbi.nlm.nih.gov/protein/163838641","Atp5c1")</f>
        <v>Atp5c1</v>
      </c>
      <c r="E677" t="str">
        <f>HYPERLINK("J:\Depot - mpkCCD Fractions\Main Web Page\Web Pages_old\proteomic_fractions_linear_files/Yang_linear_img/163838641.jpg","show blot")</f>
        <v>show blot</v>
      </c>
      <c r="G677" t="s">
        <v>673</v>
      </c>
      <c r="I677" s="6">
        <v>6.3637204759160051</v>
      </c>
      <c r="K677" s="8"/>
    </row>
    <row r="678" spans="1:11" ht="15" x14ac:dyDescent="0.25">
      <c r="A678" s="3" t="str">
        <f>HYPERLINK("proteomic_fractions_linear_files/Yang_linear_img/163838648.jpg", "163838648")</f>
        <v>163838648</v>
      </c>
      <c r="C678" s="3" t="str">
        <f>HYPERLINK("http://www.ncbi.nlm.nih.gov/protein/163838648","Atp5c1")</f>
        <v>Atp5c1</v>
      </c>
      <c r="E678" t="str">
        <f>HYPERLINK("J:\Depot - mpkCCD Fractions\Main Web Page\Web Pages_old\proteomic_fractions_linear_files/Yang_linear_img/163838648.jpg","show blot")</f>
        <v>show blot</v>
      </c>
      <c r="G678" t="s">
        <v>674</v>
      </c>
      <c r="I678" s="6">
        <v>6.3637204759160051</v>
      </c>
      <c r="K678" s="8"/>
    </row>
    <row r="679" spans="1:11" ht="15" x14ac:dyDescent="0.25">
      <c r="A679" s="3" t="str">
        <f>HYPERLINK("proteomic_fractions_linear_files/Yang_linear_img/166851828.jpg", "166851828")</f>
        <v>166851828</v>
      </c>
      <c r="C679" s="3" t="str">
        <f>HYPERLINK("http://www.ncbi.nlm.nih.gov/protein/166851828","Atp5d")</f>
        <v>Atp5d</v>
      </c>
      <c r="E679" t="str">
        <f>HYPERLINK("J:\Depot - mpkCCD Fractions\Main Web Page\Web Pages_old\proteomic_fractions_linear_files/Yang_linear_img/166851828.jpg","show blot")</f>
        <v>show blot</v>
      </c>
      <c r="G679" t="s">
        <v>675</v>
      </c>
      <c r="I679" s="6">
        <v>6.3550602576164392</v>
      </c>
      <c r="K679" s="8"/>
    </row>
    <row r="680" spans="1:11" ht="15" x14ac:dyDescent="0.25">
      <c r="A680" s="3" t="str">
        <f>HYPERLINK("proteomic_fractions_linear_files/Yang_linear_img/13385484.jpg", "13385484")</f>
        <v>13385484</v>
      </c>
      <c r="C680" s="3" t="str">
        <f>HYPERLINK("http://www.ncbi.nlm.nih.gov/protein/13385484","Atp5e")</f>
        <v>Atp5e</v>
      </c>
      <c r="E680" t="str">
        <f>HYPERLINK("J:\Depot - mpkCCD Fractions\Main Web Page\Web Pages_old\proteomic_fractions_linear_files/Yang_linear_img/13385484.jpg","show blot")</f>
        <v>show blot</v>
      </c>
      <c r="G680" t="s">
        <v>676</v>
      </c>
      <c r="I680" s="6">
        <v>6.1905671616627886</v>
      </c>
      <c r="K680" s="8"/>
    </row>
    <row r="681" spans="1:11" ht="15" x14ac:dyDescent="0.25">
      <c r="A681" s="3" t="str">
        <f>HYPERLINK("proteomic_fractions_linear_files/Yang_linear_img/78214312.jpg", "78214312")</f>
        <v>78214312</v>
      </c>
      <c r="C681" s="3" t="str">
        <f>HYPERLINK("http://www.ncbi.nlm.nih.gov/protein/78214312","Atp5f1")</f>
        <v>Atp5f1</v>
      </c>
      <c r="E681" t="str">
        <f>HYPERLINK("J:\Depot - mpkCCD Fractions\Main Web Page\Web Pages_old\proteomic_fractions_linear_files/Yang_linear_img/78214312.jpg","show blot")</f>
        <v>show blot</v>
      </c>
      <c r="G681" t="s">
        <v>677</v>
      </c>
      <c r="I681" s="6">
        <v>5.8978916253047959</v>
      </c>
      <c r="K681" s="8"/>
    </row>
    <row r="682" spans="1:11" ht="15" x14ac:dyDescent="0.25">
      <c r="A682" s="3" t="str">
        <f>HYPERLINK("proteomic_fractions_linear_files/Yang_linear_img/21313679.jpg", "21313679")</f>
        <v>21313679</v>
      </c>
      <c r="C682" s="3" t="str">
        <f>HYPERLINK("http://www.ncbi.nlm.nih.gov/protein/21313679","Atp5h")</f>
        <v>Atp5h</v>
      </c>
      <c r="E682" t="str">
        <f>HYPERLINK("J:\Depot - mpkCCD Fractions\Main Web Page\Web Pages_old\proteomic_fractions_linear_files/Yang_linear_img/21313679.jpg","show blot")</f>
        <v>show blot</v>
      </c>
      <c r="G682" t="s">
        <v>678</v>
      </c>
      <c r="I682" s="6">
        <v>6.2591669333915965</v>
      </c>
      <c r="K682" s="8"/>
    </row>
    <row r="683" spans="1:11" ht="15" x14ac:dyDescent="0.25">
      <c r="A683" s="3" t="str">
        <f>HYPERLINK("proteomic_fractions_linear_files/Yang_linear_img/7949005.jpg", "7949005")</f>
        <v>7949005</v>
      </c>
      <c r="C683" s="3" t="str">
        <f>HYPERLINK("http://www.ncbi.nlm.nih.gov/protein/7949005","Atp5j")</f>
        <v>Atp5j</v>
      </c>
      <c r="E683" t="str">
        <f>HYPERLINK("J:\Depot - mpkCCD Fractions\Main Web Page\Web Pages_old\proteomic_fractions_linear_files/Yang_linear_img/7949005.jpg","show blot")</f>
        <v>show blot</v>
      </c>
      <c r="G683" t="s">
        <v>679</v>
      </c>
      <c r="I683" s="6">
        <v>5.2698720459210779</v>
      </c>
      <c r="K683" s="8"/>
    </row>
    <row r="684" spans="1:11" ht="15" x14ac:dyDescent="0.25">
      <c r="A684" s="3" t="str">
        <f>HYPERLINK("proteomic_fractions_linear_files/Yang_linear_img/10181184.jpg", "10181184")</f>
        <v>10181184</v>
      </c>
      <c r="C684" s="3" t="str">
        <f>HYPERLINK("http://www.ncbi.nlm.nih.gov/protein/10181184","Atp5j2")</f>
        <v>Atp5j2</v>
      </c>
      <c r="E684" t="str">
        <f>HYPERLINK("J:\Depot - mpkCCD Fractions\Main Web Page\Web Pages_old\proteomic_fractions_linear_files/Yang_linear_img/10181184.jpg","show blot")</f>
        <v>show blot</v>
      </c>
      <c r="G684" t="s">
        <v>680</v>
      </c>
      <c r="I684" s="6">
        <v>6.1818731154895774</v>
      </c>
      <c r="K684" s="8"/>
    </row>
    <row r="685" spans="1:11" ht="15" x14ac:dyDescent="0.25">
      <c r="A685" s="3" t="str">
        <f>HYPERLINK("proteomic_fractions_linear_files/Yang_linear_img/83715998.jpg", "83715998")</f>
        <v>83715998</v>
      </c>
      <c r="C685" s="3" t="str">
        <f>HYPERLINK("http://www.ncbi.nlm.nih.gov/protein/83715998","Atp5k")</f>
        <v>Atp5k</v>
      </c>
      <c r="E685" t="str">
        <f>HYPERLINK("J:\Depot - mpkCCD Fractions\Main Web Page\Web Pages_old\proteomic_fractions_linear_files/Yang_linear_img/83715998.jpg","show blot")</f>
        <v>show blot</v>
      </c>
      <c r="G685" t="s">
        <v>681</v>
      </c>
      <c r="I685" s="6">
        <v>6.4867491618249371</v>
      </c>
      <c r="K685" s="8"/>
    </row>
    <row r="686" spans="1:11" ht="15" x14ac:dyDescent="0.25">
      <c r="A686" s="3" t="str">
        <f>HYPERLINK("proteomic_fractions_linear_files/Yang_linear_img/31980744.jpg", "31980744")</f>
        <v>31980744</v>
      </c>
      <c r="C686" s="3" t="str">
        <f>HYPERLINK("http://www.ncbi.nlm.nih.gov/protein/31980744","Atp5l")</f>
        <v>Atp5l</v>
      </c>
      <c r="E686" t="str">
        <f>HYPERLINK("J:\Depot - mpkCCD Fractions\Main Web Page\Web Pages_old\proteomic_fractions_linear_files/Yang_linear_img/31980744.jpg","show blot")</f>
        <v>show blot</v>
      </c>
      <c r="G686" t="s">
        <v>682</v>
      </c>
      <c r="I686" s="6">
        <v>5.6875524700527418</v>
      </c>
      <c r="K686" s="8"/>
    </row>
    <row r="687" spans="1:11" ht="15" x14ac:dyDescent="0.25">
      <c r="A687" s="3" t="str">
        <f>HYPERLINK("proteomic_fractions_linear_files/Yang_linear_img/20070412;149251053.jpg", "20070412;149251053")</f>
        <v>20070412;149251053</v>
      </c>
      <c r="C687" s="3" t="str">
        <f>HYPERLINK("http://www.ncbi.nlm.nih.gov/protein/20070412;149251053","Atp5o")</f>
        <v>Atp5o</v>
      </c>
      <c r="E687" t="str">
        <f>HYPERLINK("J:\Depot - mpkCCD Fractions\Main Web Page\Web Pages_old\proteomic_fractions_linear_files/Yang_linear_img/20070412;149251053.jpg","show blot")</f>
        <v>show blot</v>
      </c>
      <c r="G687" t="s">
        <v>683</v>
      </c>
      <c r="I687" s="6">
        <v>5.7870079478703813</v>
      </c>
      <c r="K687" s="8"/>
    </row>
    <row r="688" spans="1:11" ht="15" x14ac:dyDescent="0.25">
      <c r="A688" s="3" t="str">
        <f>HYPERLINK("proteomic_fractions_linear_files/Yang_linear_img/13386040.jpg", "13386040")</f>
        <v>13386040</v>
      </c>
      <c r="C688" s="3" t="str">
        <f>HYPERLINK("http://www.ncbi.nlm.nih.gov/protein/13386040","Atp5s")</f>
        <v>Atp5s</v>
      </c>
      <c r="E688" t="str">
        <f>HYPERLINK("J:\Depot - mpkCCD Fractions\Main Web Page\Web Pages_old\proteomic_fractions_linear_files/Yang_linear_img/13386040.jpg","show blot")</f>
        <v>show blot</v>
      </c>
      <c r="G688" t="s">
        <v>684</v>
      </c>
      <c r="I688" s="6">
        <v>3.7227616954334541</v>
      </c>
      <c r="K688" s="8"/>
    </row>
    <row r="689" spans="1:11" ht="15" x14ac:dyDescent="0.25">
      <c r="A689" s="3" t="str">
        <f>HYPERLINK("proteomic_fractions_linear_files/Yang_linear_img/21361250.jpg", "21361250")</f>
        <v>21361250</v>
      </c>
      <c r="C689" s="3" t="str">
        <f>HYPERLINK("http://www.ncbi.nlm.nih.gov/protein/21361250","Atp6ap2")</f>
        <v>Atp6ap2</v>
      </c>
      <c r="E689" t="str">
        <f>HYPERLINK("J:\Depot - mpkCCD Fractions\Main Web Page\Web Pages_old\proteomic_fractions_linear_files/Yang_linear_img/21361250.jpg","show blot")</f>
        <v>show blot</v>
      </c>
      <c r="G689" t="s">
        <v>685</v>
      </c>
      <c r="I689" s="6">
        <v>3.8198210798235452</v>
      </c>
      <c r="K689" s="8"/>
    </row>
    <row r="690" spans="1:11" ht="15" x14ac:dyDescent="0.25">
      <c r="A690" s="3" t="str">
        <f>HYPERLINK("proteomic_fractions_linear_files/Yang_linear_img/12025532.jpg", "12025532")</f>
        <v>12025532</v>
      </c>
      <c r="C690" s="3" t="str">
        <f>HYPERLINK("http://www.ncbi.nlm.nih.gov/protein/12025532","Atp6v0a1")</f>
        <v>Atp6v0a1</v>
      </c>
      <c r="E690" t="str">
        <f>HYPERLINK("J:\Depot - mpkCCD Fractions\Main Web Page\Web Pages_old\proteomic_fractions_linear_files/Yang_linear_img/12025532.jpg","show blot")</f>
        <v>show blot</v>
      </c>
      <c r="G690" t="s">
        <v>686</v>
      </c>
      <c r="I690" s="6">
        <v>4.246781406092726</v>
      </c>
      <c r="K690" s="8"/>
    </row>
    <row r="691" spans="1:11" ht="15" x14ac:dyDescent="0.25">
      <c r="A691" s="3" t="str">
        <f>HYPERLINK("proteomic_fractions_linear_files/Yang_linear_img/340007375.jpg", "340007375")</f>
        <v>340007375</v>
      </c>
      <c r="C691" s="3" t="str">
        <f>HYPERLINK("http://www.ncbi.nlm.nih.gov/protein/340007375","Atp6v0a1")</f>
        <v>Atp6v0a1</v>
      </c>
      <c r="E691" t="str">
        <f>HYPERLINK("J:\Depot - mpkCCD Fractions\Main Web Page\Web Pages_old\proteomic_fractions_linear_files/Yang_linear_img/340007375.jpg","show blot")</f>
        <v>show blot</v>
      </c>
      <c r="G691" t="s">
        <v>687</v>
      </c>
      <c r="I691" s="6">
        <v>4.246781406092726</v>
      </c>
      <c r="K691" s="8"/>
    </row>
    <row r="692" spans="1:11" ht="15" x14ac:dyDescent="0.25">
      <c r="A692" s="3" t="str">
        <f>HYPERLINK("proteomic_fractions_linear_files/Yang_linear_img/340007377.jpg", "340007377")</f>
        <v>340007377</v>
      </c>
      <c r="C692" s="3" t="str">
        <f>HYPERLINK("http://www.ncbi.nlm.nih.gov/protein/340007377","Atp6v0a1")</f>
        <v>Atp6v0a1</v>
      </c>
      <c r="E692" t="str">
        <f>HYPERLINK("J:\Depot - mpkCCD Fractions\Main Web Page\Web Pages_old\proteomic_fractions_linear_files/Yang_linear_img/340007377.jpg","show blot")</f>
        <v>show blot</v>
      </c>
      <c r="G692" t="s">
        <v>688</v>
      </c>
      <c r="I692" s="6">
        <v>4.246781406092726</v>
      </c>
      <c r="K692" s="8"/>
    </row>
    <row r="693" spans="1:11" ht="15" x14ac:dyDescent="0.25">
      <c r="A693" s="3" t="str">
        <f>HYPERLINK("proteomic_fractions_linear_files/Yang_linear_img/340007379.jpg", "340007379")</f>
        <v>340007379</v>
      </c>
      <c r="C693" s="3" t="str">
        <f>HYPERLINK("http://www.ncbi.nlm.nih.gov/protein/340007379","Atp6v0a1")</f>
        <v>Atp6v0a1</v>
      </c>
      <c r="E693" t="str">
        <f>HYPERLINK("J:\Depot - mpkCCD Fractions\Main Web Page\Web Pages_old\proteomic_fractions_linear_files/Yang_linear_img/340007379.jpg","show blot")</f>
        <v>show blot</v>
      </c>
      <c r="G693" t="s">
        <v>689</v>
      </c>
      <c r="I693" s="6">
        <v>4.246781406092726</v>
      </c>
      <c r="K693" s="8"/>
    </row>
    <row r="694" spans="1:11" ht="15" x14ac:dyDescent="0.25">
      <c r="A694" s="3" t="str">
        <f>HYPERLINK("proteomic_fractions_linear_files/Yang_linear_img/83627707.jpg", "83627707")</f>
        <v>83627707</v>
      </c>
      <c r="C694" s="3" t="str">
        <f>HYPERLINK("http://www.ncbi.nlm.nih.gov/protein/83627707","Atp6v0a2")</f>
        <v>Atp6v0a2</v>
      </c>
      <c r="E694" t="str">
        <f>HYPERLINK("J:\Depot - mpkCCD Fractions\Main Web Page\Web Pages_old\proteomic_fractions_linear_files/Yang_linear_img/83627707.jpg","show blot")</f>
        <v>show blot</v>
      </c>
      <c r="G694" t="s">
        <v>690</v>
      </c>
      <c r="I694" s="6">
        <v>4.085545689716275</v>
      </c>
      <c r="K694" s="8"/>
    </row>
    <row r="695" spans="1:11" ht="15" x14ac:dyDescent="0.25">
      <c r="A695" s="3" t="str">
        <f>HYPERLINK("proteomic_fractions_linear_files/Yang_linear_img/171543866.jpg", "171543866")</f>
        <v>171543866</v>
      </c>
      <c r="C695" s="3" t="str">
        <f>HYPERLINK("http://www.ncbi.nlm.nih.gov/protein/171543866","Atp6v0a4")</f>
        <v>Atp6v0a4</v>
      </c>
      <c r="E695" t="str">
        <f>HYPERLINK("J:\Depot - mpkCCD Fractions\Main Web Page\Web Pages_old\proteomic_fractions_linear_files/Yang_linear_img/171543866.jpg","show blot")</f>
        <v>show blot</v>
      </c>
      <c r="G695" t="s">
        <v>691</v>
      </c>
      <c r="I695" s="6">
        <v>3.1865846289072595</v>
      </c>
      <c r="K695" s="8"/>
    </row>
    <row r="696" spans="1:11" ht="15" x14ac:dyDescent="0.25">
      <c r="A696" s="3" t="str">
        <f>HYPERLINK("proteomic_fractions_linear_files/Yang_linear_img/6753144.jpg", "6753144")</f>
        <v>6753144</v>
      </c>
      <c r="C696" s="3" t="str">
        <f>HYPERLINK("http://www.ncbi.nlm.nih.gov/protein/6753144","Atp6v0c")</f>
        <v>Atp6v0c</v>
      </c>
      <c r="E696" t="str">
        <f>HYPERLINK("J:\Depot - mpkCCD Fractions\Main Web Page\Web Pages_old\proteomic_fractions_linear_files/Yang_linear_img/6753144.jpg","show blot")</f>
        <v>show blot</v>
      </c>
      <c r="G696" t="s">
        <v>692</v>
      </c>
      <c r="I696" s="6">
        <v>5.543840076716374</v>
      </c>
      <c r="K696" s="8"/>
    </row>
    <row r="697" spans="1:11" ht="15" x14ac:dyDescent="0.25">
      <c r="A697" s="3" t="str">
        <f>HYPERLINK("proteomic_fractions_linear_files/Yang_linear_img/31981304.jpg", "31981304")</f>
        <v>31981304</v>
      </c>
      <c r="C697" s="3" t="str">
        <f>HYPERLINK("http://www.ncbi.nlm.nih.gov/protein/31981304","Atp6v0d1")</f>
        <v>Atp6v0d1</v>
      </c>
      <c r="E697" t="str">
        <f>HYPERLINK("J:\Depot - mpkCCD Fractions\Main Web Page\Web Pages_old\proteomic_fractions_linear_files/Yang_linear_img/31981304.jpg","show blot")</f>
        <v>show blot</v>
      </c>
      <c r="G697" t="s">
        <v>693</v>
      </c>
      <c r="I697" s="6">
        <v>5.5808481921351971</v>
      </c>
      <c r="K697" s="8"/>
    </row>
    <row r="698" spans="1:11" ht="15" x14ac:dyDescent="0.25">
      <c r="A698" s="3" t="str">
        <f>HYPERLINK("proteomic_fractions_linear_files/Yang_linear_img/31560731.jpg", "31560731")</f>
        <v>31560731</v>
      </c>
      <c r="C698" s="3" t="str">
        <f>HYPERLINK("http://www.ncbi.nlm.nih.gov/protein/31560731","Atp6v1a")</f>
        <v>Atp6v1a</v>
      </c>
      <c r="E698" t="str">
        <f>HYPERLINK("J:\Depot - mpkCCD Fractions\Main Web Page\Web Pages_old\proteomic_fractions_linear_files/Yang_linear_img/31560731.jpg","show blot")</f>
        <v>show blot</v>
      </c>
      <c r="G698" t="s">
        <v>694</v>
      </c>
      <c r="I698" s="6">
        <v>6.0126520118803937</v>
      </c>
      <c r="K698" s="8"/>
    </row>
    <row r="699" spans="1:11" ht="15" x14ac:dyDescent="0.25">
      <c r="A699" s="3" t="str">
        <f>HYPERLINK("proteomic_fractions_linear_files/Yang_linear_img/19527064.jpg", "19527064")</f>
        <v>19527064</v>
      </c>
      <c r="C699" s="3" t="str">
        <f>HYPERLINK("http://www.ncbi.nlm.nih.gov/protein/19527064","Atp6v1b1")</f>
        <v>Atp6v1b1</v>
      </c>
      <c r="E699" t="str">
        <f>HYPERLINK("J:\Depot - mpkCCD Fractions\Main Web Page\Web Pages_old\proteomic_fractions_linear_files/Yang_linear_img/19527064.jpg","show blot")</f>
        <v>show blot</v>
      </c>
      <c r="G699" t="s">
        <v>695</v>
      </c>
      <c r="I699" s="6">
        <v>5.6190274607406394</v>
      </c>
      <c r="K699" s="8"/>
    </row>
    <row r="700" spans="1:11" ht="15" x14ac:dyDescent="0.25">
      <c r="A700" s="3" t="str">
        <f>HYPERLINK("proteomic_fractions_linear_files/Yang_linear_img/19705578.jpg", "19705578")</f>
        <v>19705578</v>
      </c>
      <c r="C700" s="3" t="str">
        <f>HYPERLINK("http://www.ncbi.nlm.nih.gov/protein/19705578","Atp6v1b2")</f>
        <v>Atp6v1b2</v>
      </c>
      <c r="E700" t="str">
        <f>HYPERLINK("J:\Depot - mpkCCD Fractions\Main Web Page\Web Pages_old\proteomic_fractions_linear_files/Yang_linear_img/19705578.jpg","show blot")</f>
        <v>show blot</v>
      </c>
      <c r="G700" t="s">
        <v>696</v>
      </c>
      <c r="I700" s="6">
        <v>5.9020955492637288</v>
      </c>
      <c r="K700" s="8"/>
    </row>
    <row r="701" spans="1:11" ht="15" x14ac:dyDescent="0.25">
      <c r="A701" s="3" t="str">
        <f>HYPERLINK("proteomic_fractions_linear_files/Yang_linear_img/189339262.jpg", "189339262")</f>
        <v>189339262</v>
      </c>
      <c r="C701" s="3" t="str">
        <f>HYPERLINK("http://www.ncbi.nlm.nih.gov/protein/189339262","Atp6v1c1")</f>
        <v>Atp6v1c1</v>
      </c>
      <c r="E701" t="str">
        <f>HYPERLINK("J:\Depot - mpkCCD Fractions\Main Web Page\Web Pages_old\proteomic_fractions_linear_files/Yang_linear_img/189339262.jpg","show blot")</f>
        <v>show blot</v>
      </c>
      <c r="G701" t="s">
        <v>697</v>
      </c>
      <c r="I701" s="6">
        <v>5.6050836803150572</v>
      </c>
      <c r="K701" s="8"/>
    </row>
    <row r="702" spans="1:11" ht="15" x14ac:dyDescent="0.25">
      <c r="A702" s="3" t="str">
        <f>HYPERLINK("proteomic_fractions_linear_files/Yang_linear_img/19526870.jpg", "19526870")</f>
        <v>19526870</v>
      </c>
      <c r="C702" s="3" t="str">
        <f>HYPERLINK("http://www.ncbi.nlm.nih.gov/protein/19526870","Atp6v1c2")</f>
        <v>Atp6v1c2</v>
      </c>
      <c r="E702" t="str">
        <f>HYPERLINK("J:\Depot - mpkCCD Fractions\Main Web Page\Web Pages_old\proteomic_fractions_linear_files/Yang_linear_img/19526870.jpg","show blot")</f>
        <v>show blot</v>
      </c>
      <c r="G702" t="s">
        <v>698</v>
      </c>
      <c r="I702" s="6">
        <v>3.6448979173603684</v>
      </c>
      <c r="K702" s="8"/>
    </row>
    <row r="703" spans="1:11" ht="15" x14ac:dyDescent="0.25">
      <c r="A703" s="3" t="str">
        <f>HYPERLINK("proteomic_fractions_linear_files/Yang_linear_img/227499977.jpg", "227499977")</f>
        <v>227499977</v>
      </c>
      <c r="C703" s="3" t="str">
        <f>HYPERLINK("http://www.ncbi.nlm.nih.gov/protein/227499977","Atp6v1c2")</f>
        <v>Atp6v1c2</v>
      </c>
      <c r="E703" t="str">
        <f>HYPERLINK("J:\Depot - mpkCCD Fractions\Main Web Page\Web Pages_old\proteomic_fractions_linear_files/Yang_linear_img/227499977.jpg","show blot")</f>
        <v>show blot</v>
      </c>
      <c r="G703" t="s">
        <v>699</v>
      </c>
      <c r="I703" s="6">
        <v>3.6448979173603684</v>
      </c>
      <c r="K703" s="8"/>
    </row>
    <row r="704" spans="1:11" ht="15" x14ac:dyDescent="0.25">
      <c r="A704" s="3" t="str">
        <f>HYPERLINK("proteomic_fractions_linear_files/Yang_linear_img/12963799.jpg", "12963799")</f>
        <v>12963799</v>
      </c>
      <c r="C704" s="3" t="str">
        <f>HYPERLINK("http://www.ncbi.nlm.nih.gov/protein/12963799","Atp6v1d")</f>
        <v>Atp6v1d</v>
      </c>
      <c r="E704" t="str">
        <f>HYPERLINK("J:\Depot - mpkCCD Fractions\Main Web Page\Web Pages_old\proteomic_fractions_linear_files/Yang_linear_img/12963799.jpg","show blot")</f>
        <v>show blot</v>
      </c>
      <c r="G704" t="s">
        <v>700</v>
      </c>
      <c r="I704" s="6">
        <v>5.3329184066191155</v>
      </c>
      <c r="K704" s="8"/>
    </row>
    <row r="705" spans="1:11" ht="15" x14ac:dyDescent="0.25">
      <c r="A705" s="3" t="str">
        <f>HYPERLINK("proteomic_fractions_linear_files/Yang_linear_img/45504359.jpg", "45504359")</f>
        <v>45504359</v>
      </c>
      <c r="C705" s="3" t="str">
        <f>HYPERLINK("http://www.ncbi.nlm.nih.gov/protein/45504359","Atp6v1e1")</f>
        <v>Atp6v1e1</v>
      </c>
      <c r="E705" t="str">
        <f>HYPERLINK("J:\Depot - mpkCCD Fractions\Main Web Page\Web Pages_old\proteomic_fractions_linear_files/Yang_linear_img/45504359.jpg","show blot")</f>
        <v>show blot</v>
      </c>
      <c r="G705" t="s">
        <v>701</v>
      </c>
      <c r="I705" s="6">
        <v>5.7372180911119752</v>
      </c>
      <c r="K705" s="8"/>
    </row>
    <row r="706" spans="1:11" ht="15" x14ac:dyDescent="0.25">
      <c r="A706" s="3" t="str">
        <f>HYPERLINK("proteomic_fractions_linear_files/Yang_linear_img/254911018.jpg", "254911018")</f>
        <v>254911018</v>
      </c>
      <c r="C706" s="3" t="str">
        <f>HYPERLINK("http://www.ncbi.nlm.nih.gov/protein/254911018","Atp6v1e2")</f>
        <v>Atp6v1e2</v>
      </c>
      <c r="E706" t="str">
        <f>HYPERLINK("J:\Depot - mpkCCD Fractions\Main Web Page\Web Pages_old\proteomic_fractions_linear_files/Yang_linear_img/254911018.jpg","show blot")</f>
        <v>show blot</v>
      </c>
      <c r="G706" t="s">
        <v>702</v>
      </c>
      <c r="I706" s="6">
        <v>4.6975440891755422</v>
      </c>
      <c r="K706" s="8"/>
    </row>
    <row r="707" spans="1:11" ht="15" x14ac:dyDescent="0.25">
      <c r="A707" s="3" t="str">
        <f>HYPERLINK("proteomic_fractions_linear_files/Yang_linear_img/21314824.jpg", "21314824")</f>
        <v>21314824</v>
      </c>
      <c r="C707" s="3" t="str">
        <f>HYPERLINK("http://www.ncbi.nlm.nih.gov/protein/21314824","Atp6v1f")</f>
        <v>Atp6v1f</v>
      </c>
      <c r="E707" t="str">
        <f>HYPERLINK("J:\Depot - mpkCCD Fractions\Main Web Page\Web Pages_old\proteomic_fractions_linear_files/Yang_linear_img/21314824.jpg","show blot")</f>
        <v>show blot</v>
      </c>
      <c r="G707" t="s">
        <v>703</v>
      </c>
      <c r="I707" s="6">
        <v>4.8783261917767575</v>
      </c>
      <c r="K707" s="8"/>
    </row>
    <row r="708" spans="1:11" ht="15" x14ac:dyDescent="0.25">
      <c r="A708" s="3" t="str">
        <f>HYPERLINK("proteomic_fractions_linear_files/Yang_linear_img/15617197.jpg", "15617197")</f>
        <v>15617197</v>
      </c>
      <c r="C708" s="3" t="str">
        <f>HYPERLINK("http://www.ncbi.nlm.nih.gov/protein/15617197","Atp6v1g1")</f>
        <v>Atp6v1g1</v>
      </c>
      <c r="E708" t="str">
        <f>HYPERLINK("J:\Depot - mpkCCD Fractions\Main Web Page\Web Pages_old\proteomic_fractions_linear_files/Yang_linear_img/15617197.jpg","show blot")</f>
        <v>show blot</v>
      </c>
      <c r="G708" t="s">
        <v>704</v>
      </c>
      <c r="I708" s="6">
        <v>5.340199666216634</v>
      </c>
      <c r="K708" s="8"/>
    </row>
    <row r="709" spans="1:11" ht="15" x14ac:dyDescent="0.25">
      <c r="A709" s="3" t="str">
        <f>HYPERLINK("proteomic_fractions_linear_files/Yang_linear_img/31981588.jpg", "31981588")</f>
        <v>31981588</v>
      </c>
      <c r="C709" s="3" t="str">
        <f>HYPERLINK("http://www.ncbi.nlm.nih.gov/protein/31981588","Atp6v1h")</f>
        <v>Atp6v1h</v>
      </c>
      <c r="E709" t="str">
        <f>HYPERLINK("J:\Depot - mpkCCD Fractions\Main Web Page\Web Pages_old\proteomic_fractions_linear_files/Yang_linear_img/31981588.jpg","show blot")</f>
        <v>show blot</v>
      </c>
      <c r="G709" t="s">
        <v>705</v>
      </c>
      <c r="I709" s="6">
        <v>5.105770449479393</v>
      </c>
      <c r="K709" s="8"/>
    </row>
    <row r="710" spans="1:11" ht="15" x14ac:dyDescent="0.25">
      <c r="A710" s="3" t="str">
        <f>HYPERLINK("proteomic_fractions_linear_files/Yang_linear_img/157951680.jpg", "157951680")</f>
        <v>157951680</v>
      </c>
      <c r="C710" s="3" t="str">
        <f>HYPERLINK("http://www.ncbi.nlm.nih.gov/protein/157951680","Atp7a")</f>
        <v>Atp7a</v>
      </c>
      <c r="E710" t="str">
        <f>HYPERLINK("J:\Depot - mpkCCD Fractions\Main Web Page\Web Pages_old\proteomic_fractions_linear_files/Yang_linear_img/157951680.jpg","show blot")</f>
        <v>show blot</v>
      </c>
      <c r="G710" t="s">
        <v>706</v>
      </c>
      <c r="I710" s="6">
        <v>2.6323607431278315</v>
      </c>
      <c r="K710" s="8"/>
    </row>
    <row r="711" spans="1:11" ht="15" x14ac:dyDescent="0.25">
      <c r="A711" s="3" t="str">
        <f>HYPERLINK("proteomic_fractions_linear_files/Yang_linear_img/157951682.jpg", "157951682")</f>
        <v>157951682</v>
      </c>
      <c r="C711" s="3" t="str">
        <f>HYPERLINK("http://www.ncbi.nlm.nih.gov/protein/157951682","Atp7a")</f>
        <v>Atp7a</v>
      </c>
      <c r="E711" t="str">
        <f>HYPERLINK("J:\Depot - mpkCCD Fractions\Main Web Page\Web Pages_old\proteomic_fractions_linear_files/Yang_linear_img/157951682.jpg","show blot")</f>
        <v>show blot</v>
      </c>
      <c r="G711" t="s">
        <v>707</v>
      </c>
      <c r="I711" s="6">
        <v>2.6323607431278315</v>
      </c>
      <c r="K711" s="8"/>
    </row>
    <row r="712" spans="1:11" ht="15" x14ac:dyDescent="0.25">
      <c r="A712" s="3" t="str">
        <f>HYPERLINK("proteomic_fractions_linear_files/Yang_linear_img/167716841.jpg", "167716841")</f>
        <v>167716841</v>
      </c>
      <c r="C712" s="3" t="str">
        <f>HYPERLINK("http://www.ncbi.nlm.nih.gov/protein/167716841","ATP8")</f>
        <v>ATP8</v>
      </c>
      <c r="E712" t="str">
        <f>HYPERLINK("J:\Depot - mpkCCD Fractions\Main Web Page\Web Pages_old\proteomic_fractions_linear_files/Yang_linear_img/167716841.jpg","show blot")</f>
        <v>show blot</v>
      </c>
      <c r="G712" t="s">
        <v>708</v>
      </c>
      <c r="I712" s="6">
        <v>5.5408091213294037</v>
      </c>
      <c r="K712" s="8"/>
    </row>
    <row r="713" spans="1:11" ht="15" x14ac:dyDescent="0.25">
      <c r="A713" s="3" t="str">
        <f>HYPERLINK("proteomic_fractions_linear_files/Yang_linear_img/34538602.jpg", "34538602")</f>
        <v>34538602</v>
      </c>
      <c r="C713" s="3" t="str">
        <f>HYPERLINK("http://www.ncbi.nlm.nih.gov/protein/34538602","ATP8")</f>
        <v>ATP8</v>
      </c>
      <c r="E713" t="str">
        <f>HYPERLINK("J:\Depot - mpkCCD Fractions\Main Web Page\Web Pages_old\proteomic_fractions_linear_files/Yang_linear_img/34538602.jpg","show blot")</f>
        <v>show blot</v>
      </c>
      <c r="G713" t="s">
        <v>709</v>
      </c>
      <c r="I713" s="6">
        <v>5.5408091213294037</v>
      </c>
      <c r="K713" s="8"/>
    </row>
    <row r="714" spans="1:11" ht="15" x14ac:dyDescent="0.25">
      <c r="A714" s="3" t="str">
        <f>HYPERLINK("proteomic_fractions_linear_files/Yang_linear_img/7656912.jpg", "7656912")</f>
        <v>7656912</v>
      </c>
      <c r="C714" s="3" t="str">
        <f>HYPERLINK("http://www.ncbi.nlm.nih.gov/protein/7656912","Atp8a2")</f>
        <v>Atp8a2</v>
      </c>
      <c r="E714" t="str">
        <f>HYPERLINK("J:\Depot - mpkCCD Fractions\Main Web Page\Web Pages_old\proteomic_fractions_linear_files/Yang_linear_img/7656912.jpg","show blot")</f>
        <v>show blot</v>
      </c>
      <c r="G714" t="s">
        <v>710</v>
      </c>
      <c r="I714" s="6">
        <v>2.9837452306814831</v>
      </c>
      <c r="K714" s="8"/>
    </row>
    <row r="715" spans="1:11" ht="15" x14ac:dyDescent="0.25">
      <c r="A715" s="3" t="str">
        <f>HYPERLINK("proteomic_fractions_linear_files/Yang_linear_img/80861460.jpg", "80861460")</f>
        <v>80861460</v>
      </c>
      <c r="C715" s="3" t="str">
        <f>HYPERLINK("http://www.ncbi.nlm.nih.gov/protein/80861460","Atp8b1")</f>
        <v>Atp8b1</v>
      </c>
      <c r="E715" t="str">
        <f>HYPERLINK("J:\Depot - mpkCCD Fractions\Main Web Page\Web Pages_old\proteomic_fractions_linear_files/Yang_linear_img/80861460.jpg","show blot")</f>
        <v>show blot</v>
      </c>
      <c r="G715" t="s">
        <v>711</v>
      </c>
      <c r="I715" s="6">
        <v>1.4341473558054305</v>
      </c>
      <c r="K715" s="8"/>
    </row>
    <row r="716" spans="1:11" ht="15" x14ac:dyDescent="0.25">
      <c r="A716" s="3" t="str">
        <f>HYPERLINK("proteomic_fractions_linear_files/Yang_linear_img/46358405.jpg", "46358405")</f>
        <v>46358405</v>
      </c>
      <c r="C716" s="3" t="str">
        <f>HYPERLINK("http://www.ncbi.nlm.nih.gov/protein/46358405","Atp8b3")</f>
        <v>Atp8b3</v>
      </c>
      <c r="E716" t="str">
        <f>HYPERLINK("J:\Depot - mpkCCD Fractions\Main Web Page\Web Pages_old\proteomic_fractions_linear_files/Yang_linear_img/46358405.jpg","show blot")</f>
        <v>show blot</v>
      </c>
      <c r="G716" t="s">
        <v>712</v>
      </c>
      <c r="I716" s="6">
        <v>1.4106662599559077</v>
      </c>
      <c r="K716" s="8"/>
    </row>
    <row r="717" spans="1:11" ht="15" x14ac:dyDescent="0.25">
      <c r="A717" s="3" t="str">
        <f>HYPERLINK("proteomic_fractions_linear_files/Yang_linear_img/157671921.jpg", "157671921")</f>
        <v>157671921</v>
      </c>
      <c r="C717" s="3" t="str">
        <f>HYPERLINK("http://www.ncbi.nlm.nih.gov/protein/157671921","Atp8b4")</f>
        <v>Atp8b4</v>
      </c>
      <c r="E717" t="str">
        <f>HYPERLINK("J:\Depot - mpkCCD Fractions\Main Web Page\Web Pages_old\proteomic_fractions_linear_files/Yang_linear_img/157671921.jpg","show blot")</f>
        <v>show blot</v>
      </c>
      <c r="G717" t="s">
        <v>713</v>
      </c>
      <c r="I717" s="6">
        <v>1.462176079405674</v>
      </c>
      <c r="K717" s="8"/>
    </row>
    <row r="718" spans="1:11" ht="15" x14ac:dyDescent="0.25">
      <c r="A718" s="3" t="str">
        <f>HYPERLINK("proteomic_fractions_linear_files/Yang_linear_img/40795674.jpg", "40795674")</f>
        <v>40795674</v>
      </c>
      <c r="C718" s="3" t="str">
        <f>HYPERLINK("http://www.ncbi.nlm.nih.gov/protein/40795674","Atp9a")</f>
        <v>Atp9a</v>
      </c>
      <c r="E718" t="str">
        <f>HYPERLINK("J:\Depot - mpkCCD Fractions\Main Web Page\Web Pages_old\proteomic_fractions_linear_files/Yang_linear_img/40795674.jpg","show blot")</f>
        <v>show blot</v>
      </c>
      <c r="G718" t="s">
        <v>714</v>
      </c>
      <c r="I718" s="6">
        <v>3.2874980805685095</v>
      </c>
      <c r="K718" s="8"/>
    </row>
    <row r="719" spans="1:11" ht="15" x14ac:dyDescent="0.25">
      <c r="A719" s="3" t="str">
        <f>HYPERLINK("proteomic_fractions_linear_files/Yang_linear_img/320089590.jpg", "320089590")</f>
        <v>320089590</v>
      </c>
      <c r="C719" s="3" t="str">
        <f>HYPERLINK("http://www.ncbi.nlm.nih.gov/protein/320089590","Atp9b")</f>
        <v>Atp9b</v>
      </c>
      <c r="E719" t="str">
        <f>HYPERLINK("J:\Depot - mpkCCD Fractions\Main Web Page\Web Pages_old\proteomic_fractions_linear_files/Yang_linear_img/320089590.jpg","show blot")</f>
        <v>show blot</v>
      </c>
      <c r="G719" t="s">
        <v>715</v>
      </c>
      <c r="I719" s="6">
        <v>2.5532001138907474</v>
      </c>
      <c r="K719" s="8"/>
    </row>
    <row r="720" spans="1:11" ht="15" x14ac:dyDescent="0.25">
      <c r="A720" s="3" t="str">
        <f>HYPERLINK("proteomic_fractions_linear_files/Yang_linear_img/40807502.jpg", "40807502")</f>
        <v>40807502</v>
      </c>
      <c r="C720" s="3" t="str">
        <f>HYPERLINK("http://www.ncbi.nlm.nih.gov/protein/40807502","Atp9b")</f>
        <v>Atp9b</v>
      </c>
      <c r="E720" t="str">
        <f>HYPERLINK("J:\Depot - mpkCCD Fractions\Main Web Page\Web Pages_old\proteomic_fractions_linear_files/Yang_linear_img/40807502.jpg","show blot")</f>
        <v>show blot</v>
      </c>
      <c r="G720" t="s">
        <v>716</v>
      </c>
      <c r="I720" s="6">
        <v>2.5532001138907474</v>
      </c>
      <c r="K720" s="8"/>
    </row>
    <row r="721" spans="1:11" ht="15" x14ac:dyDescent="0.25">
      <c r="A721" s="3" t="str">
        <f>HYPERLINK("proteomic_fractions_linear_files/Yang_linear_img/344925843.jpg", "344925843")</f>
        <v>344925843</v>
      </c>
      <c r="C721" s="3" t="str">
        <f>HYPERLINK("http://www.ncbi.nlm.nih.gov/protein/344925843","Atpaf1")</f>
        <v>Atpaf1</v>
      </c>
      <c r="E721" t="str">
        <f>HYPERLINK("J:\Depot - mpkCCD Fractions\Main Web Page\Web Pages_old\proteomic_fractions_linear_files/Yang_linear_img/344925843.jpg","show blot")</f>
        <v>show blot</v>
      </c>
      <c r="G721" t="s">
        <v>717</v>
      </c>
      <c r="I721" s="6">
        <v>3.4951103170145945</v>
      </c>
      <c r="K721" s="8"/>
    </row>
    <row r="722" spans="1:11" ht="15" x14ac:dyDescent="0.25">
      <c r="A722" s="3" t="str">
        <f>HYPERLINK("proteomic_fractions_linear_files/Yang_linear_img/238776839.jpg", "238776839")</f>
        <v>238776839</v>
      </c>
      <c r="C722" s="3" t="str">
        <f>HYPERLINK("http://www.ncbi.nlm.nih.gov/protein/238776839","Atpaf2")</f>
        <v>Atpaf2</v>
      </c>
      <c r="E722" t="str">
        <f>HYPERLINK("J:\Depot - mpkCCD Fractions\Main Web Page\Web Pages_old\proteomic_fractions_linear_files/Yang_linear_img/238776839.jpg","show blot")</f>
        <v>show blot</v>
      </c>
      <c r="G722" t="s">
        <v>718</v>
      </c>
      <c r="I722" s="6">
        <v>4.3565211313623928</v>
      </c>
      <c r="K722" s="8"/>
    </row>
    <row r="723" spans="1:11" ht="15" x14ac:dyDescent="0.25">
      <c r="A723" s="3" t="str">
        <f>HYPERLINK("proteomic_fractions_linear_files/Yang_linear_img/31982864.jpg", "31982864")</f>
        <v>31982864</v>
      </c>
      <c r="C723" s="3" t="str">
        <f>HYPERLINK("http://www.ncbi.nlm.nih.gov/protein/31982864","Atpif1")</f>
        <v>Atpif1</v>
      </c>
      <c r="E723" t="str">
        <f>HYPERLINK("J:\Depot - mpkCCD Fractions\Main Web Page\Web Pages_old\proteomic_fractions_linear_files/Yang_linear_img/31982864.jpg","show blot")</f>
        <v>show blot</v>
      </c>
      <c r="G723" t="s">
        <v>719</v>
      </c>
      <c r="I723" s="6">
        <v>3.7808570439702751</v>
      </c>
      <c r="K723" s="8"/>
    </row>
    <row r="724" spans="1:11" ht="15" x14ac:dyDescent="0.25">
      <c r="A724" s="3" t="str">
        <f>HYPERLINK("proteomic_fractions_linear_files/Yang_linear_img/189339266.jpg", "189339266")</f>
        <v>189339266</v>
      </c>
      <c r="C724" s="3" t="str">
        <f>HYPERLINK("http://www.ncbi.nlm.nih.gov/protein/189339266","Atr")</f>
        <v>Atr</v>
      </c>
      <c r="E724" t="str">
        <f>HYPERLINK("J:\Depot - mpkCCD Fractions\Main Web Page\Web Pages_old\proteomic_fractions_linear_files/Yang_linear_img/189339266.jpg","show blot")</f>
        <v>show blot</v>
      </c>
      <c r="G724" t="s">
        <v>720</v>
      </c>
      <c r="I724" s="6">
        <v>0</v>
      </c>
      <c r="K724" s="8"/>
    </row>
    <row r="725" spans="1:11" ht="15" x14ac:dyDescent="0.25">
      <c r="A725" s="3" t="str">
        <f>HYPERLINK("proteomic_fractions_linear_files/Yang_linear_img/47087146.jpg", "47087146")</f>
        <v>47087146</v>
      </c>
      <c r="C725" s="3" t="str">
        <f>HYPERLINK("http://www.ncbi.nlm.nih.gov/protein/47087146","Atraid")</f>
        <v>Atraid</v>
      </c>
      <c r="E725" t="str">
        <f>HYPERLINK("J:\Depot - mpkCCD Fractions\Main Web Page\Web Pages_old\proteomic_fractions_linear_files/Yang_linear_img/47087146.jpg","show blot")</f>
        <v>show blot</v>
      </c>
      <c r="G725" t="s">
        <v>721</v>
      </c>
      <c r="I725" s="6">
        <v>2.5542872095319615</v>
      </c>
      <c r="K725" s="8"/>
    </row>
    <row r="726" spans="1:11" ht="15" x14ac:dyDescent="0.25">
      <c r="A726" s="3" t="str">
        <f>HYPERLINK("proteomic_fractions_linear_files/Yang_linear_img/83649709.jpg", "83649709")</f>
        <v>83649709</v>
      </c>
      <c r="C726" s="3" t="str">
        <f>HYPERLINK("http://www.ncbi.nlm.nih.gov/protein/83649709","Atxn10")</f>
        <v>Atxn10</v>
      </c>
      <c r="E726" t="str">
        <f>HYPERLINK("J:\Depot - mpkCCD Fractions\Main Web Page\Web Pages_old\proteomic_fractions_linear_files/Yang_linear_img/83649709.jpg","show blot")</f>
        <v>show blot</v>
      </c>
      <c r="G726" t="s">
        <v>722</v>
      </c>
      <c r="I726" s="6">
        <v>5.8123372793336285</v>
      </c>
      <c r="K726" s="8"/>
    </row>
    <row r="727" spans="1:11" ht="15" x14ac:dyDescent="0.25">
      <c r="A727" s="3" t="str">
        <f>HYPERLINK("proteomic_fractions_linear_files/Yang_linear_img/124244104.jpg", "124244104")</f>
        <v>124244104</v>
      </c>
      <c r="C727" s="3" t="str">
        <f>HYPERLINK("http://www.ncbi.nlm.nih.gov/protein/124244104","Atxn2")</f>
        <v>Atxn2</v>
      </c>
      <c r="E727" t="str">
        <f>HYPERLINK("J:\Depot - mpkCCD Fractions\Main Web Page\Web Pages_old\proteomic_fractions_linear_files/Yang_linear_img/124244104.jpg","show blot")</f>
        <v>show blot</v>
      </c>
      <c r="G727" t="s">
        <v>723</v>
      </c>
      <c r="I727" s="6">
        <v>3.1691985811547521</v>
      </c>
      <c r="K727" s="8"/>
    </row>
    <row r="728" spans="1:11" ht="15" x14ac:dyDescent="0.25">
      <c r="A728" s="3" t="str">
        <f>HYPERLINK("proteomic_fractions_linear_files/Yang_linear_img/33942089.jpg", "33942089")</f>
        <v>33942089</v>
      </c>
      <c r="C728" s="3" t="str">
        <f>HYPERLINK("http://www.ncbi.nlm.nih.gov/protein/33942089","Atxn2l")</f>
        <v>Atxn2l</v>
      </c>
      <c r="E728" t="str">
        <f>HYPERLINK("J:\Depot - mpkCCD Fractions\Main Web Page\Web Pages_old\proteomic_fractions_linear_files/Yang_linear_img/33942089.jpg","show blot")</f>
        <v>show blot</v>
      </c>
      <c r="G728" t="s">
        <v>724</v>
      </c>
      <c r="I728" s="6">
        <v>3.8269220429335435</v>
      </c>
      <c r="K728" s="8"/>
    </row>
    <row r="729" spans="1:11" ht="15" x14ac:dyDescent="0.25">
      <c r="A729" s="3" t="str">
        <f>HYPERLINK("proteomic_fractions_linear_files/Yang_linear_img/268837077.jpg", "268837077")</f>
        <v>268837077</v>
      </c>
      <c r="C729" s="3" t="str">
        <f>HYPERLINK("http://www.ncbi.nlm.nih.gov/protein/268837077","Atxn3")</f>
        <v>Atxn3</v>
      </c>
      <c r="E729" t="str">
        <f>HYPERLINK("J:\Depot - mpkCCD Fractions\Main Web Page\Web Pages_old\proteomic_fractions_linear_files/Yang_linear_img/268837077.jpg","show blot")</f>
        <v>show blot</v>
      </c>
      <c r="G729" t="s">
        <v>725</v>
      </c>
      <c r="I729" s="6">
        <v>4.5319250283570831</v>
      </c>
      <c r="K729" s="8"/>
    </row>
    <row r="730" spans="1:11" ht="15" x14ac:dyDescent="0.25">
      <c r="A730" s="3" t="str">
        <f>HYPERLINK("proteomic_fractions_linear_files/Yang_linear_img/268837154.jpg", "268837154")</f>
        <v>268837154</v>
      </c>
      <c r="C730" s="3" t="str">
        <f>HYPERLINK("http://www.ncbi.nlm.nih.gov/protein/268837154","Atxn3")</f>
        <v>Atxn3</v>
      </c>
      <c r="E730" t="str">
        <f>HYPERLINK("J:\Depot - mpkCCD Fractions\Main Web Page\Web Pages_old\proteomic_fractions_linear_files/Yang_linear_img/268837154.jpg","show blot")</f>
        <v>show blot</v>
      </c>
      <c r="G730" t="s">
        <v>726</v>
      </c>
      <c r="I730" s="6">
        <v>4.5319250283570831</v>
      </c>
      <c r="K730" s="8"/>
    </row>
    <row r="731" spans="1:11" ht="15" x14ac:dyDescent="0.25">
      <c r="A731" s="3" t="str">
        <f>HYPERLINK("proteomic_fractions_linear_files/Yang_linear_img/113930747.jpg", "113930747")</f>
        <v>113930747</v>
      </c>
      <c r="C731" s="3" t="str">
        <f>HYPERLINK("http://www.ncbi.nlm.nih.gov/protein/113930747","Atxn7l3b")</f>
        <v>Atxn7l3b</v>
      </c>
      <c r="E731" t="str">
        <f>HYPERLINK("J:\Depot - mpkCCD Fractions\Main Web Page\Web Pages_old\proteomic_fractions_linear_files/Yang_linear_img/113930747.jpg","show blot")</f>
        <v>show blot</v>
      </c>
      <c r="G731" t="s">
        <v>727</v>
      </c>
      <c r="I731" s="6">
        <v>5.1598540467668252</v>
      </c>
      <c r="K731" s="8"/>
    </row>
    <row r="732" spans="1:11" ht="15" x14ac:dyDescent="0.25">
      <c r="A732" s="3" t="str">
        <f>HYPERLINK("proteomic_fractions_linear_files/Yang_linear_img/85701612.jpg", "85701612")</f>
        <v>85701612</v>
      </c>
      <c r="C732" s="3" t="str">
        <f>HYPERLINK("http://www.ncbi.nlm.nih.gov/protein/85701612","AU015228")</f>
        <v>AU015228</v>
      </c>
      <c r="E732" t="str">
        <f>HYPERLINK("J:\Depot - mpkCCD Fractions\Main Web Page\Web Pages_old\proteomic_fractions_linear_files/Yang_linear_img/85701612.jpg","show blot")</f>
        <v>show blot</v>
      </c>
      <c r="G732" t="s">
        <v>728</v>
      </c>
      <c r="I732" s="6">
        <v>3.8991407966454066</v>
      </c>
      <c r="K732" s="8"/>
    </row>
    <row r="733" spans="1:11" ht="15" x14ac:dyDescent="0.25">
      <c r="A733" s="3" t="str">
        <f>HYPERLINK("proteomic_fractions_linear_files/Yang_linear_img/201025409.jpg", "201025409")</f>
        <v>201025409</v>
      </c>
      <c r="C733" s="3" t="str">
        <f>HYPERLINK("http://www.ncbi.nlm.nih.gov/protein/201025409","AU019823")</f>
        <v>AU019823</v>
      </c>
      <c r="E733" t="str">
        <f>HYPERLINK("J:\Depot - mpkCCD Fractions\Main Web Page\Web Pages_old\proteomic_fractions_linear_files/Yang_linear_img/201025409.jpg","show blot")</f>
        <v>show blot</v>
      </c>
      <c r="G733" t="s">
        <v>729</v>
      </c>
      <c r="I733" s="6">
        <v>3.1074663422975086</v>
      </c>
      <c r="K733" s="8"/>
    </row>
    <row r="734" spans="1:11" ht="15" x14ac:dyDescent="0.25">
      <c r="A734" s="3" t="str">
        <f>HYPERLINK("proteomic_fractions_linear_files/Yang_linear_img/116268115.jpg", "116268115")</f>
        <v>116268115</v>
      </c>
      <c r="C734" s="3" t="str">
        <f>HYPERLINK("http://www.ncbi.nlm.nih.gov/protein/116268115","Auh")</f>
        <v>Auh</v>
      </c>
      <c r="E734" t="str">
        <f>HYPERLINK("J:\Depot - mpkCCD Fractions\Main Web Page\Web Pages_old\proteomic_fractions_linear_files/Yang_linear_img/116268115.jpg","show blot")</f>
        <v>show blot</v>
      </c>
      <c r="G734" t="s">
        <v>730</v>
      </c>
      <c r="I734" s="6">
        <v>3.9012408617614893</v>
      </c>
      <c r="K734" s="8"/>
    </row>
    <row r="735" spans="1:11" ht="15" x14ac:dyDescent="0.25">
      <c r="A735" s="3" t="str">
        <f>HYPERLINK("proteomic_fractions_linear_files/Yang_linear_img/90403601.jpg", "90403601")</f>
        <v>90403601</v>
      </c>
      <c r="C735" s="3" t="str">
        <f>HYPERLINK("http://www.ncbi.nlm.nih.gov/protein/90403601","Aup1")</f>
        <v>Aup1</v>
      </c>
      <c r="E735" t="str">
        <f>HYPERLINK("J:\Depot - mpkCCD Fractions\Main Web Page\Web Pages_old\proteomic_fractions_linear_files/Yang_linear_img/90403601.jpg","show blot")</f>
        <v>show blot</v>
      </c>
      <c r="G735" t="s">
        <v>731</v>
      </c>
      <c r="I735" s="6">
        <v>4.2702739717469749</v>
      </c>
      <c r="K735" s="8"/>
    </row>
    <row r="736" spans="1:11" ht="15" x14ac:dyDescent="0.25">
      <c r="A736" s="3" t="str">
        <f>HYPERLINK("proteomic_fractions_linear_files/Yang_linear_img/46358064.jpg", "46358064")</f>
        <v>46358064</v>
      </c>
      <c r="C736" s="3" t="str">
        <f>HYPERLINK("http://www.ncbi.nlm.nih.gov/protein/46358064","Aurka")</f>
        <v>Aurka</v>
      </c>
      <c r="E736" t="str">
        <f>HYPERLINK("J:\Depot - mpkCCD Fractions\Main Web Page\Web Pages_old\proteomic_fractions_linear_files/Yang_linear_img/46358064.jpg","show blot")</f>
        <v>show blot</v>
      </c>
      <c r="G736" t="s">
        <v>732</v>
      </c>
      <c r="I736" s="7" t="s">
        <v>8360</v>
      </c>
      <c r="K736" s="8"/>
    </row>
    <row r="737" spans="1:11" ht="15" x14ac:dyDescent="0.25">
      <c r="A737" s="3" t="str">
        <f>HYPERLINK("proteomic_fractions_linear_files/Yang_linear_img/260099645.jpg", "260099645")</f>
        <v>260099645</v>
      </c>
      <c r="C737" s="3" t="str">
        <f>HYPERLINK("http://www.ncbi.nlm.nih.gov/protein/260099645","Aven")</f>
        <v>Aven</v>
      </c>
      <c r="E737" t="str">
        <f>HYPERLINK("J:\Depot - mpkCCD Fractions\Main Web Page\Web Pages_old\proteomic_fractions_linear_files/Yang_linear_img/260099645.jpg","show blot")</f>
        <v>show blot</v>
      </c>
      <c r="G737" t="s">
        <v>733</v>
      </c>
      <c r="I737" s="6">
        <v>3.6123165279761835</v>
      </c>
      <c r="K737" s="8"/>
    </row>
    <row r="738" spans="1:11" ht="15" x14ac:dyDescent="0.25">
      <c r="A738" s="3" t="str">
        <f>HYPERLINK("proteomic_fractions_linear_files/Yang_linear_img/260099647.jpg", "260099647")</f>
        <v>260099647</v>
      </c>
      <c r="C738" s="3" t="str">
        <f>HYPERLINK("http://www.ncbi.nlm.nih.gov/protein/260099647","Aven")</f>
        <v>Aven</v>
      </c>
      <c r="E738" t="str">
        <f>HYPERLINK("J:\Depot - mpkCCD Fractions\Main Web Page\Web Pages_old\proteomic_fractions_linear_files/Yang_linear_img/260099647.jpg","show blot")</f>
        <v>show blot</v>
      </c>
      <c r="G738" t="s">
        <v>734</v>
      </c>
      <c r="I738" s="6">
        <v>3.6123165279761835</v>
      </c>
      <c r="K738" s="8"/>
    </row>
    <row r="739" spans="1:11" ht="15" x14ac:dyDescent="0.25">
      <c r="A739" s="3" t="str">
        <f>HYPERLINK("proteomic_fractions_linear_files/Yang_linear_img/226529032.jpg", "226529032")</f>
        <v>226529032</v>
      </c>
      <c r="C739" s="3" t="str">
        <f>HYPERLINK("http://www.ncbi.nlm.nih.gov/protein/226529032","Avl9")</f>
        <v>Avl9</v>
      </c>
      <c r="E739" t="str">
        <f>HYPERLINK("J:\Depot - mpkCCD Fractions\Main Web Page\Web Pages_old\proteomic_fractions_linear_files/Yang_linear_img/226529032.jpg","show blot")</f>
        <v>show blot</v>
      </c>
      <c r="G739" t="s">
        <v>735</v>
      </c>
      <c r="I739" s="6">
        <v>4.4812605531688128</v>
      </c>
      <c r="K739" s="8"/>
    </row>
    <row r="740" spans="1:11" ht="15" x14ac:dyDescent="0.25">
      <c r="A740" s="3" t="str">
        <f>HYPERLINK("proteomic_fractions_linear_files/Yang_linear_img/19526465.jpg", "19526465")</f>
        <v>19526465</v>
      </c>
      <c r="C740" s="3" t="str">
        <f>HYPERLINK("http://www.ncbi.nlm.nih.gov/protein/19526465","Avpi1")</f>
        <v>Avpi1</v>
      </c>
      <c r="E740" t="str">
        <f>HYPERLINK("J:\Depot - mpkCCD Fractions\Main Web Page\Web Pages_old\proteomic_fractions_linear_files/Yang_linear_img/19526465.jpg","show blot")</f>
        <v>show blot</v>
      </c>
      <c r="G740" t="s">
        <v>736</v>
      </c>
      <c r="I740" s="6">
        <v>3.2774282650512352</v>
      </c>
      <c r="K740" s="8"/>
    </row>
    <row r="741" spans="1:11" ht="15" x14ac:dyDescent="0.25">
      <c r="A741" s="3" t="str">
        <f>HYPERLINK("proteomic_fractions_linear_files/Yang_linear_img/157388985.jpg", "157388985")</f>
        <v>157388985</v>
      </c>
      <c r="C741" s="3" t="str">
        <f>HYPERLINK("http://www.ncbi.nlm.nih.gov/protein/157388985","AW209491")</f>
        <v>AW209491</v>
      </c>
      <c r="E741" t="str">
        <f>HYPERLINK("J:\Depot - mpkCCD Fractions\Main Web Page\Web Pages_old\proteomic_fractions_linear_files/Yang_linear_img/157388985.jpg","show blot")</f>
        <v>show blot</v>
      </c>
      <c r="G741" t="s">
        <v>737</v>
      </c>
      <c r="I741" s="6">
        <v>3.5790627693971961</v>
      </c>
      <c r="K741" s="8"/>
    </row>
    <row r="742" spans="1:11" ht="15" x14ac:dyDescent="0.25">
      <c r="A742" s="3" t="str">
        <f>HYPERLINK("proteomic_fractions_linear_files/Yang_linear_img/52630434.jpg", "52630434")</f>
        <v>52630434</v>
      </c>
      <c r="C742" s="3" t="str">
        <f>HYPERLINK("http://www.ncbi.nlm.nih.gov/protein/52630434","AW549877")</f>
        <v>AW549877</v>
      </c>
      <c r="E742" t="str">
        <f>HYPERLINK("J:\Depot - mpkCCD Fractions\Main Web Page\Web Pages_old\proteomic_fractions_linear_files/Yang_linear_img/52630434.jpg","show blot")</f>
        <v>show blot</v>
      </c>
      <c r="G742" t="s">
        <v>738</v>
      </c>
      <c r="I742" s="6">
        <v>4.2328764425164502</v>
      </c>
      <c r="K742" s="8"/>
    </row>
    <row r="743" spans="1:11" ht="15" x14ac:dyDescent="0.25">
      <c r="A743" s="3" t="str">
        <f>HYPERLINK("proteomic_fractions_linear_files/Yang_linear_img/30520173.jpg", "30520173")</f>
        <v>30520173</v>
      </c>
      <c r="C743" s="3" t="str">
        <f>HYPERLINK("http://www.ncbi.nlm.nih.gov/protein/30520173","AW551984")</f>
        <v>AW551984</v>
      </c>
      <c r="E743" t="str">
        <f>HYPERLINK("J:\Depot - mpkCCD Fractions\Main Web Page\Web Pages_old\proteomic_fractions_linear_files/Yang_linear_img/30520173.jpg","show blot")</f>
        <v>show blot</v>
      </c>
      <c r="G743" t="s">
        <v>739</v>
      </c>
      <c r="I743" s="6">
        <v>2.8566528457614173</v>
      </c>
      <c r="K743" s="8"/>
    </row>
    <row r="744" spans="1:11" ht="15" x14ac:dyDescent="0.25">
      <c r="A744" s="3" t="str">
        <f>HYPERLINK("proteomic_fractions_linear_files/Yang_linear_img/39930561.jpg", "39930561")</f>
        <v>39930561</v>
      </c>
      <c r="C744" s="3" t="str">
        <f>HYPERLINK("http://www.ncbi.nlm.nih.gov/protein/39930561","AY358078")</f>
        <v>AY358078</v>
      </c>
      <c r="E744" t="str">
        <f>HYPERLINK("J:\Depot - mpkCCD Fractions\Main Web Page\Web Pages_old\proteomic_fractions_linear_files/Yang_linear_img/39930561.jpg","show blot")</f>
        <v>show blot</v>
      </c>
      <c r="G744" t="s">
        <v>740</v>
      </c>
      <c r="I744" s="6">
        <v>2.5218106619873839</v>
      </c>
      <c r="K744" s="8"/>
    </row>
    <row r="745" spans="1:11" ht="15" x14ac:dyDescent="0.25">
      <c r="A745" s="3" t="str">
        <f>HYPERLINK("proteomic_fractions_linear_files/Yang_linear_img/294345409.jpg", "294345409")</f>
        <v>294345409</v>
      </c>
      <c r="C745" s="3" t="str">
        <f>HYPERLINK("http://www.ncbi.nlm.nih.gov/protein/294345409","Azi1")</f>
        <v>Azi1</v>
      </c>
      <c r="E745" t="str">
        <f>HYPERLINK("J:\Depot - mpkCCD Fractions\Main Web Page\Web Pages_old\proteomic_fractions_linear_files/Yang_linear_img/294345409.jpg","show blot")</f>
        <v>show blot</v>
      </c>
      <c r="G745" t="s">
        <v>741</v>
      </c>
      <c r="I745" s="6">
        <v>2.7573200965466724</v>
      </c>
      <c r="K745" s="8"/>
    </row>
    <row r="746" spans="1:11" ht="15" x14ac:dyDescent="0.25">
      <c r="A746" s="3" t="str">
        <f>HYPERLINK("proteomic_fractions_linear_files/Yang_linear_img/31981890.jpg", "31981890")</f>
        <v>31981890</v>
      </c>
      <c r="C746" s="3" t="str">
        <f>HYPERLINK("http://www.ncbi.nlm.nih.gov/protein/31981890","B2m")</f>
        <v>B2m</v>
      </c>
      <c r="E746" t="str">
        <f>HYPERLINK("J:\Depot - mpkCCD Fractions\Main Web Page\Web Pages_old\proteomic_fractions_linear_files/Yang_linear_img/31981890.jpg","show blot")</f>
        <v>show blot</v>
      </c>
      <c r="G746" t="s">
        <v>742</v>
      </c>
      <c r="I746" s="6">
        <v>4.2426180276442276</v>
      </c>
      <c r="K746" s="8"/>
    </row>
    <row r="747" spans="1:11" ht="15" x14ac:dyDescent="0.25">
      <c r="A747" s="3" t="str">
        <f>HYPERLINK("proteomic_fractions_linear_files/Yang_linear_img/17978260.jpg", "17978260")</f>
        <v>17978260</v>
      </c>
      <c r="C747" s="3" t="str">
        <f>HYPERLINK("http://www.ncbi.nlm.nih.gov/protein/17978260","B3galt6")</f>
        <v>B3galt6</v>
      </c>
      <c r="E747" t="str">
        <f>HYPERLINK("J:\Depot - mpkCCD Fractions\Main Web Page\Web Pages_old\proteomic_fractions_linear_files/Yang_linear_img/17978260.jpg","show blot")</f>
        <v>show blot</v>
      </c>
      <c r="G747" t="s">
        <v>743</v>
      </c>
      <c r="I747" s="6">
        <v>3.8782358484952533</v>
      </c>
      <c r="K747" s="8"/>
    </row>
    <row r="748" spans="1:11" ht="15" x14ac:dyDescent="0.25">
      <c r="A748" s="3" t="str">
        <f>HYPERLINK("proteomic_fractions_linear_files/Yang_linear_img/13195672.jpg", "13195672")</f>
        <v>13195672</v>
      </c>
      <c r="C748" s="3" t="str">
        <f>HYPERLINK("http://www.ncbi.nlm.nih.gov/protein/13195672","B3gat3")</f>
        <v>B3gat3</v>
      </c>
      <c r="E748" t="str">
        <f>HYPERLINK("J:\Depot - mpkCCD Fractions\Main Web Page\Web Pages_old\proteomic_fractions_linear_files/Yang_linear_img/13195672.jpg","show blot")</f>
        <v>show blot</v>
      </c>
      <c r="G748" t="s">
        <v>744</v>
      </c>
      <c r="I748" s="6">
        <v>1.8134547585187919</v>
      </c>
      <c r="K748" s="8"/>
    </row>
    <row r="749" spans="1:11" ht="15" x14ac:dyDescent="0.25">
      <c r="A749" s="3" t="str">
        <f>HYPERLINK("proteomic_fractions_linear_files/Yang_linear_img/170784852.jpg", "170784852")</f>
        <v>170784852</v>
      </c>
      <c r="C749" s="3" t="str">
        <f>HYPERLINK("http://www.ncbi.nlm.nih.gov/protein/170784852","B3gnt3")</f>
        <v>B3gnt3</v>
      </c>
      <c r="E749" t="str">
        <f>HYPERLINK("J:\Depot - mpkCCD Fractions\Main Web Page\Web Pages_old\proteomic_fractions_linear_files/Yang_linear_img/170784852.jpg","show blot")</f>
        <v>show blot</v>
      </c>
      <c r="G749" t="s">
        <v>745</v>
      </c>
      <c r="I749" s="6">
        <v>1.740761981303576</v>
      </c>
      <c r="K749" s="8"/>
    </row>
    <row r="750" spans="1:11" ht="15" x14ac:dyDescent="0.25">
      <c r="A750" s="3" t="str">
        <f>HYPERLINK("proteomic_fractions_linear_files/Yang_linear_img/347543755.jpg", "347543755")</f>
        <v>347543755</v>
      </c>
      <c r="C750" s="3" t="str">
        <f>HYPERLINK("http://www.ncbi.nlm.nih.gov/protein/347543755","B4galnt1")</f>
        <v>B4galnt1</v>
      </c>
      <c r="E750" t="str">
        <f>HYPERLINK("J:\Depot - mpkCCD Fractions\Main Web Page\Web Pages_old\proteomic_fractions_linear_files/Yang_linear_img/347543755.jpg","show blot")</f>
        <v>show blot</v>
      </c>
      <c r="G750" t="s">
        <v>746</v>
      </c>
      <c r="I750" s="6">
        <v>4.7880414486532006</v>
      </c>
      <c r="K750" s="8"/>
    </row>
    <row r="751" spans="1:11" ht="15" x14ac:dyDescent="0.25">
      <c r="A751" s="3" t="str">
        <f>HYPERLINK("proteomic_fractions_linear_files/Yang_linear_img/347543757.jpg", "347543757")</f>
        <v>347543757</v>
      </c>
      <c r="C751" s="3" t="str">
        <f>HYPERLINK("http://www.ncbi.nlm.nih.gov/protein/347543757","B4galnt1")</f>
        <v>B4galnt1</v>
      </c>
      <c r="E751" t="str">
        <f>HYPERLINK("J:\Depot - mpkCCD Fractions\Main Web Page\Web Pages_old\proteomic_fractions_linear_files/Yang_linear_img/347543757.jpg","show blot")</f>
        <v>show blot</v>
      </c>
      <c r="G751" t="s">
        <v>747</v>
      </c>
      <c r="I751" s="6">
        <v>4.7880414486532006</v>
      </c>
      <c r="K751" s="8"/>
    </row>
    <row r="752" spans="1:11" ht="15" x14ac:dyDescent="0.25">
      <c r="A752" s="3" t="str">
        <f>HYPERLINK("proteomic_fractions_linear_files/Yang_linear_img/347543759.jpg", "347543759")</f>
        <v>347543759</v>
      </c>
      <c r="C752" s="3" t="str">
        <f>HYPERLINK("http://www.ncbi.nlm.nih.gov/protein/347543759","B4galnt1")</f>
        <v>B4galnt1</v>
      </c>
      <c r="E752" t="str">
        <f>HYPERLINK("J:\Depot - mpkCCD Fractions\Main Web Page\Web Pages_old\proteomic_fractions_linear_files/Yang_linear_img/347543759.jpg","show blot")</f>
        <v>show blot</v>
      </c>
      <c r="G752" t="s">
        <v>748</v>
      </c>
      <c r="I752" s="6">
        <v>4.7880414486532006</v>
      </c>
      <c r="K752" s="8"/>
    </row>
    <row r="753" spans="1:11" ht="15" x14ac:dyDescent="0.25">
      <c r="A753" s="3" t="str">
        <f>HYPERLINK("proteomic_fractions_linear_files/Yang_linear_img/6679929.jpg", "6679929")</f>
        <v>6679929</v>
      </c>
      <c r="C753" s="3" t="str">
        <f>HYPERLINK("http://www.ncbi.nlm.nih.gov/protein/6679929","B4galnt1")</f>
        <v>B4galnt1</v>
      </c>
      <c r="E753" t="str">
        <f>HYPERLINK("J:\Depot - mpkCCD Fractions\Main Web Page\Web Pages_old\proteomic_fractions_linear_files/Yang_linear_img/6679929.jpg","show blot")</f>
        <v>show blot</v>
      </c>
      <c r="G753" t="s">
        <v>749</v>
      </c>
      <c r="I753" s="6">
        <v>4.7880414486532006</v>
      </c>
      <c r="K753" s="8"/>
    </row>
    <row r="754" spans="1:11" ht="15" x14ac:dyDescent="0.25">
      <c r="A754" s="3" t="str">
        <f>HYPERLINK("proteomic_fractions_linear_files/Yang_linear_img/6679931.jpg", "6679931")</f>
        <v>6679931</v>
      </c>
      <c r="C754" s="3" t="str">
        <f>HYPERLINK("http://www.ncbi.nlm.nih.gov/protein/6679931","B4galnt2")</f>
        <v>B4galnt2</v>
      </c>
      <c r="E754" t="str">
        <f>HYPERLINK("J:\Depot - mpkCCD Fractions\Main Web Page\Web Pages_old\proteomic_fractions_linear_files/Yang_linear_img/6679931.jpg","show blot")</f>
        <v>show blot</v>
      </c>
      <c r="G754" t="s">
        <v>750</v>
      </c>
      <c r="I754" s="6">
        <v>4.2697646310618058</v>
      </c>
      <c r="K754" s="8"/>
    </row>
    <row r="755" spans="1:11" ht="15" x14ac:dyDescent="0.25">
      <c r="A755" s="3" t="str">
        <f>HYPERLINK("proteomic_fractions_linear_files/Yang_linear_img/11602910.jpg", "11602910")</f>
        <v>11602910</v>
      </c>
      <c r="C755" s="3" t="str">
        <f>HYPERLINK("http://www.ncbi.nlm.nih.gov/protein/11602910","B4galt1")</f>
        <v>B4galt1</v>
      </c>
      <c r="E755" t="str">
        <f>HYPERLINK("J:\Depot - mpkCCD Fractions\Main Web Page\Web Pages_old\proteomic_fractions_linear_files/Yang_linear_img/11602910.jpg","show blot")</f>
        <v>show blot</v>
      </c>
      <c r="G755" t="s">
        <v>751</v>
      </c>
      <c r="I755" s="6">
        <v>3.1875643416260933</v>
      </c>
      <c r="K755" s="8"/>
    </row>
    <row r="756" spans="1:11" ht="15" x14ac:dyDescent="0.25">
      <c r="A756" s="3" t="str">
        <f>HYPERLINK("proteomic_fractions_linear_files/Yang_linear_img/188528672.jpg", "188528672")</f>
        <v>188528672</v>
      </c>
      <c r="C756" s="3" t="str">
        <f>HYPERLINK("http://www.ncbi.nlm.nih.gov/protein/188528672","B4galt4")</f>
        <v>B4galt4</v>
      </c>
      <c r="E756" t="str">
        <f>HYPERLINK("J:\Depot - mpkCCD Fractions\Main Web Page\Web Pages_old\proteomic_fractions_linear_files/Yang_linear_img/188528672.jpg","show blot")</f>
        <v>show blot</v>
      </c>
      <c r="G756" t="s">
        <v>752</v>
      </c>
      <c r="I756" s="6">
        <v>3.3390051729571981</v>
      </c>
      <c r="K756" s="8"/>
    </row>
    <row r="757" spans="1:11" ht="15" x14ac:dyDescent="0.25">
      <c r="A757" s="3" t="str">
        <f>HYPERLINK("proteomic_fractions_linear_files/Yang_linear_img/116089306.jpg", "116089306")</f>
        <v>116089306</v>
      </c>
      <c r="C757" s="3" t="str">
        <f>HYPERLINK("http://www.ncbi.nlm.nih.gov/protein/116089306","B4galt5")</f>
        <v>B4galt5</v>
      </c>
      <c r="E757" t="str">
        <f>HYPERLINK("J:\Depot - mpkCCD Fractions\Main Web Page\Web Pages_old\proteomic_fractions_linear_files/Yang_linear_img/116089306.jpg","show blot")</f>
        <v>show blot</v>
      </c>
      <c r="G757" t="s">
        <v>753</v>
      </c>
      <c r="I757" s="6">
        <v>3.1778045043369372</v>
      </c>
      <c r="K757" s="8"/>
    </row>
    <row r="758" spans="1:11" ht="15" x14ac:dyDescent="0.25">
      <c r="A758" s="3" t="str">
        <f>HYPERLINK("proteomic_fractions_linear_files/Yang_linear_img/268838948.jpg", "268838948")</f>
        <v>268838948</v>
      </c>
      <c r="C758" s="3" t="str">
        <f>HYPERLINK("http://www.ncbi.nlm.nih.gov/protein/268838948","Babam1")</f>
        <v>Babam1</v>
      </c>
      <c r="E758" t="str">
        <f>HYPERLINK("J:\Depot - mpkCCD Fractions\Main Web Page\Web Pages_old\proteomic_fractions_linear_files/Yang_linear_img/268838948.jpg","show blot")</f>
        <v>show blot</v>
      </c>
      <c r="G758" t="s">
        <v>754</v>
      </c>
      <c r="I758" s="6">
        <v>2.523148628246584</v>
      </c>
      <c r="K758" s="8"/>
    </row>
    <row r="759" spans="1:11" ht="15" x14ac:dyDescent="0.25">
      <c r="A759" s="3" t="str">
        <f>HYPERLINK("proteomic_fractions_linear_files/Yang_linear_img/6671610.jpg", "6671610")</f>
        <v>6671610</v>
      </c>
      <c r="C759" s="3" t="str">
        <f>HYPERLINK("http://www.ncbi.nlm.nih.gov/protein/6671610","Bad")</f>
        <v>Bad</v>
      </c>
      <c r="E759" t="str">
        <f>HYPERLINK("J:\Depot - mpkCCD Fractions\Main Web Page\Web Pages_old\proteomic_fractions_linear_files/Yang_linear_img/6671610.jpg","show blot")</f>
        <v>show blot</v>
      </c>
      <c r="G759" t="s">
        <v>755</v>
      </c>
      <c r="I759" s="6">
        <v>3.4919355576082958</v>
      </c>
      <c r="K759" s="8"/>
    </row>
    <row r="760" spans="1:11" ht="15" x14ac:dyDescent="0.25">
      <c r="A760" s="3" t="str">
        <f>HYPERLINK("proteomic_fractions_linear_files/Yang_linear_img/157952206.jpg", "157952206")</f>
        <v>157952206</v>
      </c>
      <c r="C760" s="3" t="str">
        <f>HYPERLINK("http://www.ncbi.nlm.nih.gov/protein/157952206","Bag1")</f>
        <v>Bag1</v>
      </c>
      <c r="E760" t="str">
        <f>HYPERLINK("J:\Depot - mpkCCD Fractions\Main Web Page\Web Pages_old\proteomic_fractions_linear_files/Yang_linear_img/157952206.jpg","show blot")</f>
        <v>show blot</v>
      </c>
      <c r="G760" t="s">
        <v>756</v>
      </c>
      <c r="I760" s="6">
        <v>4.9564490704545179</v>
      </c>
      <c r="K760" s="8"/>
    </row>
    <row r="761" spans="1:11" ht="15" x14ac:dyDescent="0.25">
      <c r="A761" s="3" t="str">
        <f>HYPERLINK("proteomic_fractions_linear_files/Yang_linear_img/284507286.jpg", "284507286")</f>
        <v>284507286</v>
      </c>
      <c r="C761" s="3" t="str">
        <f>HYPERLINK("http://www.ncbi.nlm.nih.gov/protein/284507286","Bag1")</f>
        <v>Bag1</v>
      </c>
      <c r="E761" t="str">
        <f>HYPERLINK("J:\Depot - mpkCCD Fractions\Main Web Page\Web Pages_old\proteomic_fractions_linear_files/Yang_linear_img/284507286.jpg","show blot")</f>
        <v>show blot</v>
      </c>
      <c r="G761" t="s">
        <v>757</v>
      </c>
      <c r="I761" s="6">
        <v>4.9564490704545179</v>
      </c>
      <c r="K761" s="8"/>
    </row>
    <row r="762" spans="1:11" ht="15" x14ac:dyDescent="0.25">
      <c r="A762" s="3" t="str">
        <f>HYPERLINK("proteomic_fractions_linear_files/Yang_linear_img/21703784.jpg", "21703784")</f>
        <v>21703784</v>
      </c>
      <c r="C762" s="3" t="str">
        <f>HYPERLINK("http://www.ncbi.nlm.nih.gov/protein/21703784","Bag2")</f>
        <v>Bag2</v>
      </c>
      <c r="E762" t="str">
        <f>HYPERLINK("J:\Depot - mpkCCD Fractions\Main Web Page\Web Pages_old\proteomic_fractions_linear_files/Yang_linear_img/21703784.jpg","show blot")</f>
        <v>show blot</v>
      </c>
      <c r="G762" t="s">
        <v>758</v>
      </c>
      <c r="I762" s="6">
        <v>5.5159110150270632</v>
      </c>
      <c r="K762" s="8"/>
    </row>
    <row r="763" spans="1:11" ht="15" x14ac:dyDescent="0.25">
      <c r="A763" s="3" t="str">
        <f>HYPERLINK("proteomic_fractions_linear_files/Yang_linear_img/17975504.jpg", "17975504")</f>
        <v>17975504</v>
      </c>
      <c r="C763" s="3" t="str">
        <f>HYPERLINK("http://www.ncbi.nlm.nih.gov/protein/17975504","Bag4")</f>
        <v>Bag4</v>
      </c>
      <c r="E763" t="str">
        <f>HYPERLINK("J:\Depot - mpkCCD Fractions\Main Web Page\Web Pages_old\proteomic_fractions_linear_files/Yang_linear_img/17975504.jpg","show blot")</f>
        <v>show blot</v>
      </c>
      <c r="G763" t="s">
        <v>759</v>
      </c>
      <c r="I763" s="6">
        <v>3.6350716976072843</v>
      </c>
      <c r="K763" s="8"/>
    </row>
    <row r="764" spans="1:11" ht="15" x14ac:dyDescent="0.25">
      <c r="A764" s="3" t="str">
        <f>HYPERLINK("proteomic_fractions_linear_files/Yang_linear_img/58037205.jpg", "58037205")</f>
        <v>58037205</v>
      </c>
      <c r="C764" s="3" t="str">
        <f>HYPERLINK("http://www.ncbi.nlm.nih.gov/protein/58037205","Bag5")</f>
        <v>Bag5</v>
      </c>
      <c r="E764" t="str">
        <f>HYPERLINK("J:\Depot - mpkCCD Fractions\Main Web Page\Web Pages_old\proteomic_fractions_linear_files/Yang_linear_img/58037205.jpg","show blot")</f>
        <v>show blot</v>
      </c>
      <c r="G764" t="s">
        <v>760</v>
      </c>
      <c r="I764" s="6">
        <v>5.2560758377826406</v>
      </c>
      <c r="K764" s="8"/>
    </row>
    <row r="765" spans="1:11" ht="15" x14ac:dyDescent="0.25">
      <c r="A765" s="3" t="str">
        <f>HYPERLINK("proteomic_fractions_linear_files/Yang_linear_img/33147082.jpg", "33147082")</f>
        <v>33147082</v>
      </c>
      <c r="C765" s="3" t="str">
        <f>HYPERLINK("http://www.ncbi.nlm.nih.gov/protein/33147082","Bag6")</f>
        <v>Bag6</v>
      </c>
      <c r="E765" t="str">
        <f>HYPERLINK("J:\Depot - mpkCCD Fractions\Main Web Page\Web Pages_old\proteomic_fractions_linear_files/Yang_linear_img/33147082.jpg","show blot")</f>
        <v>show blot</v>
      </c>
      <c r="G765" t="s">
        <v>761</v>
      </c>
      <c r="I765" s="6">
        <v>5.1744284949302966</v>
      </c>
      <c r="K765" s="8"/>
    </row>
    <row r="766" spans="1:11" ht="15" x14ac:dyDescent="0.25">
      <c r="A766" s="3" t="str">
        <f>HYPERLINK("proteomic_fractions_linear_files/Yang_linear_img/357197137.jpg", "357197137")</f>
        <v>357197137</v>
      </c>
      <c r="C766" s="3" t="str">
        <f>HYPERLINK("http://www.ncbi.nlm.nih.gov/protein/357197137","Bag6")</f>
        <v>Bag6</v>
      </c>
      <c r="E766" t="str">
        <f>HYPERLINK("J:\Depot - mpkCCD Fractions\Main Web Page\Web Pages_old\proteomic_fractions_linear_files/Yang_linear_img/357197137.jpg","show blot")</f>
        <v>show blot</v>
      </c>
      <c r="G766" t="s">
        <v>762</v>
      </c>
      <c r="I766" s="6">
        <v>5.1744284949302966</v>
      </c>
      <c r="K766" s="8"/>
    </row>
    <row r="767" spans="1:11" ht="15" x14ac:dyDescent="0.25">
      <c r="A767" s="3" t="str">
        <f>HYPERLINK("proteomic_fractions_linear_files/Yang_linear_img/357197139.jpg", "357197139")</f>
        <v>357197139</v>
      </c>
      <c r="C767" s="3" t="str">
        <f>HYPERLINK("http://www.ncbi.nlm.nih.gov/protein/357197139","Bag6")</f>
        <v>Bag6</v>
      </c>
      <c r="E767" t="str">
        <f>HYPERLINK("J:\Depot - mpkCCD Fractions\Main Web Page\Web Pages_old\proteomic_fractions_linear_files/Yang_linear_img/357197139.jpg","show blot")</f>
        <v>show blot</v>
      </c>
      <c r="G767" t="s">
        <v>763</v>
      </c>
      <c r="I767" s="6">
        <v>5.1744284949302966</v>
      </c>
      <c r="K767" s="8"/>
    </row>
    <row r="768" spans="1:11" ht="15" x14ac:dyDescent="0.25">
      <c r="A768" s="3" t="str">
        <f>HYPERLINK("proteomic_fractions_linear_files/Yang_linear_img/262231776.jpg", "262231776")</f>
        <v>262231776</v>
      </c>
      <c r="C768" s="3" t="str">
        <f>HYPERLINK("http://www.ncbi.nlm.nih.gov/protein/262231776","Baiap2")</f>
        <v>Baiap2</v>
      </c>
      <c r="E768" t="str">
        <f>HYPERLINK("J:\Depot - mpkCCD Fractions\Main Web Page\Web Pages_old\proteomic_fractions_linear_files/Yang_linear_img/262231776.jpg","show blot")</f>
        <v>show blot</v>
      </c>
      <c r="G768" t="s">
        <v>764</v>
      </c>
      <c r="I768" s="6">
        <v>5.368376737217873</v>
      </c>
      <c r="K768" s="8"/>
    </row>
    <row r="769" spans="1:11" ht="15" x14ac:dyDescent="0.25">
      <c r="A769" s="3" t="str">
        <f>HYPERLINK("proteomic_fractions_linear_files/Yang_linear_img/83642836.jpg", "83642836")</f>
        <v>83642836</v>
      </c>
      <c r="C769" s="3" t="str">
        <f>HYPERLINK("http://www.ncbi.nlm.nih.gov/protein/83642836","Baiap2")</f>
        <v>Baiap2</v>
      </c>
      <c r="E769" t="str">
        <f>HYPERLINK("J:\Depot - mpkCCD Fractions\Main Web Page\Web Pages_old\proteomic_fractions_linear_files/Yang_linear_img/83642836.jpg","show blot")</f>
        <v>show blot</v>
      </c>
      <c r="G769" t="s">
        <v>765</v>
      </c>
      <c r="I769" s="6">
        <v>5.368376737217873</v>
      </c>
      <c r="K769" s="8"/>
    </row>
    <row r="770" spans="1:11" ht="15" x14ac:dyDescent="0.25">
      <c r="A770" s="3" t="str">
        <f>HYPERLINK("proteomic_fractions_linear_files/Yang_linear_img/83649713.jpg", "83649713")</f>
        <v>83649713</v>
      </c>
      <c r="C770" s="3" t="str">
        <f>HYPERLINK("http://www.ncbi.nlm.nih.gov/protein/83649713","Baiap2")</f>
        <v>Baiap2</v>
      </c>
      <c r="E770" t="str">
        <f>HYPERLINK("J:\Depot - mpkCCD Fractions\Main Web Page\Web Pages_old\proteomic_fractions_linear_files/Yang_linear_img/83649713.jpg","show blot")</f>
        <v>show blot</v>
      </c>
      <c r="G770" t="s">
        <v>766</v>
      </c>
      <c r="I770" s="6">
        <v>5.368376737217873</v>
      </c>
      <c r="K770" s="8"/>
    </row>
    <row r="771" spans="1:11" ht="15" x14ac:dyDescent="0.25">
      <c r="A771" s="3" t="str">
        <f>HYPERLINK("proteomic_fractions_linear_files/Yang_linear_img/21313234.jpg", "21313234")</f>
        <v>21313234</v>
      </c>
      <c r="C771" s="3" t="str">
        <f>HYPERLINK("http://www.ncbi.nlm.nih.gov/protein/21313234","Baiap2l1")</f>
        <v>Baiap2l1</v>
      </c>
      <c r="E771" t="str">
        <f>HYPERLINK("J:\Depot - mpkCCD Fractions\Main Web Page\Web Pages_old\proteomic_fractions_linear_files/Yang_linear_img/21313234.jpg","show blot")</f>
        <v>show blot</v>
      </c>
      <c r="G771" t="s">
        <v>767</v>
      </c>
      <c r="I771" s="6">
        <v>4.4743555861823383</v>
      </c>
      <c r="K771" s="8"/>
    </row>
    <row r="772" spans="1:11" ht="15" x14ac:dyDescent="0.25">
      <c r="A772" s="3" t="str">
        <f>HYPERLINK("proteomic_fractions_linear_files/Yang_linear_img/111955302.jpg", "111955302")</f>
        <v>111955302</v>
      </c>
      <c r="C772" s="3" t="str">
        <f>HYPERLINK("http://www.ncbi.nlm.nih.gov/protein/111955302","Bak1")</f>
        <v>Bak1</v>
      </c>
      <c r="E772" t="str">
        <f>HYPERLINK("J:\Depot - mpkCCD Fractions\Main Web Page\Web Pages_old\proteomic_fractions_linear_files/Yang_linear_img/111955302.jpg","show blot")</f>
        <v>show blot</v>
      </c>
      <c r="G772" t="s">
        <v>768</v>
      </c>
      <c r="I772" s="6">
        <v>4.7828340423422633</v>
      </c>
      <c r="K772" s="8"/>
    </row>
    <row r="773" spans="1:11" ht="15" x14ac:dyDescent="0.25">
      <c r="A773" s="3" t="str">
        <f>HYPERLINK("proteomic_fractions_linear_files/Yang_linear_img/6753178;84042521.jpg", "6753178;84042521")</f>
        <v>6753178;84042521</v>
      </c>
      <c r="C773" s="3" t="str">
        <f>HYPERLINK("http://www.ncbi.nlm.nih.gov/protein/6753178;84042521","Banf1")</f>
        <v>Banf1</v>
      </c>
      <c r="E773" t="str">
        <f>HYPERLINK("J:\Depot - mpkCCD Fractions\Main Web Page\Web Pages_old\proteomic_fractions_linear_files/Yang_linear_img/6753178;84042521.jpg","show blot")</f>
        <v>show blot</v>
      </c>
      <c r="G773" t="s">
        <v>769</v>
      </c>
      <c r="I773" s="6">
        <v>5.8026846621632551</v>
      </c>
      <c r="K773" s="8"/>
    </row>
    <row r="774" spans="1:11" ht="15" x14ac:dyDescent="0.25">
      <c r="A774" s="3" t="str">
        <f>HYPERLINK("proteomic_fractions_linear_files/Yang_linear_img/84042521.jpg", "84042521")</f>
        <v>84042521</v>
      </c>
      <c r="C774" s="3" t="str">
        <f>HYPERLINK("http://www.ncbi.nlm.nih.gov/protein/84042521","Banf1")</f>
        <v>Banf1</v>
      </c>
      <c r="E774" t="str">
        <f>HYPERLINK("J:\Depot - mpkCCD Fractions\Main Web Page\Web Pages_old\proteomic_fractions_linear_files/Yang_linear_img/84042521.jpg","show blot")</f>
        <v>show blot</v>
      </c>
      <c r="G774" t="s">
        <v>769</v>
      </c>
      <c r="I774" s="6">
        <v>5.8026846621632551</v>
      </c>
      <c r="K774" s="8"/>
    </row>
    <row r="775" spans="1:11" ht="15" x14ac:dyDescent="0.25">
      <c r="A775" s="3" t="str">
        <f>HYPERLINK("proteomic_fractions_linear_files/Yang_linear_img/45598372.jpg", "45598372")</f>
        <v>45598372</v>
      </c>
      <c r="C775" s="3" t="str">
        <f>HYPERLINK("http://www.ncbi.nlm.nih.gov/protein/45598372","Basp1")</f>
        <v>Basp1</v>
      </c>
      <c r="E775" t="str">
        <f>HYPERLINK("J:\Depot - mpkCCD Fractions\Main Web Page\Web Pages_old\proteomic_fractions_linear_files/Yang_linear_img/45598372.jpg","show blot")</f>
        <v>show blot</v>
      </c>
      <c r="G775" t="s">
        <v>770</v>
      </c>
      <c r="I775" s="6">
        <v>6.1059328953848766</v>
      </c>
      <c r="K775" s="8"/>
    </row>
    <row r="776" spans="1:11" ht="15" x14ac:dyDescent="0.25">
      <c r="A776" s="3" t="str">
        <f>HYPERLINK("proteomic_fractions_linear_files/Yang_linear_img/6680770.jpg", "6680770")</f>
        <v>6680770</v>
      </c>
      <c r="C776" s="3" t="str">
        <f>HYPERLINK("http://www.ncbi.nlm.nih.gov/protein/6680770","Bax")</f>
        <v>Bax</v>
      </c>
      <c r="E776" t="str">
        <f>HYPERLINK("J:\Depot - mpkCCD Fractions\Main Web Page\Web Pages_old\proteomic_fractions_linear_files/Yang_linear_img/6680770.jpg","show blot")</f>
        <v>show blot</v>
      </c>
      <c r="G776" t="s">
        <v>771</v>
      </c>
      <c r="I776" s="6">
        <v>5.6006829348837206</v>
      </c>
      <c r="K776" s="8"/>
    </row>
    <row r="777" spans="1:11" ht="15" x14ac:dyDescent="0.25">
      <c r="A777" s="3" t="str">
        <f>HYPERLINK("proteomic_fractions_linear_files/Yang_linear_img/170295818.jpg", "170295818")</f>
        <v>170295818</v>
      </c>
      <c r="C777" s="3" t="str">
        <f>HYPERLINK("http://www.ncbi.nlm.nih.gov/protein/170295818","Baz1b")</f>
        <v>Baz1b</v>
      </c>
      <c r="E777" t="str">
        <f>HYPERLINK("J:\Depot - mpkCCD Fractions\Main Web Page\Web Pages_old\proteomic_fractions_linear_files/Yang_linear_img/170295818.jpg","show blot")</f>
        <v>show blot</v>
      </c>
      <c r="G777" t="s">
        <v>772</v>
      </c>
      <c r="I777" s="6">
        <v>3.8967079173545649</v>
      </c>
      <c r="K777" s="8"/>
    </row>
    <row r="778" spans="1:11" ht="15" x14ac:dyDescent="0.25">
      <c r="A778" s="3" t="str">
        <f>HYPERLINK("proteomic_fractions_linear_files/Yang_linear_img/294774603.jpg", "294774603")</f>
        <v>294774603</v>
      </c>
      <c r="C778" s="3" t="str">
        <f>HYPERLINK("http://www.ncbi.nlm.nih.gov/protein/294774603","BB287469")</f>
        <v>BB287469</v>
      </c>
      <c r="E778" t="str">
        <f>HYPERLINK("J:\Depot - mpkCCD Fractions\Main Web Page\Web Pages_old\proteomic_fractions_linear_files/Yang_linear_img/294774603.jpg","show blot")</f>
        <v>show blot</v>
      </c>
      <c r="G778" t="s">
        <v>773</v>
      </c>
      <c r="I778" s="6">
        <v>4.9335661807843865</v>
      </c>
      <c r="K778" s="8"/>
    </row>
    <row r="779" spans="1:11" ht="15" x14ac:dyDescent="0.25">
      <c r="A779" s="3" t="str">
        <f>HYPERLINK("proteomic_fractions_linear_files/Yang_linear_img/305855096.jpg", "305855096")</f>
        <v>305855096</v>
      </c>
      <c r="C779" s="3" t="str">
        <f>HYPERLINK("http://www.ncbi.nlm.nih.gov/protein/305855096","Bbip1")</f>
        <v>Bbip1</v>
      </c>
      <c r="E779" t="str">
        <f>HYPERLINK("J:\Depot - mpkCCD Fractions\Main Web Page\Web Pages_old\proteomic_fractions_linear_files/Yang_linear_img/305855096.jpg","show blot")</f>
        <v>show blot</v>
      </c>
      <c r="G779" t="s">
        <v>774</v>
      </c>
      <c r="I779" s="7" t="s">
        <v>8360</v>
      </c>
      <c r="K779" s="8"/>
    </row>
    <row r="780" spans="1:11" ht="15" x14ac:dyDescent="0.25">
      <c r="A780" s="3" t="str">
        <f>HYPERLINK("proteomic_fractions_linear_files/Yang_linear_img/84370025.jpg", "84370025")</f>
        <v>84370025</v>
      </c>
      <c r="C780" s="3" t="str">
        <f>HYPERLINK("http://www.ncbi.nlm.nih.gov/protein/84370025","Bbs1")</f>
        <v>Bbs1</v>
      </c>
      <c r="E780" t="str">
        <f>HYPERLINK("J:\Depot - mpkCCD Fractions\Main Web Page\Web Pages_old\proteomic_fractions_linear_files/Yang_linear_img/84370025.jpg","show blot")</f>
        <v>show blot</v>
      </c>
      <c r="G780" t="s">
        <v>775</v>
      </c>
      <c r="I780" s="6">
        <v>3.1938524394765859</v>
      </c>
      <c r="K780" s="8"/>
    </row>
    <row r="781" spans="1:11" ht="15" x14ac:dyDescent="0.25">
      <c r="A781" s="3" t="str">
        <f>HYPERLINK("proteomic_fractions_linear_files/Yang_linear_img/116805315.jpg", "116805315")</f>
        <v>116805315</v>
      </c>
      <c r="C781" s="3" t="str">
        <f>HYPERLINK("http://www.ncbi.nlm.nih.gov/protein/116805315","BC003331")</f>
        <v>BC003331</v>
      </c>
      <c r="E781" t="str">
        <f>HYPERLINK("J:\Depot - mpkCCD Fractions\Main Web Page\Web Pages_old\proteomic_fractions_linear_files/Yang_linear_img/116805315.jpg","show blot")</f>
        <v>show blot</v>
      </c>
      <c r="G781" t="s">
        <v>776</v>
      </c>
      <c r="I781" s="6">
        <v>2.8976744070035925</v>
      </c>
      <c r="K781" s="8"/>
    </row>
    <row r="782" spans="1:11" ht="15" x14ac:dyDescent="0.25">
      <c r="A782" s="3" t="str">
        <f>HYPERLINK("proteomic_fractions_linear_files/Yang_linear_img/116805317.jpg", "116805317")</f>
        <v>116805317</v>
      </c>
      <c r="C782" s="3" t="str">
        <f>HYPERLINK("http://www.ncbi.nlm.nih.gov/protein/116805317","BC003331")</f>
        <v>BC003331</v>
      </c>
      <c r="E782" t="str">
        <f>HYPERLINK("J:\Depot - mpkCCD Fractions\Main Web Page\Web Pages_old\proteomic_fractions_linear_files/Yang_linear_img/116805317.jpg","show blot")</f>
        <v>show blot</v>
      </c>
      <c r="G782" t="s">
        <v>777</v>
      </c>
      <c r="I782" s="6">
        <v>2.8976744070035925</v>
      </c>
      <c r="K782" s="8"/>
    </row>
    <row r="783" spans="1:11" ht="15" x14ac:dyDescent="0.25">
      <c r="A783" s="3" t="str">
        <f>HYPERLINK("proteomic_fractions_linear_files/Yang_linear_img/268607692.jpg", "268607692")</f>
        <v>268607692</v>
      </c>
      <c r="C783" s="3" t="str">
        <f>HYPERLINK("http://www.ncbi.nlm.nih.gov/protein/268607692","BC003965")</f>
        <v>BC003965</v>
      </c>
      <c r="E783" t="str">
        <f>HYPERLINK("J:\Depot - mpkCCD Fractions\Main Web Page\Web Pages_old\proteomic_fractions_linear_files/Yang_linear_img/268607692.jpg","show blot")</f>
        <v>show blot</v>
      </c>
      <c r="G783" t="s">
        <v>778</v>
      </c>
      <c r="I783" s="6">
        <v>4.1472295004478266</v>
      </c>
      <c r="K783" s="8"/>
    </row>
    <row r="784" spans="1:11" ht="15" x14ac:dyDescent="0.25">
      <c r="A784" s="3" t="str">
        <f>HYPERLINK("proteomic_fractions_linear_files/Yang_linear_img/262205179.jpg", "262205179")</f>
        <v>262205179</v>
      </c>
      <c r="C784" s="3" t="str">
        <f>HYPERLINK("http://www.ncbi.nlm.nih.gov/protein/262205179","BC005561")</f>
        <v>BC005561</v>
      </c>
      <c r="E784" t="str">
        <f>HYPERLINK("J:\Depot - mpkCCD Fractions\Main Web Page\Web Pages_old\proteomic_fractions_linear_files/Yang_linear_img/262205179.jpg","show blot")</f>
        <v>show blot</v>
      </c>
      <c r="G784" t="s">
        <v>779</v>
      </c>
      <c r="I784" s="6">
        <v>2.2790329381911349</v>
      </c>
      <c r="K784" s="8"/>
    </row>
    <row r="785" spans="1:11" ht="15" x14ac:dyDescent="0.25">
      <c r="A785" s="3" t="str">
        <f>HYPERLINK("proteomic_fractions_linear_files/Yang_linear_img/21450249.jpg", "21450249")</f>
        <v>21450249</v>
      </c>
      <c r="C785" s="3" t="str">
        <f>HYPERLINK("http://www.ncbi.nlm.nih.gov/protein/21450249","BC005624")</f>
        <v>BC005624</v>
      </c>
      <c r="E785" t="str">
        <f>HYPERLINK("J:\Depot - mpkCCD Fractions\Main Web Page\Web Pages_old\proteomic_fractions_linear_files/Yang_linear_img/21450249.jpg","show blot")</f>
        <v>show blot</v>
      </c>
      <c r="G785" t="s">
        <v>780</v>
      </c>
      <c r="I785" s="6">
        <v>3.8889405939452604</v>
      </c>
      <c r="K785" s="8"/>
    </row>
    <row r="786" spans="1:11" ht="15" x14ac:dyDescent="0.25">
      <c r="A786" s="3" t="str">
        <f>HYPERLINK("proteomic_fractions_linear_files/Yang_linear_img/357527359.jpg", "357527359")</f>
        <v>357527359</v>
      </c>
      <c r="C786" s="3" t="str">
        <f>HYPERLINK("http://www.ncbi.nlm.nih.gov/protein/357527359","BC017643")</f>
        <v>BC017643</v>
      </c>
      <c r="E786" t="str">
        <f>HYPERLINK("J:\Depot - mpkCCD Fractions\Main Web Page\Web Pages_old\proteomic_fractions_linear_files/Yang_linear_img/357527359.jpg","show blot")</f>
        <v>show blot</v>
      </c>
      <c r="G786" t="s">
        <v>781</v>
      </c>
      <c r="I786" s="6">
        <v>4.472916005663369</v>
      </c>
      <c r="K786" s="8"/>
    </row>
    <row r="787" spans="1:11" ht="15" x14ac:dyDescent="0.25">
      <c r="A787" s="3" t="str">
        <f>HYPERLINK("proteomic_fractions_linear_files/Yang_linear_img/21450219.jpg", "21450219")</f>
        <v>21450219</v>
      </c>
      <c r="C787" s="3" t="str">
        <f>HYPERLINK("http://www.ncbi.nlm.nih.gov/protein/21450219","BC017643")</f>
        <v>BC017643</v>
      </c>
      <c r="E787" t="str">
        <f>HYPERLINK("J:\Depot - mpkCCD Fractions\Main Web Page\Web Pages_old\proteomic_fractions_linear_files/Yang_linear_img/21450219.jpg","show blot")</f>
        <v>show blot</v>
      </c>
      <c r="G787" t="s">
        <v>782</v>
      </c>
      <c r="I787" s="6">
        <v>4.472916005663369</v>
      </c>
      <c r="K787" s="8"/>
    </row>
    <row r="788" spans="1:11" ht="15" x14ac:dyDescent="0.25">
      <c r="A788" s="3" t="str">
        <f>HYPERLINK("proteomic_fractions_linear_files/Yang_linear_img/361050365.jpg", "361050365")</f>
        <v>361050365</v>
      </c>
      <c r="C788" s="3" t="str">
        <f>HYPERLINK("http://www.ncbi.nlm.nih.gov/protein/361050365","BC017643")</f>
        <v>BC017643</v>
      </c>
      <c r="E788" t="str">
        <f>HYPERLINK("J:\Depot - mpkCCD Fractions\Main Web Page\Web Pages_old\proteomic_fractions_linear_files/Yang_linear_img/361050365.jpg","show blot")</f>
        <v>show blot</v>
      </c>
      <c r="G788" t="s">
        <v>783</v>
      </c>
      <c r="I788" s="6">
        <v>4.472916005663369</v>
      </c>
      <c r="K788" s="8"/>
    </row>
    <row r="789" spans="1:11" ht="15" x14ac:dyDescent="0.25">
      <c r="A789" s="3" t="str">
        <f>HYPERLINK("proteomic_fractions_linear_files/Yang_linear_img/21450105.jpg", "21450105")</f>
        <v>21450105</v>
      </c>
      <c r="C789" s="3" t="str">
        <f>HYPERLINK("http://www.ncbi.nlm.nih.gov/protein/21450105","BC021614")</f>
        <v>BC021614</v>
      </c>
      <c r="E789" t="str">
        <f>HYPERLINK("J:\Depot - mpkCCD Fractions\Main Web Page\Web Pages_old\proteomic_fractions_linear_files/Yang_linear_img/21450105.jpg","show blot")</f>
        <v>show blot</v>
      </c>
      <c r="G789" t="s">
        <v>784</v>
      </c>
      <c r="I789" s="6">
        <v>5.91158677783916</v>
      </c>
      <c r="K789" s="8"/>
    </row>
    <row r="790" spans="1:11" ht="15" x14ac:dyDescent="0.25">
      <c r="A790" s="3" t="str">
        <f>HYPERLINK("proteomic_fractions_linear_files/Yang_linear_img/119637821.jpg", "119637821")</f>
        <v>119637821</v>
      </c>
      <c r="C790" s="3" t="str">
        <f>HYPERLINK("http://www.ncbi.nlm.nih.gov/protein/119637821","BC021891")</f>
        <v>BC021891</v>
      </c>
      <c r="E790" t="str">
        <f>HYPERLINK("J:\Depot - mpkCCD Fractions\Main Web Page\Web Pages_old\proteomic_fractions_linear_files/Yang_linear_img/119637821.jpg","show blot")</f>
        <v>show blot</v>
      </c>
      <c r="G790" t="s">
        <v>785</v>
      </c>
      <c r="I790" s="6">
        <v>3.4023755114615306</v>
      </c>
      <c r="K790" s="8"/>
    </row>
    <row r="791" spans="1:11" ht="15" x14ac:dyDescent="0.25">
      <c r="A791" s="3" t="str">
        <f>HYPERLINK("proteomic_fractions_linear_files/Yang_linear_img/124487245.jpg", "124487245")</f>
        <v>124487245</v>
      </c>
      <c r="C791" s="3" t="str">
        <f>HYPERLINK("http://www.ncbi.nlm.nih.gov/protein/124487245","BC026590")</f>
        <v>BC026590</v>
      </c>
      <c r="E791" t="str">
        <f>HYPERLINK("J:\Depot - mpkCCD Fractions\Main Web Page\Web Pages_old\proteomic_fractions_linear_files/Yang_linear_img/124487245.jpg","show blot")</f>
        <v>show blot</v>
      </c>
      <c r="G791" t="s">
        <v>786</v>
      </c>
      <c r="I791" s="6">
        <v>4.8257728807470581</v>
      </c>
      <c r="K791" s="8"/>
    </row>
    <row r="792" spans="1:11" ht="15" x14ac:dyDescent="0.25">
      <c r="A792" s="3" t="str">
        <f>HYPERLINK("proteomic_fractions_linear_files/Yang_linear_img/22122411.jpg", "22122411")</f>
        <v>22122411</v>
      </c>
      <c r="C792" s="3" t="str">
        <f>HYPERLINK("http://www.ncbi.nlm.nih.gov/protein/22122411","BC027231")</f>
        <v>BC027231</v>
      </c>
      <c r="E792" t="str">
        <f>HYPERLINK("J:\Depot - mpkCCD Fractions\Main Web Page\Web Pages_old\proteomic_fractions_linear_files/Yang_linear_img/22122411.jpg","show blot")</f>
        <v>show blot</v>
      </c>
      <c r="G792" t="s">
        <v>787</v>
      </c>
      <c r="I792" s="6">
        <v>3.0896930248318464</v>
      </c>
      <c r="K792" s="8"/>
    </row>
    <row r="793" spans="1:11" ht="15" x14ac:dyDescent="0.25">
      <c r="A793" s="3" t="str">
        <f>HYPERLINK("proteomic_fractions_linear_files/Yang_linear_img/47564127.jpg", "47564127")</f>
        <v>47564127</v>
      </c>
      <c r="C793" s="3" t="str">
        <f>HYPERLINK("http://www.ncbi.nlm.nih.gov/protein/47564127","BC048507")</f>
        <v>BC048507</v>
      </c>
      <c r="E793" t="str">
        <f>HYPERLINK("J:\Depot - mpkCCD Fractions\Main Web Page\Web Pages_old\proteomic_fractions_linear_files/Yang_linear_img/47564127.jpg","show blot")</f>
        <v>show blot</v>
      </c>
      <c r="G793" t="s">
        <v>788</v>
      </c>
      <c r="I793" s="6">
        <v>5.6109061467814971</v>
      </c>
      <c r="K793" s="8"/>
    </row>
    <row r="794" spans="1:11" ht="15" x14ac:dyDescent="0.25">
      <c r="A794" s="3" t="str">
        <f>HYPERLINK("proteomic_fractions_linear_files/Yang_linear_img/255522839.jpg", "255522839")</f>
        <v>255522839</v>
      </c>
      <c r="C794" s="3" t="str">
        <f>HYPERLINK("http://www.ncbi.nlm.nih.gov/protein/255522839","BC051142")</f>
        <v>BC051142</v>
      </c>
      <c r="E794" t="str">
        <f>HYPERLINK("J:\Depot - mpkCCD Fractions\Main Web Page\Web Pages_old\proteomic_fractions_linear_files/Yang_linear_img/255522839.jpg","show blot")</f>
        <v>show blot</v>
      </c>
      <c r="G794" t="s">
        <v>789</v>
      </c>
      <c r="I794" s="6">
        <v>5.2483016966837459</v>
      </c>
      <c r="K794" s="8"/>
    </row>
    <row r="795" spans="1:11" ht="15" x14ac:dyDescent="0.25">
      <c r="A795" s="3" t="str">
        <f>HYPERLINK("proteomic_fractions_linear_files/Yang_linear_img/283046767.jpg", "283046767")</f>
        <v>283046767</v>
      </c>
      <c r="C795" s="3" t="str">
        <f>HYPERLINK("http://www.ncbi.nlm.nih.gov/protein/283046767","BC068281")</f>
        <v>BC068281</v>
      </c>
      <c r="E795" t="str">
        <f>HYPERLINK("J:\Depot - mpkCCD Fractions\Main Web Page\Web Pages_old\proteomic_fractions_linear_files/Yang_linear_img/283046767.jpg","show blot")</f>
        <v>show blot</v>
      </c>
      <c r="G795" t="s">
        <v>790</v>
      </c>
      <c r="I795" s="6">
        <v>2.5450345052282666</v>
      </c>
      <c r="K795" s="8"/>
    </row>
    <row r="796" spans="1:11" ht="15" x14ac:dyDescent="0.25">
      <c r="A796" s="3" t="str">
        <f>HYPERLINK("proteomic_fractions_linear_files/Yang_linear_img/283046769.jpg", "283046769")</f>
        <v>283046769</v>
      </c>
      <c r="C796" s="3" t="str">
        <f>HYPERLINK("http://www.ncbi.nlm.nih.gov/protein/283046769","BC068281")</f>
        <v>BC068281</v>
      </c>
      <c r="E796" t="str">
        <f>HYPERLINK("J:\Depot - mpkCCD Fractions\Main Web Page\Web Pages_old\proteomic_fractions_linear_files/Yang_linear_img/283046769.jpg","show blot")</f>
        <v>show blot</v>
      </c>
      <c r="G796" t="s">
        <v>791</v>
      </c>
      <c r="I796" s="6">
        <v>2.5450345052282666</v>
      </c>
      <c r="K796" s="8"/>
    </row>
    <row r="797" spans="1:11" ht="15" x14ac:dyDescent="0.25">
      <c r="A797" s="3" t="str">
        <f>HYPERLINK("proteomic_fractions_linear_files/Yang_linear_img/76781476.jpg", "76781476")</f>
        <v>76781476</v>
      </c>
      <c r="C797" s="3" t="str">
        <f>HYPERLINK("http://www.ncbi.nlm.nih.gov/protein/76781476","BC089491")</f>
        <v>BC089491</v>
      </c>
      <c r="E797" t="str">
        <f>HYPERLINK("J:\Depot - mpkCCD Fractions\Main Web Page\Web Pages_old\proteomic_fractions_linear_files/Yang_linear_img/76781476.jpg","show blot")</f>
        <v>show blot</v>
      </c>
      <c r="G797" t="s">
        <v>792</v>
      </c>
      <c r="I797" s="6">
        <v>3.8495250330017541</v>
      </c>
      <c r="K797" s="8"/>
    </row>
    <row r="798" spans="1:11" ht="15" x14ac:dyDescent="0.25">
      <c r="A798" s="3" t="str">
        <f>HYPERLINK("proteomic_fractions_linear_files/Yang_linear_img/10048460.jpg", "10048460")</f>
        <v>10048460</v>
      </c>
      <c r="C798" s="3" t="str">
        <f>HYPERLINK("http://www.ncbi.nlm.nih.gov/protein/10048460","Bcam")</f>
        <v>Bcam</v>
      </c>
      <c r="E798" t="str">
        <f>HYPERLINK("J:\Depot - mpkCCD Fractions\Main Web Page\Web Pages_old\proteomic_fractions_linear_files/Yang_linear_img/10048460.jpg","show blot")</f>
        <v>show blot</v>
      </c>
      <c r="G798" t="s">
        <v>793</v>
      </c>
      <c r="I798" s="6">
        <v>5.2886800682555046</v>
      </c>
      <c r="K798" s="8"/>
    </row>
    <row r="799" spans="1:11" ht="15" x14ac:dyDescent="0.25">
      <c r="A799" s="3" t="str">
        <f>HYPERLINK("proteomic_fractions_linear_files/Yang_linear_img/6671620.jpg", "6671620")</f>
        <v>6671620</v>
      </c>
      <c r="C799" s="3" t="str">
        <f>HYPERLINK("http://www.ncbi.nlm.nih.gov/protein/6671620","Bcap29")</f>
        <v>Bcap29</v>
      </c>
      <c r="E799" t="str">
        <f>HYPERLINK("J:\Depot - mpkCCD Fractions\Main Web Page\Web Pages_old\proteomic_fractions_linear_files/Yang_linear_img/6671620.jpg","show blot")</f>
        <v>show blot</v>
      </c>
      <c r="G799" t="s">
        <v>794</v>
      </c>
      <c r="I799" s="6">
        <v>2.8048743008369379</v>
      </c>
      <c r="K799" s="8"/>
    </row>
    <row r="800" spans="1:11" ht="15" x14ac:dyDescent="0.25">
      <c r="A800" s="3" t="str">
        <f>HYPERLINK("proteomic_fractions_linear_files/Yang_linear_img/31981310.jpg", "31981310")</f>
        <v>31981310</v>
      </c>
      <c r="C800" s="3" t="str">
        <f>HYPERLINK("http://www.ncbi.nlm.nih.gov/protein/31981310","Bcap31")</f>
        <v>Bcap31</v>
      </c>
      <c r="E800" t="str">
        <f>HYPERLINK("J:\Depot - mpkCCD Fractions\Main Web Page\Web Pages_old\proteomic_fractions_linear_files/Yang_linear_img/31981310.jpg","show blot")</f>
        <v>show blot</v>
      </c>
      <c r="G800" t="s">
        <v>795</v>
      </c>
      <c r="I800" s="6">
        <v>5.2495910507852432</v>
      </c>
      <c r="K800" s="8"/>
    </row>
    <row r="801" spans="1:11" ht="15" x14ac:dyDescent="0.25">
      <c r="A801" s="3" t="str">
        <f>HYPERLINK("proteomic_fractions_linear_files/Yang_linear_img/311771530.jpg", "311771530")</f>
        <v>311771530</v>
      </c>
      <c r="C801" s="3" t="str">
        <f>HYPERLINK("http://www.ncbi.nlm.nih.gov/protein/311771530","Bcar1")</f>
        <v>Bcar1</v>
      </c>
      <c r="E801" t="str">
        <f>HYPERLINK("J:\Depot - mpkCCD Fractions\Main Web Page\Web Pages_old\proteomic_fractions_linear_files/Yang_linear_img/311771530.jpg","show blot")</f>
        <v>show blot</v>
      </c>
      <c r="G801" t="s">
        <v>796</v>
      </c>
      <c r="I801" s="6">
        <v>4.3949327231621087</v>
      </c>
      <c r="K801" s="8"/>
    </row>
    <row r="802" spans="1:11" ht="15" x14ac:dyDescent="0.25">
      <c r="A802" s="3" t="str">
        <f>HYPERLINK("proteomic_fractions_linear_files/Yang_linear_img/40254593.jpg", "40254593")</f>
        <v>40254593</v>
      </c>
      <c r="C802" s="3" t="str">
        <f>HYPERLINK("http://www.ncbi.nlm.nih.gov/protein/40254593","Bcar1")</f>
        <v>Bcar1</v>
      </c>
      <c r="E802" t="str">
        <f>HYPERLINK("J:\Depot - mpkCCD Fractions\Main Web Page\Web Pages_old\proteomic_fractions_linear_files/Yang_linear_img/40254593.jpg","show blot")</f>
        <v>show blot</v>
      </c>
      <c r="G802" t="s">
        <v>797</v>
      </c>
      <c r="I802" s="6">
        <v>4.3949327231621087</v>
      </c>
      <c r="K802" s="8"/>
    </row>
    <row r="803" spans="1:11" ht="15" x14ac:dyDescent="0.25">
      <c r="A803" s="3" t="str">
        <f>HYPERLINK("proteomic_fractions_linear_files/Yang_linear_img/70906453.jpg", "70906453")</f>
        <v>70906453</v>
      </c>
      <c r="C803" s="3" t="str">
        <f>HYPERLINK("http://www.ncbi.nlm.nih.gov/protein/70906453","Bcas2")</f>
        <v>Bcas2</v>
      </c>
      <c r="E803" t="str">
        <f>HYPERLINK("J:\Depot - mpkCCD Fractions\Main Web Page\Web Pages_old\proteomic_fractions_linear_files/Yang_linear_img/70906453.jpg","show blot")</f>
        <v>show blot</v>
      </c>
      <c r="G803" t="s">
        <v>798</v>
      </c>
      <c r="I803" s="6">
        <v>4.7136639567965988</v>
      </c>
      <c r="K803" s="8"/>
    </row>
    <row r="804" spans="1:11" ht="15" x14ac:dyDescent="0.25">
      <c r="A804" s="3" t="str">
        <f>HYPERLINK("proteomic_fractions_linear_files/Yang_linear_img/161016828.jpg", "161016828")</f>
        <v>161016828</v>
      </c>
      <c r="C804" s="3" t="str">
        <f>HYPERLINK("http://www.ncbi.nlm.nih.gov/protein/161016828","Bcat1")</f>
        <v>Bcat1</v>
      </c>
      <c r="E804" t="str">
        <f>HYPERLINK("J:\Depot - mpkCCD Fractions\Main Web Page\Web Pages_old\proteomic_fractions_linear_files/Yang_linear_img/161016828.jpg","show blot")</f>
        <v>show blot</v>
      </c>
      <c r="G804" t="s">
        <v>799</v>
      </c>
      <c r="I804" s="6">
        <v>4.7075366665070888</v>
      </c>
      <c r="K804" s="8"/>
    </row>
    <row r="805" spans="1:11" ht="15" x14ac:dyDescent="0.25">
      <c r="A805" s="3" t="str">
        <f>HYPERLINK("proteomic_fractions_linear_files/Yang_linear_img/66792792.jpg", "66792792")</f>
        <v>66792792</v>
      </c>
      <c r="C805" s="3" t="str">
        <f>HYPERLINK("http://www.ncbi.nlm.nih.gov/protein/66792792","Bcat1")</f>
        <v>Bcat1</v>
      </c>
      <c r="E805" t="str">
        <f>HYPERLINK("J:\Depot - mpkCCD Fractions\Main Web Page\Web Pages_old\proteomic_fractions_linear_files/Yang_linear_img/66792792.jpg","show blot")</f>
        <v>show blot</v>
      </c>
      <c r="G805" t="s">
        <v>800</v>
      </c>
      <c r="I805" s="6">
        <v>4.7075366665070888</v>
      </c>
      <c r="K805" s="8"/>
    </row>
    <row r="806" spans="1:11" ht="15" x14ac:dyDescent="0.25">
      <c r="A806" s="3" t="str">
        <f>HYPERLINK("proteomic_fractions_linear_files/Yang_linear_img/33859514.jpg", "33859514")</f>
        <v>33859514</v>
      </c>
      <c r="C806" s="3" t="str">
        <f>HYPERLINK("http://www.ncbi.nlm.nih.gov/protein/33859514","Bcat2")</f>
        <v>Bcat2</v>
      </c>
      <c r="E806" t="str">
        <f>HYPERLINK("J:\Depot - mpkCCD Fractions\Main Web Page\Web Pages_old\proteomic_fractions_linear_files/Yang_linear_img/33859514.jpg","show blot")</f>
        <v>show blot</v>
      </c>
      <c r="G806" t="s">
        <v>801</v>
      </c>
      <c r="I806" s="6">
        <v>3.6155689490998948</v>
      </c>
      <c r="K806" s="8"/>
    </row>
    <row r="807" spans="1:11" ht="15" x14ac:dyDescent="0.25">
      <c r="A807" s="3" t="str">
        <f>HYPERLINK("proteomic_fractions_linear_files/Yang_linear_img/340007384.jpg", "340007384")</f>
        <v>340007384</v>
      </c>
      <c r="C807" s="3" t="str">
        <f>HYPERLINK("http://www.ncbi.nlm.nih.gov/protein/340007384","Bcat2")</f>
        <v>Bcat2</v>
      </c>
      <c r="E807" t="str">
        <f>HYPERLINK("J:\Depot - mpkCCD Fractions\Main Web Page\Web Pages_old\proteomic_fractions_linear_files/Yang_linear_img/340007384.jpg","show blot")</f>
        <v>show blot</v>
      </c>
      <c r="G807" t="s">
        <v>802</v>
      </c>
      <c r="I807" s="6">
        <v>3.6155689490998948</v>
      </c>
      <c r="K807" s="8"/>
    </row>
    <row r="808" spans="1:11" ht="15" x14ac:dyDescent="0.25">
      <c r="A808" s="3" t="str">
        <f>HYPERLINK("proteomic_fractions_linear_files/Yang_linear_img/134031957.jpg", "134031957")</f>
        <v>134031957</v>
      </c>
      <c r="C808" s="3" t="str">
        <f>HYPERLINK("http://www.ncbi.nlm.nih.gov/protein/134031957","Bccip")</f>
        <v>Bccip</v>
      </c>
      <c r="E808" t="str">
        <f>HYPERLINK("J:\Depot - mpkCCD Fractions\Main Web Page\Web Pages_old\proteomic_fractions_linear_files/Yang_linear_img/134031957.jpg","show blot")</f>
        <v>show blot</v>
      </c>
      <c r="G808" t="s">
        <v>803</v>
      </c>
      <c r="I808" s="6">
        <v>4.6646937632441423</v>
      </c>
      <c r="K808" s="8"/>
    </row>
    <row r="809" spans="1:11" ht="15" x14ac:dyDescent="0.25">
      <c r="A809" s="3" t="str">
        <f>HYPERLINK("proteomic_fractions_linear_files/Yang_linear_img/183396774.jpg", "183396774")</f>
        <v>183396774</v>
      </c>
      <c r="C809" s="3" t="str">
        <f>HYPERLINK("http://www.ncbi.nlm.nih.gov/protein/183396774","Bckdha")</f>
        <v>Bckdha</v>
      </c>
      <c r="E809" t="str">
        <f>HYPERLINK("J:\Depot - mpkCCD Fractions\Main Web Page\Web Pages_old\proteomic_fractions_linear_files/Yang_linear_img/183396774.jpg","show blot")</f>
        <v>show blot</v>
      </c>
      <c r="G809" t="s">
        <v>804</v>
      </c>
      <c r="I809" s="6">
        <v>2.9030100131849674</v>
      </c>
      <c r="K809" s="8"/>
    </row>
    <row r="810" spans="1:11" ht="15" x14ac:dyDescent="0.25">
      <c r="A810" s="3" t="str">
        <f>HYPERLINK("proteomic_fractions_linear_files/Yang_linear_img/40353220.jpg", "40353220")</f>
        <v>40353220</v>
      </c>
      <c r="C810" s="3" t="str">
        <f>HYPERLINK("http://www.ncbi.nlm.nih.gov/protein/40353220","Bckdhb")</f>
        <v>Bckdhb</v>
      </c>
      <c r="E810" t="str">
        <f>HYPERLINK("J:\Depot - mpkCCD Fractions\Main Web Page\Web Pages_old\proteomic_fractions_linear_files/Yang_linear_img/40353220.jpg","show blot")</f>
        <v>show blot</v>
      </c>
      <c r="G810" t="s">
        <v>805</v>
      </c>
      <c r="I810" s="6">
        <v>4.1942987244137546</v>
      </c>
      <c r="K810" s="8"/>
    </row>
    <row r="811" spans="1:11" ht="15" x14ac:dyDescent="0.25">
      <c r="A811" s="3" t="str">
        <f>HYPERLINK("proteomic_fractions_linear_files/Yang_linear_img/6753166.jpg", "6753166")</f>
        <v>6753166</v>
      </c>
      <c r="C811" s="3" t="str">
        <f>HYPERLINK("http://www.ncbi.nlm.nih.gov/protein/6753166","Bcl10")</f>
        <v>Bcl10</v>
      </c>
      <c r="E811" t="str">
        <f>HYPERLINK("J:\Depot - mpkCCD Fractions\Main Web Page\Web Pages_old\proteomic_fractions_linear_files/Yang_linear_img/6753166.jpg","show blot")</f>
        <v>show blot</v>
      </c>
      <c r="G811" t="s">
        <v>806</v>
      </c>
      <c r="I811" s="6">
        <v>3.9962090583715733</v>
      </c>
      <c r="K811" s="8"/>
    </row>
    <row r="812" spans="1:11" ht="15" x14ac:dyDescent="0.25">
      <c r="A812" s="3" t="str">
        <f>HYPERLINK("proteomic_fractions_linear_files/Yang_linear_img/58037550.jpg", "58037550")</f>
        <v>58037550</v>
      </c>
      <c r="C812" s="3" t="str">
        <f>HYPERLINK("http://www.ncbi.nlm.nih.gov/protein/58037550","Bcl2l1")</f>
        <v>Bcl2l1</v>
      </c>
      <c r="E812" t="str">
        <f>HYPERLINK("J:\Depot - mpkCCD Fractions\Main Web Page\Web Pages_old\proteomic_fractions_linear_files/Yang_linear_img/58037550.jpg","show blot")</f>
        <v>show blot</v>
      </c>
      <c r="G812" t="s">
        <v>807</v>
      </c>
      <c r="I812" s="6">
        <v>1.6656531389509879</v>
      </c>
      <c r="K812" s="8"/>
    </row>
    <row r="813" spans="1:11" ht="15" x14ac:dyDescent="0.25">
      <c r="A813" s="3" t="str">
        <f>HYPERLINK("proteomic_fractions_linear_files/Yang_linear_img/46592786.jpg", "46592786")</f>
        <v>46592786</v>
      </c>
      <c r="C813" s="3" t="str">
        <f>HYPERLINK("http://www.ncbi.nlm.nih.gov/protein/46592786","Bcl2l11")</f>
        <v>Bcl2l11</v>
      </c>
      <c r="E813" t="str">
        <f>HYPERLINK("J:\Depot - mpkCCD Fractions\Main Web Page\Web Pages_old\proteomic_fractions_linear_files/Yang_linear_img/46592786.jpg","show blot")</f>
        <v>show blot</v>
      </c>
      <c r="G813" t="s">
        <v>808</v>
      </c>
      <c r="I813" s="6">
        <v>3.380339014611248</v>
      </c>
      <c r="K813" s="8"/>
    </row>
    <row r="814" spans="1:11" ht="15" x14ac:dyDescent="0.25">
      <c r="A814" s="3" t="str">
        <f>HYPERLINK("proteomic_fractions_linear_files/Yang_linear_img/23943828.jpg", "23943828")</f>
        <v>23943828</v>
      </c>
      <c r="C814" s="3" t="str">
        <f>HYPERLINK("http://www.ncbi.nlm.nih.gov/protein/23943828","Bcl2l13")</f>
        <v>Bcl2l13</v>
      </c>
      <c r="E814" t="str">
        <f>HYPERLINK("J:\Depot - mpkCCD Fractions\Main Web Page\Web Pages_old\proteomic_fractions_linear_files/Yang_linear_img/23943828.jpg","show blot")</f>
        <v>show blot</v>
      </c>
      <c r="G814" t="s">
        <v>809</v>
      </c>
      <c r="I814" s="6">
        <v>4.4009069746568246</v>
      </c>
      <c r="K814" s="8"/>
    </row>
    <row r="815" spans="1:11" ht="15" x14ac:dyDescent="0.25">
      <c r="A815" s="3" t="str">
        <f>HYPERLINK("proteomic_fractions_linear_files/Yang_linear_img/38194232.jpg", "38194232")</f>
        <v>38194232</v>
      </c>
      <c r="C815" s="3" t="str">
        <f>HYPERLINK("http://www.ncbi.nlm.nih.gov/protein/38194232","Bcl2l14")</f>
        <v>Bcl2l14</v>
      </c>
      <c r="E815" t="str">
        <f>HYPERLINK("J:\Depot - mpkCCD Fractions\Main Web Page\Web Pages_old\proteomic_fractions_linear_files/Yang_linear_img/38194232.jpg","show blot")</f>
        <v>show blot</v>
      </c>
      <c r="G815" t="s">
        <v>810</v>
      </c>
      <c r="I815" s="6">
        <v>3.631252831274844</v>
      </c>
      <c r="K815" s="8"/>
    </row>
    <row r="816" spans="1:11" ht="15" x14ac:dyDescent="0.25">
      <c r="A816" s="3" t="str">
        <f>HYPERLINK("proteomic_fractions_linear_files/Yang_linear_img/22296593.jpg", "22296593")</f>
        <v>22296593</v>
      </c>
      <c r="C816" s="3" t="str">
        <f>HYPERLINK("http://www.ncbi.nlm.nih.gov/protein/22296593","Bcl7a")</f>
        <v>Bcl7a</v>
      </c>
      <c r="E816" t="str">
        <f>HYPERLINK("J:\Depot - mpkCCD Fractions\Main Web Page\Web Pages_old\proteomic_fractions_linear_files/Yang_linear_img/22296593.jpg","show blot")</f>
        <v>show blot</v>
      </c>
      <c r="G816" t="s">
        <v>811</v>
      </c>
      <c r="I816" s="6">
        <v>3.5926314847858962</v>
      </c>
      <c r="K816" s="8"/>
    </row>
    <row r="817" spans="1:11" ht="15" x14ac:dyDescent="0.25">
      <c r="A817" s="3" t="str">
        <f>HYPERLINK("proteomic_fractions_linear_files/Yang_linear_img/91206400.jpg", "91206400")</f>
        <v>91206400</v>
      </c>
      <c r="C817" s="3" t="str">
        <f>HYPERLINK("http://www.ncbi.nlm.nih.gov/protein/91206400","Bcl9l")</f>
        <v>Bcl9l</v>
      </c>
      <c r="E817" t="str">
        <f>HYPERLINK("J:\Depot - mpkCCD Fractions\Main Web Page\Web Pages_old\proteomic_fractions_linear_files/Yang_linear_img/91206400.jpg","show blot")</f>
        <v>show blot</v>
      </c>
      <c r="G817" t="s">
        <v>812</v>
      </c>
      <c r="I817" s="6">
        <v>2.3231881512426766</v>
      </c>
      <c r="K817" s="8"/>
    </row>
    <row r="818" spans="1:11" ht="15" x14ac:dyDescent="0.25">
      <c r="A818" s="3" t="str">
        <f>HYPERLINK("proteomic_fractions_linear_files/Yang_linear_img/24496776.jpg", "24496776")</f>
        <v>24496776</v>
      </c>
      <c r="C818" s="3" t="str">
        <f>HYPERLINK("http://www.ncbi.nlm.nih.gov/protein/24496776","Bclaf1")</f>
        <v>Bclaf1</v>
      </c>
      <c r="E818" t="str">
        <f>HYPERLINK("J:\Depot - mpkCCD Fractions\Main Web Page\Web Pages_old\proteomic_fractions_linear_files/Yang_linear_img/24496776.jpg","show blot")</f>
        <v>show blot</v>
      </c>
      <c r="G818" t="s">
        <v>813</v>
      </c>
      <c r="I818" s="6">
        <v>4.1242582995972707</v>
      </c>
      <c r="K818" s="8"/>
    </row>
    <row r="819" spans="1:11" ht="15" x14ac:dyDescent="0.25">
      <c r="A819" s="3" t="str">
        <f>HYPERLINK("proteomic_fractions_linear_files/Yang_linear_img/70906447.jpg", "70906447")</f>
        <v>70906447</v>
      </c>
      <c r="C819" s="3" t="str">
        <f>HYPERLINK("http://www.ncbi.nlm.nih.gov/protein/70906447","Bclaf1")</f>
        <v>Bclaf1</v>
      </c>
      <c r="E819" t="str">
        <f>HYPERLINK("J:\Depot - mpkCCD Fractions\Main Web Page\Web Pages_old\proteomic_fractions_linear_files/Yang_linear_img/70906447.jpg","show blot")</f>
        <v>show blot</v>
      </c>
      <c r="G819" t="s">
        <v>814</v>
      </c>
      <c r="I819" s="6">
        <v>4.1242582995972707</v>
      </c>
      <c r="K819" s="8"/>
    </row>
    <row r="820" spans="1:11" ht="15" x14ac:dyDescent="0.25">
      <c r="A820" s="3" t="str">
        <f>HYPERLINK("proteomic_fractions_linear_files/Yang_linear_img/70906449.jpg", "70906449")</f>
        <v>70906449</v>
      </c>
      <c r="C820" s="3" t="str">
        <f>HYPERLINK("http://www.ncbi.nlm.nih.gov/protein/70906449","Bclaf1")</f>
        <v>Bclaf1</v>
      </c>
      <c r="E820" t="str">
        <f>HYPERLINK("J:\Depot - mpkCCD Fractions\Main Web Page\Web Pages_old\proteomic_fractions_linear_files/Yang_linear_img/70906449.jpg","show blot")</f>
        <v>show blot</v>
      </c>
      <c r="G820" t="s">
        <v>815</v>
      </c>
      <c r="I820" s="6">
        <v>4.1242582995972707</v>
      </c>
      <c r="K820" s="8"/>
    </row>
    <row r="821" spans="1:11" ht="15" x14ac:dyDescent="0.25">
      <c r="A821" s="3" t="str">
        <f>HYPERLINK("proteomic_fractions_linear_files/Yang_linear_img/124487229.jpg", "124487229")</f>
        <v>124487229</v>
      </c>
      <c r="C821" s="3" t="str">
        <f>HYPERLINK("http://www.ncbi.nlm.nih.gov/protein/124487229","Bcr")</f>
        <v>Bcr</v>
      </c>
      <c r="E821" t="str">
        <f>HYPERLINK("J:\Depot - mpkCCD Fractions\Main Web Page\Web Pages_old\proteomic_fractions_linear_files/Yang_linear_img/124487229.jpg","show blot")</f>
        <v>show blot</v>
      </c>
      <c r="G821" t="s">
        <v>816</v>
      </c>
      <c r="I821" s="6">
        <v>3.0961455260098174</v>
      </c>
      <c r="K821" s="8"/>
    </row>
    <row r="822" spans="1:11" ht="15" x14ac:dyDescent="0.25">
      <c r="A822" s="3" t="str">
        <f>HYPERLINK("proteomic_fractions_linear_files/Yang_linear_img/21313544.jpg", "21313544")</f>
        <v>21313544</v>
      </c>
      <c r="C822" s="3" t="str">
        <f>HYPERLINK("http://www.ncbi.nlm.nih.gov/protein/21313544","Bcs1l")</f>
        <v>Bcs1l</v>
      </c>
      <c r="E822" t="str">
        <f>HYPERLINK("J:\Depot - mpkCCD Fractions\Main Web Page\Web Pages_old\proteomic_fractions_linear_files/Yang_linear_img/21313544.jpg","show blot")</f>
        <v>show blot</v>
      </c>
      <c r="G822" t="s">
        <v>817</v>
      </c>
      <c r="I822" s="6">
        <v>3.3031814068805452</v>
      </c>
      <c r="K822" s="8"/>
    </row>
    <row r="823" spans="1:11" ht="15" x14ac:dyDescent="0.25">
      <c r="A823" s="3" t="str">
        <f>HYPERLINK("proteomic_fractions_linear_files/Yang_linear_img/170014720.jpg", "170014720")</f>
        <v>170014720</v>
      </c>
      <c r="C823" s="3" t="str">
        <f>HYPERLINK("http://www.ncbi.nlm.nih.gov/protein/170014720","Bdh1")</f>
        <v>Bdh1</v>
      </c>
      <c r="E823" t="str">
        <f>HYPERLINK("J:\Depot - mpkCCD Fractions\Main Web Page\Web Pages_old\proteomic_fractions_linear_files/Yang_linear_img/170014720.jpg","show blot")</f>
        <v>show blot</v>
      </c>
      <c r="G823" t="s">
        <v>818</v>
      </c>
      <c r="I823" s="6">
        <v>4.5434269024129783</v>
      </c>
      <c r="K823" s="8"/>
    </row>
    <row r="824" spans="1:11" ht="15" x14ac:dyDescent="0.25">
      <c r="A824" s="3" t="str">
        <f>HYPERLINK("proteomic_fractions_linear_files/Yang_linear_img/27764875.jpg", "27764875")</f>
        <v>27764875</v>
      </c>
      <c r="C824" s="3" t="str">
        <f>HYPERLINK("http://www.ncbi.nlm.nih.gov/protein/27764875","Becn1")</f>
        <v>Becn1</v>
      </c>
      <c r="E824" t="str">
        <f>HYPERLINK("J:\Depot - mpkCCD Fractions\Main Web Page\Web Pages_old\proteomic_fractions_linear_files/Yang_linear_img/27764875.jpg","show blot")</f>
        <v>show blot</v>
      </c>
      <c r="G824" t="s">
        <v>819</v>
      </c>
      <c r="I824" s="6">
        <v>3.6099785586169966</v>
      </c>
      <c r="K824" s="8"/>
    </row>
    <row r="825" spans="1:11" ht="15" x14ac:dyDescent="0.25">
      <c r="A825" s="3" t="str">
        <f>HYPERLINK("proteomic_fractions_linear_files/Yang_linear_img/6753182.jpg", "6753182")</f>
        <v>6753182</v>
      </c>
      <c r="C825" s="3" t="str">
        <f>HYPERLINK("http://www.ncbi.nlm.nih.gov/protein/6753182","Bet1")</f>
        <v>Bet1</v>
      </c>
      <c r="E825" t="str">
        <f>HYPERLINK("J:\Depot - mpkCCD Fractions\Main Web Page\Web Pages_old\proteomic_fractions_linear_files/Yang_linear_img/6753182.jpg","show blot")</f>
        <v>show blot</v>
      </c>
      <c r="G825" t="s">
        <v>820</v>
      </c>
      <c r="I825" s="6">
        <v>3.8674300014775476</v>
      </c>
      <c r="K825" s="8"/>
    </row>
    <row r="826" spans="1:11" ht="15" x14ac:dyDescent="0.25">
      <c r="A826" s="3" t="str">
        <f>HYPERLINK("proteomic_fractions_linear_files/Yang_linear_img/170287745.jpg", "170287745")</f>
        <v>170287745</v>
      </c>
      <c r="C826" s="3" t="str">
        <f>HYPERLINK("http://www.ncbi.nlm.nih.gov/protein/170287745","Bet1l")</f>
        <v>Bet1l</v>
      </c>
      <c r="E826" t="str">
        <f>HYPERLINK("J:\Depot - mpkCCD Fractions\Main Web Page\Web Pages_old\proteomic_fractions_linear_files/Yang_linear_img/170287745.jpg","show blot")</f>
        <v>show blot</v>
      </c>
      <c r="G826" t="s">
        <v>821</v>
      </c>
      <c r="I826" s="6">
        <v>4.0351179664487367</v>
      </c>
      <c r="K826" s="8"/>
    </row>
    <row r="827" spans="1:11" ht="15" x14ac:dyDescent="0.25">
      <c r="A827" s="3" t="str">
        <f>HYPERLINK("proteomic_fractions_linear_files/Yang_linear_img/13994223.jpg", "13994223")</f>
        <v>13994223</v>
      </c>
      <c r="C827" s="3" t="str">
        <f>HYPERLINK("http://www.ncbi.nlm.nih.gov/protein/13994223","Bicc1")</f>
        <v>Bicc1</v>
      </c>
      <c r="E827" t="str">
        <f>HYPERLINK("J:\Depot - mpkCCD Fractions\Main Web Page\Web Pages_old\proteomic_fractions_linear_files/Yang_linear_img/13994223.jpg","show blot")</f>
        <v>show blot</v>
      </c>
      <c r="G827" t="s">
        <v>822</v>
      </c>
      <c r="I827" s="6">
        <v>3.5893620587560804</v>
      </c>
      <c r="K827" s="8"/>
    </row>
    <row r="828" spans="1:11" ht="15" x14ac:dyDescent="0.25">
      <c r="A828" s="3" t="str">
        <f>HYPERLINK("proteomic_fractions_linear_files/Yang_linear_img/163838764.jpg", "163838764")</f>
        <v>163838764</v>
      </c>
      <c r="C828" s="3" t="str">
        <f>HYPERLINK("http://www.ncbi.nlm.nih.gov/protein/163838764","Bicd1")</f>
        <v>Bicd1</v>
      </c>
      <c r="E828" t="str">
        <f>HYPERLINK("J:\Depot - mpkCCD Fractions\Main Web Page\Web Pages_old\proteomic_fractions_linear_files/Yang_linear_img/163838764.jpg","show blot")</f>
        <v>show blot</v>
      </c>
      <c r="G828" t="s">
        <v>823</v>
      </c>
      <c r="I828" s="6">
        <v>2.9184063111068776</v>
      </c>
      <c r="K828" s="8"/>
    </row>
    <row r="829" spans="1:11" ht="15" x14ac:dyDescent="0.25">
      <c r="A829" s="3" t="str">
        <f>HYPERLINK("proteomic_fractions_linear_files/Yang_linear_img/163838766.jpg", "163838766")</f>
        <v>163838766</v>
      </c>
      <c r="C829" s="3" t="str">
        <f>HYPERLINK("http://www.ncbi.nlm.nih.gov/protein/163838766","Bicd1")</f>
        <v>Bicd1</v>
      </c>
      <c r="E829" t="str">
        <f>HYPERLINK("J:\Depot - mpkCCD Fractions\Main Web Page\Web Pages_old\proteomic_fractions_linear_files/Yang_linear_img/163838766.jpg","show blot")</f>
        <v>show blot</v>
      </c>
      <c r="G829" t="s">
        <v>824</v>
      </c>
      <c r="I829" s="6">
        <v>2.9184063111068776</v>
      </c>
      <c r="K829" s="8"/>
    </row>
    <row r="830" spans="1:11" ht="15" x14ac:dyDescent="0.25">
      <c r="A830" s="3" t="str">
        <f>HYPERLINK("proteomic_fractions_linear_files/Yang_linear_img/18139547.jpg", "18139547")</f>
        <v>18139547</v>
      </c>
      <c r="C830" s="3" t="str">
        <f>HYPERLINK("http://www.ncbi.nlm.nih.gov/protein/18139547","Bicd2")</f>
        <v>Bicd2</v>
      </c>
      <c r="E830" t="str">
        <f>HYPERLINK("J:\Depot - mpkCCD Fractions\Main Web Page\Web Pages_old\proteomic_fractions_linear_files/Yang_linear_img/18139547.jpg","show blot")</f>
        <v>show blot</v>
      </c>
      <c r="G830" t="s">
        <v>825</v>
      </c>
      <c r="I830" s="6">
        <v>4.2765046077780742</v>
      </c>
      <c r="K830" s="8"/>
    </row>
    <row r="831" spans="1:11" ht="15" x14ac:dyDescent="0.25">
      <c r="A831" s="3" t="str">
        <f>HYPERLINK("proteomic_fractions_linear_files/Yang_linear_img/85702355.jpg", "85702355")</f>
        <v>85702355</v>
      </c>
      <c r="C831" s="3" t="str">
        <f>HYPERLINK("http://www.ncbi.nlm.nih.gov/protein/85702355","Bicd2")</f>
        <v>Bicd2</v>
      </c>
      <c r="E831" t="str">
        <f>HYPERLINK("J:\Depot - mpkCCD Fractions\Main Web Page\Web Pages_old\proteomic_fractions_linear_files/Yang_linear_img/85702355.jpg","show blot")</f>
        <v>show blot</v>
      </c>
      <c r="G831" t="s">
        <v>826</v>
      </c>
      <c r="I831" s="6">
        <v>4.2765046077780742</v>
      </c>
      <c r="K831" s="8"/>
    </row>
    <row r="832" spans="1:11" ht="15" x14ac:dyDescent="0.25">
      <c r="A832" s="3" t="str">
        <f>HYPERLINK("proteomic_fractions_linear_files/Yang_linear_img/85702359.jpg", "85702359")</f>
        <v>85702359</v>
      </c>
      <c r="C832" s="3" t="str">
        <f>HYPERLINK("http://www.ncbi.nlm.nih.gov/protein/85702359","Bicd2")</f>
        <v>Bicd2</v>
      </c>
      <c r="E832" t="str">
        <f>HYPERLINK("J:\Depot - mpkCCD Fractions\Main Web Page\Web Pages_old\proteomic_fractions_linear_files/Yang_linear_img/85702359.jpg","show blot")</f>
        <v>show blot</v>
      </c>
      <c r="G832" t="s">
        <v>827</v>
      </c>
      <c r="I832" s="6">
        <v>4.2765046077780742</v>
      </c>
      <c r="K832" s="8"/>
    </row>
    <row r="833" spans="1:11" ht="15" x14ac:dyDescent="0.25">
      <c r="A833" s="3" t="str">
        <f>HYPERLINK("proteomic_fractions_linear_files/Yang_linear_img/31542228.jpg", "31542228")</f>
        <v>31542228</v>
      </c>
      <c r="C833" s="3" t="str">
        <f>HYPERLINK("http://www.ncbi.nlm.nih.gov/protein/31542228","Bid")</f>
        <v>Bid</v>
      </c>
      <c r="E833" t="str">
        <f>HYPERLINK("J:\Depot - mpkCCD Fractions\Main Web Page\Web Pages_old\proteomic_fractions_linear_files/Yang_linear_img/31542228.jpg","show blot")</f>
        <v>show blot</v>
      </c>
      <c r="G833" t="s">
        <v>828</v>
      </c>
      <c r="I833" s="6">
        <v>4.9005573296192857</v>
      </c>
      <c r="K833" s="8"/>
    </row>
    <row r="834" spans="1:11" ht="15" x14ac:dyDescent="0.25">
      <c r="A834" s="3" t="str">
        <f>HYPERLINK("proteomic_fractions_linear_files/Yang_linear_img/134053947.jpg", "134053947")</f>
        <v>134053947</v>
      </c>
      <c r="C834" s="3" t="str">
        <f>HYPERLINK("http://www.ncbi.nlm.nih.gov/protein/134053947","Bin1")</f>
        <v>Bin1</v>
      </c>
      <c r="E834" t="str">
        <f>HYPERLINK("J:\Depot - mpkCCD Fractions\Main Web Page\Web Pages_old\proteomic_fractions_linear_files/Yang_linear_img/134053947.jpg","show blot")</f>
        <v>show blot</v>
      </c>
      <c r="G834" t="s">
        <v>829</v>
      </c>
      <c r="I834" s="6">
        <v>4.2462928561257405</v>
      </c>
      <c r="K834" s="8"/>
    </row>
    <row r="835" spans="1:11" ht="15" x14ac:dyDescent="0.25">
      <c r="A835" s="3" t="str">
        <f>HYPERLINK("proteomic_fractions_linear_files/Yang_linear_img/6753050.jpg", "6753050")</f>
        <v>6753050</v>
      </c>
      <c r="C835" s="3" t="str">
        <f>HYPERLINK("http://www.ncbi.nlm.nih.gov/protein/6753050","Bin1")</f>
        <v>Bin1</v>
      </c>
      <c r="E835" t="str">
        <f>HYPERLINK("J:\Depot - mpkCCD Fractions\Main Web Page\Web Pages_old\proteomic_fractions_linear_files/Yang_linear_img/6753050.jpg","show blot")</f>
        <v>show blot</v>
      </c>
      <c r="G835" t="s">
        <v>830</v>
      </c>
      <c r="I835" s="6">
        <v>4.2462928561257405</v>
      </c>
      <c r="K835" s="8"/>
    </row>
    <row r="836" spans="1:11" ht="15" x14ac:dyDescent="0.25">
      <c r="A836" s="3" t="str">
        <f>HYPERLINK("proteomic_fractions_linear_files/Yang_linear_img/10946638.jpg", "10946638")</f>
        <v>10946638</v>
      </c>
      <c r="C836" s="3" t="str">
        <f>HYPERLINK("http://www.ncbi.nlm.nih.gov/protein/10946638","Bin3")</f>
        <v>Bin3</v>
      </c>
      <c r="E836" t="str">
        <f>HYPERLINK("J:\Depot - mpkCCD Fractions\Main Web Page\Web Pages_old\proteomic_fractions_linear_files/Yang_linear_img/10946638.jpg","show blot")</f>
        <v>show blot</v>
      </c>
      <c r="G836" t="s">
        <v>831</v>
      </c>
      <c r="I836" s="6">
        <v>4.0804400883781176</v>
      </c>
      <c r="K836" s="8"/>
    </row>
    <row r="837" spans="1:11" ht="15" x14ac:dyDescent="0.25">
      <c r="A837" s="3" t="str">
        <f>HYPERLINK("proteomic_fractions_linear_files/Yang_linear_img/409971427.jpg", "409971427")</f>
        <v>409971427</v>
      </c>
      <c r="C837" s="3" t="str">
        <f>HYPERLINK("http://www.ncbi.nlm.nih.gov/protein/409971427","Birc6")</f>
        <v>Birc6</v>
      </c>
      <c r="E837" t="str">
        <f>HYPERLINK("J:\Depot - mpkCCD Fractions\Main Web Page\Web Pages_old\proteomic_fractions_linear_files/Yang_linear_img/409971427.jpg","show blot")</f>
        <v>show blot</v>
      </c>
      <c r="G837" t="s">
        <v>832</v>
      </c>
      <c r="I837" s="6">
        <v>4.7396097027502693</v>
      </c>
      <c r="K837" s="8"/>
    </row>
    <row r="838" spans="1:11" ht="15" x14ac:dyDescent="0.25">
      <c r="A838" s="3" t="str">
        <f>HYPERLINK("proteomic_fractions_linear_files/Yang_linear_img/31982490.jpg", "31982490")</f>
        <v>31982490</v>
      </c>
      <c r="C838" s="3" t="str">
        <f>HYPERLINK("http://www.ncbi.nlm.nih.gov/protein/31982490","Blk")</f>
        <v>Blk</v>
      </c>
      <c r="E838" t="str">
        <f>HYPERLINK("J:\Depot - mpkCCD Fractions\Main Web Page\Web Pages_old\proteomic_fractions_linear_files/Yang_linear_img/31982490.jpg","show blot")</f>
        <v>show blot</v>
      </c>
      <c r="G838" t="s">
        <v>833</v>
      </c>
      <c r="I838" s="6">
        <v>5.2052392569784329</v>
      </c>
      <c r="K838" s="8"/>
    </row>
    <row r="839" spans="1:11" ht="15" x14ac:dyDescent="0.25">
      <c r="A839" s="3" t="str">
        <f>HYPERLINK("proteomic_fractions_linear_files/Yang_linear_img/30519997.jpg", "30519997")</f>
        <v>30519997</v>
      </c>
      <c r="C839" s="3" t="str">
        <f>HYPERLINK("http://www.ncbi.nlm.nih.gov/protein/30519997","Blmh")</f>
        <v>Blmh</v>
      </c>
      <c r="E839" t="str">
        <f>HYPERLINK("J:\Depot - mpkCCD Fractions\Main Web Page\Web Pages_old\proteomic_fractions_linear_files/Yang_linear_img/30519997.jpg","show blot")</f>
        <v>show blot</v>
      </c>
      <c r="G839" t="s">
        <v>834</v>
      </c>
      <c r="I839" s="6">
        <v>5.9854988302466374</v>
      </c>
      <c r="K839" s="8"/>
    </row>
    <row r="840" spans="1:11" ht="15" x14ac:dyDescent="0.25">
      <c r="A840" s="3" t="str">
        <f>HYPERLINK("proteomic_fractions_linear_files/Yang_linear_img/31982209.jpg", "31982209")</f>
        <v>31982209</v>
      </c>
      <c r="C840" s="3" t="str">
        <f>HYPERLINK("http://www.ncbi.nlm.nih.gov/protein/31982209","Blnk")</f>
        <v>Blnk</v>
      </c>
      <c r="E840" t="str">
        <f>HYPERLINK("J:\Depot - mpkCCD Fractions\Main Web Page\Web Pages_old\proteomic_fractions_linear_files/Yang_linear_img/31982209.jpg","show blot")</f>
        <v>show blot</v>
      </c>
      <c r="G840" t="s">
        <v>835</v>
      </c>
      <c r="I840" s="6">
        <v>2.1327241555134999</v>
      </c>
      <c r="K840" s="8"/>
    </row>
    <row r="841" spans="1:11" ht="15" x14ac:dyDescent="0.25">
      <c r="A841" s="3" t="str">
        <f>HYPERLINK("proteomic_fractions_linear_files/Yang_linear_img/31980697.jpg", "31980697")</f>
        <v>31980697</v>
      </c>
      <c r="C841" s="3" t="str">
        <f>HYPERLINK("http://www.ncbi.nlm.nih.gov/protein/31980697","Bloc1s1")</f>
        <v>Bloc1s1</v>
      </c>
      <c r="E841" t="str">
        <f>HYPERLINK("J:\Depot - mpkCCD Fractions\Main Web Page\Web Pages_old\proteomic_fractions_linear_files/Yang_linear_img/31980697.jpg","show blot")</f>
        <v>show blot</v>
      </c>
      <c r="G841" t="s">
        <v>836</v>
      </c>
      <c r="I841" s="6">
        <v>5.2150541268782167</v>
      </c>
      <c r="K841" s="8"/>
    </row>
    <row r="842" spans="1:11" ht="15" x14ac:dyDescent="0.25">
      <c r="A842" s="3" t="str">
        <f>HYPERLINK("proteomic_fractions_linear_files/Yang_linear_img/19526908.jpg", "19526908")</f>
        <v>19526908</v>
      </c>
      <c r="C842" s="3" t="str">
        <f>HYPERLINK("http://www.ncbi.nlm.nih.gov/protein/19526908","Bloc1s4")</f>
        <v>Bloc1s4</v>
      </c>
      <c r="E842" t="str">
        <f>HYPERLINK("J:\Depot - mpkCCD Fractions\Main Web Page\Web Pages_old\proteomic_fractions_linear_files/Yang_linear_img/19526908.jpg","show blot")</f>
        <v>show blot</v>
      </c>
      <c r="G842" t="s">
        <v>837</v>
      </c>
      <c r="I842" s="6">
        <v>2.7096459466005176</v>
      </c>
      <c r="K842" s="8"/>
    </row>
    <row r="843" spans="1:11" ht="15" x14ac:dyDescent="0.25">
      <c r="A843" s="3" t="str">
        <f>HYPERLINK("proteomic_fractions_linear_files/Yang_linear_img/20532342.jpg", "20532342")</f>
        <v>20532342</v>
      </c>
      <c r="C843" s="3" t="str">
        <f>HYPERLINK("http://www.ncbi.nlm.nih.gov/protein/20532342","Bloc1s5")</f>
        <v>Bloc1s5</v>
      </c>
      <c r="E843" t="str">
        <f>HYPERLINK("J:\Depot - mpkCCD Fractions\Main Web Page\Web Pages_old\proteomic_fractions_linear_files/Yang_linear_img/20532342.jpg","show blot")</f>
        <v>show blot</v>
      </c>
      <c r="G843" t="s">
        <v>838</v>
      </c>
      <c r="I843" s="6">
        <v>4.3033885747348419</v>
      </c>
      <c r="K843" s="8"/>
    </row>
    <row r="844" spans="1:11" ht="15" x14ac:dyDescent="0.25">
      <c r="A844" s="3" t="str">
        <f>HYPERLINK("proteomic_fractions_linear_files/Yang_linear_img/124487331.jpg", "124487331")</f>
        <v>124487331</v>
      </c>
      <c r="C844" s="3" t="str">
        <f>HYPERLINK("http://www.ncbi.nlm.nih.gov/protein/124487331","Blvra")</f>
        <v>Blvra</v>
      </c>
      <c r="E844" t="str">
        <f>HYPERLINK("J:\Depot - mpkCCD Fractions\Main Web Page\Web Pages_old\proteomic_fractions_linear_files/Yang_linear_img/124487331.jpg","show blot")</f>
        <v>show blot</v>
      </c>
      <c r="G844" t="s">
        <v>839</v>
      </c>
      <c r="I844" s="6">
        <v>6.0022156247070511</v>
      </c>
      <c r="K844" s="8"/>
    </row>
    <row r="845" spans="1:11" ht="15" x14ac:dyDescent="0.25">
      <c r="A845" s="3" t="str">
        <f>HYPERLINK("proteomic_fractions_linear_files/Yang_linear_img/21450325.jpg", "21450325")</f>
        <v>21450325</v>
      </c>
      <c r="C845" s="3" t="str">
        <f>HYPERLINK("http://www.ncbi.nlm.nih.gov/protein/21450325","Blvrb")</f>
        <v>Blvrb</v>
      </c>
      <c r="E845" t="str">
        <f>HYPERLINK("J:\Depot - mpkCCD Fractions\Main Web Page\Web Pages_old\proteomic_fractions_linear_files/Yang_linear_img/21450325.jpg","show blot")</f>
        <v>show blot</v>
      </c>
      <c r="G845" t="s">
        <v>840</v>
      </c>
      <c r="I845" s="6">
        <v>5.5709180560753895</v>
      </c>
      <c r="K845" s="8"/>
    </row>
    <row r="846" spans="1:11" ht="15" x14ac:dyDescent="0.25">
      <c r="A846" s="3" t="str">
        <f>HYPERLINK("proteomic_fractions_linear_files/Yang_linear_img/31982487.jpg", "31982487")</f>
        <v>31982487</v>
      </c>
      <c r="C846" s="3" t="str">
        <f>HYPERLINK("http://www.ncbi.nlm.nih.gov/protein/31982487","Bmp7")</f>
        <v>Bmp7</v>
      </c>
      <c r="E846" t="str">
        <f>HYPERLINK("J:\Depot - mpkCCD Fractions\Main Web Page\Web Pages_old\proteomic_fractions_linear_files/Yang_linear_img/31982487.jpg","show blot")</f>
        <v>show blot</v>
      </c>
      <c r="G846" t="s">
        <v>841</v>
      </c>
      <c r="I846" s="6">
        <v>4.357590656080971</v>
      </c>
      <c r="K846" s="8"/>
    </row>
    <row r="847" spans="1:11" ht="15" x14ac:dyDescent="0.25">
      <c r="A847" s="3" t="str">
        <f>HYPERLINK("proteomic_fractions_linear_files/Yang_linear_img/255003752.jpg", "255003752")</f>
        <v>255003752</v>
      </c>
      <c r="C847" s="3" t="str">
        <f>HYPERLINK("http://www.ncbi.nlm.nih.gov/protein/255003752","Bnip1")</f>
        <v>Bnip1</v>
      </c>
      <c r="E847" t="str">
        <f>HYPERLINK("J:\Depot - mpkCCD Fractions\Main Web Page\Web Pages_old\proteomic_fractions_linear_files/Yang_linear_img/255003752.jpg","show blot")</f>
        <v>show blot</v>
      </c>
      <c r="G847" t="s">
        <v>842</v>
      </c>
      <c r="I847" s="6">
        <v>3.7400605628374679</v>
      </c>
      <c r="K847" s="8"/>
    </row>
    <row r="848" spans="1:11" ht="15" x14ac:dyDescent="0.25">
      <c r="A848" s="3" t="str">
        <f>HYPERLINK("proteomic_fractions_linear_files/Yang_linear_img/67906187.jpg", "67906187")</f>
        <v>67906187</v>
      </c>
      <c r="C848" s="3" t="str">
        <f>HYPERLINK("http://www.ncbi.nlm.nih.gov/protein/67906187","Bod1")</f>
        <v>Bod1</v>
      </c>
      <c r="E848" t="str">
        <f>HYPERLINK("J:\Depot - mpkCCD Fractions\Main Web Page\Web Pages_old\proteomic_fractions_linear_files/Yang_linear_img/67906187.jpg","show blot")</f>
        <v>show blot</v>
      </c>
      <c r="G848" t="s">
        <v>843</v>
      </c>
      <c r="I848" s="6">
        <v>4.1983137497921721</v>
      </c>
      <c r="K848" s="8"/>
    </row>
    <row r="849" spans="1:11" ht="15" x14ac:dyDescent="0.25">
      <c r="A849" s="3" t="str">
        <f>HYPERLINK("proteomic_fractions_linear_files/Yang_linear_img/124487265.jpg", "124487265")</f>
        <v>124487265</v>
      </c>
      <c r="C849" s="3" t="str">
        <f>HYPERLINK("http://www.ncbi.nlm.nih.gov/protein/124487265","Bod1l")</f>
        <v>Bod1l</v>
      </c>
      <c r="E849" t="str">
        <f>HYPERLINK("J:\Depot - mpkCCD Fractions\Main Web Page\Web Pages_old\proteomic_fractions_linear_files/Yang_linear_img/124487265.jpg","show blot")</f>
        <v>show blot</v>
      </c>
      <c r="G849" t="s">
        <v>844</v>
      </c>
      <c r="I849" s="6">
        <v>3.397822701550989</v>
      </c>
      <c r="K849" s="8"/>
    </row>
    <row r="850" spans="1:11" ht="15" x14ac:dyDescent="0.25">
      <c r="A850" s="3" t="str">
        <f>HYPERLINK("proteomic_fractions_linear_files/Yang_linear_img/7949082.jpg", "7949082")</f>
        <v>7949082</v>
      </c>
      <c r="C850" s="3" t="str">
        <f>HYPERLINK("http://www.ncbi.nlm.nih.gov/protein/7949082","Bok")</f>
        <v>Bok</v>
      </c>
      <c r="E850" t="str">
        <f>HYPERLINK("J:\Depot - mpkCCD Fractions\Main Web Page\Web Pages_old\proteomic_fractions_linear_files/Yang_linear_img/7949082.jpg","show blot")</f>
        <v>show blot</v>
      </c>
      <c r="G850" t="s">
        <v>845</v>
      </c>
      <c r="I850" s="6">
        <v>3.9427558308704618</v>
      </c>
      <c r="K850" s="8"/>
    </row>
    <row r="851" spans="1:11" ht="15" x14ac:dyDescent="0.25">
      <c r="A851" s="3" t="str">
        <f>HYPERLINK("proteomic_fractions_linear_files/Yang_linear_img/58037151.jpg", "58037151")</f>
        <v>58037151</v>
      </c>
      <c r="C851" s="3" t="str">
        <f>HYPERLINK("http://www.ncbi.nlm.nih.gov/protein/58037151","Bola1")</f>
        <v>Bola1</v>
      </c>
      <c r="E851" t="str">
        <f>HYPERLINK("J:\Depot - mpkCCD Fractions\Main Web Page\Web Pages_old\proteomic_fractions_linear_files/Yang_linear_img/58037151.jpg","show blot")</f>
        <v>show blot</v>
      </c>
      <c r="G851" t="s">
        <v>846</v>
      </c>
      <c r="I851" s="6">
        <v>5.4434494017157835</v>
      </c>
      <c r="K851" s="8"/>
    </row>
    <row r="852" spans="1:11" ht="15" x14ac:dyDescent="0.25">
      <c r="A852" s="3" t="str">
        <f>HYPERLINK("proteomic_fractions_linear_files/Yang_linear_img/29171318.jpg", "29171318")</f>
        <v>29171318</v>
      </c>
      <c r="C852" s="3" t="str">
        <f>HYPERLINK("http://www.ncbi.nlm.nih.gov/protein/29171318","Bola2")</f>
        <v>Bola2</v>
      </c>
      <c r="E852" t="str">
        <f>HYPERLINK("J:\Depot - mpkCCD Fractions\Main Web Page\Web Pages_old\proteomic_fractions_linear_files/Yang_linear_img/29171318.jpg","show blot")</f>
        <v>show blot</v>
      </c>
      <c r="G852" t="s">
        <v>847</v>
      </c>
      <c r="I852" s="6">
        <v>4.7504452059145734</v>
      </c>
      <c r="K852" s="8"/>
    </row>
    <row r="853" spans="1:11" ht="15" x14ac:dyDescent="0.25">
      <c r="A853" s="3" t="str">
        <f>HYPERLINK("proteomic_fractions_linear_files/Yang_linear_img/7304931.jpg", "7304931")</f>
        <v>7304931</v>
      </c>
      <c r="C853" s="3" t="str">
        <f>HYPERLINK("http://www.ncbi.nlm.nih.gov/protein/7304931","Bop1")</f>
        <v>Bop1</v>
      </c>
      <c r="E853" t="str">
        <f>HYPERLINK("J:\Depot - mpkCCD Fractions\Main Web Page\Web Pages_old\proteomic_fractions_linear_files/Yang_linear_img/7304931.jpg","show blot")</f>
        <v>show blot</v>
      </c>
      <c r="G853" t="s">
        <v>848</v>
      </c>
      <c r="I853" s="6">
        <v>3.8413785904977917</v>
      </c>
      <c r="K853" s="8"/>
    </row>
    <row r="854" spans="1:11" ht="15" x14ac:dyDescent="0.25">
      <c r="A854" s="3" t="str">
        <f>HYPERLINK("proteomic_fractions_linear_files/Yang_linear_img/6680806.jpg", "6680806")</f>
        <v>6680806</v>
      </c>
      <c r="C854" s="3" t="str">
        <f>HYPERLINK("http://www.ncbi.nlm.nih.gov/protein/6680806","Bpgm")</f>
        <v>Bpgm</v>
      </c>
      <c r="E854" t="str">
        <f>HYPERLINK("J:\Depot - mpkCCD Fractions\Main Web Page\Web Pages_old\proteomic_fractions_linear_files/Yang_linear_img/6680806.jpg","show blot")</f>
        <v>show blot</v>
      </c>
      <c r="G854" t="s">
        <v>849</v>
      </c>
      <c r="I854" s="6">
        <v>4.935239838573497</v>
      </c>
      <c r="K854" s="8"/>
    </row>
    <row r="855" spans="1:11" ht="15" x14ac:dyDescent="0.25">
      <c r="A855" s="3" t="str">
        <f>HYPERLINK("proteomic_fractions_linear_files/Yang_linear_img/21624609.jpg", "21624609")</f>
        <v>21624609</v>
      </c>
      <c r="C855" s="3" t="str">
        <f>HYPERLINK("http://www.ncbi.nlm.nih.gov/protein/21624609","Bphl")</f>
        <v>Bphl</v>
      </c>
      <c r="E855" t="str">
        <f>HYPERLINK("J:\Depot - mpkCCD Fractions\Main Web Page\Web Pages_old\proteomic_fractions_linear_files/Yang_linear_img/21624609.jpg","show blot")</f>
        <v>show blot</v>
      </c>
      <c r="G855" t="s">
        <v>850</v>
      </c>
      <c r="I855" s="6">
        <v>5.509239768375827</v>
      </c>
      <c r="K855" s="8"/>
    </row>
    <row r="856" spans="1:11" ht="15" x14ac:dyDescent="0.25">
      <c r="A856" s="3" t="str">
        <f>HYPERLINK("proteomic_fractions_linear_files/Yang_linear_img/39652626.jpg", "39652626")</f>
        <v>39652626</v>
      </c>
      <c r="C856" s="3" t="str">
        <f>HYPERLINK("http://www.ncbi.nlm.nih.gov/protein/39652626","Bpnt1")</f>
        <v>Bpnt1</v>
      </c>
      <c r="E856" t="str">
        <f>HYPERLINK("J:\Depot - mpkCCD Fractions\Main Web Page\Web Pages_old\proteomic_fractions_linear_files/Yang_linear_img/39652626.jpg","show blot")</f>
        <v>show blot</v>
      </c>
      <c r="G856" t="s">
        <v>851</v>
      </c>
      <c r="I856" s="6">
        <v>6.273779289297674</v>
      </c>
      <c r="K856" s="8"/>
    </row>
    <row r="857" spans="1:11" ht="15" x14ac:dyDescent="0.25">
      <c r="A857" s="3" t="str">
        <f>HYPERLINK("proteomic_fractions_linear_files/Yang_linear_img/153791904.jpg", "153791904")</f>
        <v>153791904</v>
      </c>
      <c r="C857" s="3" t="str">
        <f>HYPERLINK("http://www.ncbi.nlm.nih.gov/protein/153791904","Braf")</f>
        <v>Braf</v>
      </c>
      <c r="E857" t="str">
        <f>HYPERLINK("J:\Depot - mpkCCD Fractions\Main Web Page\Web Pages_old\proteomic_fractions_linear_files/Yang_linear_img/153791904.jpg","show blot")</f>
        <v>show blot</v>
      </c>
      <c r="G857" t="s">
        <v>852</v>
      </c>
      <c r="I857" s="6">
        <v>3.7724300735053893</v>
      </c>
      <c r="K857" s="8"/>
    </row>
    <row r="858" spans="1:11" ht="15" x14ac:dyDescent="0.25">
      <c r="A858" s="3" t="str">
        <f>HYPERLINK("proteomic_fractions_linear_files/Yang_linear_img/70608139.jpg", "70608139")</f>
        <v>70608139</v>
      </c>
      <c r="C858" s="3" t="str">
        <f>HYPERLINK("http://www.ncbi.nlm.nih.gov/protein/70608139","Brap")</f>
        <v>Brap</v>
      </c>
      <c r="E858" t="str">
        <f>HYPERLINK("J:\Depot - mpkCCD Fractions\Main Web Page\Web Pages_old\proteomic_fractions_linear_files/Yang_linear_img/70608139.jpg","show blot")</f>
        <v>show blot</v>
      </c>
      <c r="G858" t="s">
        <v>853</v>
      </c>
      <c r="I858" s="6">
        <v>3.6611711984900008</v>
      </c>
      <c r="K858" s="8"/>
    </row>
    <row r="859" spans="1:11" ht="15" x14ac:dyDescent="0.25">
      <c r="A859" s="3" t="str">
        <f>HYPERLINK("proteomic_fractions_linear_files/Yang_linear_img/30841004.jpg", "30841004")</f>
        <v>30841004</v>
      </c>
      <c r="C859" s="3" t="str">
        <f>HYPERLINK("http://www.ncbi.nlm.nih.gov/protein/30841004","Brat1")</f>
        <v>Brat1</v>
      </c>
      <c r="E859" t="str">
        <f>HYPERLINK("J:\Depot - mpkCCD Fractions\Main Web Page\Web Pages_old\proteomic_fractions_linear_files/Yang_linear_img/30841004.jpg","show blot")</f>
        <v>show blot</v>
      </c>
      <c r="G859" t="s">
        <v>854</v>
      </c>
      <c r="I859" s="6">
        <v>3.1342182323902095</v>
      </c>
      <c r="K859" s="8"/>
    </row>
    <row r="860" spans="1:11" ht="15" x14ac:dyDescent="0.25">
      <c r="A860" s="3" t="str">
        <f>HYPERLINK("proteomic_fractions_linear_files/Yang_linear_img/443609479.jpg", "443609479")</f>
        <v>443609479</v>
      </c>
      <c r="C860" s="3" t="str">
        <f>HYPERLINK("http://www.ncbi.nlm.nih.gov/protein/443609479","Brat1")</f>
        <v>Brat1</v>
      </c>
      <c r="E860" t="str">
        <f>HYPERLINK("J:\Depot - mpkCCD Fractions\Main Web Page\Web Pages_old\proteomic_fractions_linear_files/Yang_linear_img/443609479.jpg","show blot")</f>
        <v>show blot</v>
      </c>
      <c r="G860" t="s">
        <v>855</v>
      </c>
      <c r="I860" s="6">
        <v>3.1342182323902095</v>
      </c>
      <c r="K860" s="8"/>
    </row>
    <row r="861" spans="1:11" ht="15" x14ac:dyDescent="0.25">
      <c r="A861" s="3" t="str">
        <f>HYPERLINK("proteomic_fractions_linear_files/Yang_linear_img/262050563.jpg", "262050563")</f>
        <v>262050563</v>
      </c>
      <c r="C861" s="3" t="str">
        <f>HYPERLINK("http://www.ncbi.nlm.nih.gov/protein/262050563","Brcc3")</f>
        <v>Brcc3</v>
      </c>
      <c r="E861" t="str">
        <f>HYPERLINK("J:\Depot - mpkCCD Fractions\Main Web Page\Web Pages_old\proteomic_fractions_linear_files/Yang_linear_img/262050563.jpg","show blot")</f>
        <v>show blot</v>
      </c>
      <c r="G861" t="s">
        <v>856</v>
      </c>
      <c r="I861" s="6">
        <v>5.3365265931097845</v>
      </c>
      <c r="K861" s="8"/>
    </row>
    <row r="862" spans="1:11" ht="15" x14ac:dyDescent="0.25">
      <c r="A862" s="3" t="str">
        <f>HYPERLINK("proteomic_fractions_linear_files/Yang_linear_img/71067345.jpg", "71067345")</f>
        <v>71067345</v>
      </c>
      <c r="C862" s="3" t="str">
        <f>HYPERLINK("http://www.ncbi.nlm.nih.gov/protein/71067345","Brd2")</f>
        <v>Brd2</v>
      </c>
      <c r="E862" t="str">
        <f>HYPERLINK("J:\Depot - mpkCCD Fractions\Main Web Page\Web Pages_old\proteomic_fractions_linear_files/Yang_linear_img/71067345.jpg","show blot")</f>
        <v>show blot</v>
      </c>
      <c r="G862" t="s">
        <v>857</v>
      </c>
      <c r="I862" s="6">
        <v>2.5396322605629629</v>
      </c>
      <c r="K862" s="8"/>
    </row>
    <row r="863" spans="1:11" ht="15" x14ac:dyDescent="0.25">
      <c r="A863" s="3" t="str">
        <f>HYPERLINK("proteomic_fractions_linear_files/Yang_linear_img/165972331.jpg", "165972331")</f>
        <v>165972331</v>
      </c>
      <c r="C863" s="3" t="str">
        <f>HYPERLINK("http://www.ncbi.nlm.nih.gov/protein/165972331","Brd3")</f>
        <v>Brd3</v>
      </c>
      <c r="E863" t="str">
        <f>HYPERLINK("J:\Depot - mpkCCD Fractions\Main Web Page\Web Pages_old\proteomic_fractions_linear_files/Yang_linear_img/165972331.jpg","show blot")</f>
        <v>show blot</v>
      </c>
      <c r="G863" t="s">
        <v>858</v>
      </c>
      <c r="I863" s="6">
        <v>3.3779834071858956</v>
      </c>
      <c r="K863" s="8"/>
    </row>
    <row r="864" spans="1:11" ht="15" x14ac:dyDescent="0.25">
      <c r="A864" s="3" t="str">
        <f>HYPERLINK("proteomic_fractions_linear_files/Yang_linear_img/165972335.jpg", "165972335")</f>
        <v>165972335</v>
      </c>
      <c r="C864" s="3" t="str">
        <f>HYPERLINK("http://www.ncbi.nlm.nih.gov/protein/165972335","Brd3")</f>
        <v>Brd3</v>
      </c>
      <c r="E864" t="str">
        <f>HYPERLINK("J:\Depot - mpkCCD Fractions\Main Web Page\Web Pages_old\proteomic_fractions_linear_files/Yang_linear_img/165972335.jpg","show blot")</f>
        <v>show blot</v>
      </c>
      <c r="G864" t="s">
        <v>859</v>
      </c>
      <c r="I864" s="6">
        <v>3.3779834071858956</v>
      </c>
      <c r="K864" s="8"/>
    </row>
    <row r="865" spans="1:11" ht="15" x14ac:dyDescent="0.25">
      <c r="A865" s="3" t="str">
        <f>HYPERLINK("proteomic_fractions_linear_files/Yang_linear_img/226246640.jpg", "226246640")</f>
        <v>226246640</v>
      </c>
      <c r="C865" s="3" t="str">
        <f>HYPERLINK("http://www.ncbi.nlm.nih.gov/protein/226246640","Brd4")</f>
        <v>Brd4</v>
      </c>
      <c r="E865" t="str">
        <f>HYPERLINK("J:\Depot - mpkCCD Fractions\Main Web Page\Web Pages_old\proteomic_fractions_linear_files/Yang_linear_img/226246640.jpg","show blot")</f>
        <v>show blot</v>
      </c>
      <c r="G865" t="s">
        <v>860</v>
      </c>
      <c r="I865" s="6">
        <v>2.9380054672040425</v>
      </c>
      <c r="K865" s="8"/>
    </row>
    <row r="866" spans="1:11" ht="15" x14ac:dyDescent="0.25">
      <c r="A866" s="3" t="str">
        <f>HYPERLINK("proteomic_fractions_linear_files/Yang_linear_img/226342873.jpg", "226342873")</f>
        <v>226342873</v>
      </c>
      <c r="C866" s="3" t="str">
        <f>HYPERLINK("http://www.ncbi.nlm.nih.gov/protein/226342873","Brd4")</f>
        <v>Brd4</v>
      </c>
      <c r="E866" t="str">
        <f>HYPERLINK("J:\Depot - mpkCCD Fractions\Main Web Page\Web Pages_old\proteomic_fractions_linear_files/Yang_linear_img/226342873.jpg","show blot")</f>
        <v>show blot</v>
      </c>
      <c r="G866" t="s">
        <v>861</v>
      </c>
      <c r="I866" s="6">
        <v>2.9380054672040425</v>
      </c>
      <c r="K866" s="8"/>
    </row>
    <row r="867" spans="1:11" ht="15" x14ac:dyDescent="0.25">
      <c r="A867" s="3" t="str">
        <f>HYPERLINK("proteomic_fractions_linear_files/Yang_linear_img/21617851.jpg", "21617851")</f>
        <v>21617851</v>
      </c>
      <c r="C867" s="3" t="str">
        <f>HYPERLINK("http://www.ncbi.nlm.nih.gov/protein/21617851","Bre")</f>
        <v>Bre</v>
      </c>
      <c r="E867" t="str">
        <f>HYPERLINK("J:\Depot - mpkCCD Fractions\Main Web Page\Web Pages_old\proteomic_fractions_linear_files/Yang_linear_img/21617851.jpg","show blot")</f>
        <v>show blot</v>
      </c>
      <c r="G867" t="s">
        <v>862</v>
      </c>
      <c r="I867" s="6">
        <v>5.268324690499524</v>
      </c>
      <c r="K867" s="8"/>
    </row>
    <row r="868" spans="1:11" ht="15" x14ac:dyDescent="0.25">
      <c r="A868" s="3" t="str">
        <f>HYPERLINK("proteomic_fractions_linear_files/Yang_linear_img/41281924.jpg", "41281924")</f>
        <v>41281924</v>
      </c>
      <c r="C868" s="3" t="str">
        <f>HYPERLINK("http://www.ncbi.nlm.nih.gov/protein/41281924","Bre")</f>
        <v>Bre</v>
      </c>
      <c r="E868" t="str">
        <f>HYPERLINK("J:\Depot - mpkCCD Fractions\Main Web Page\Web Pages_old\proteomic_fractions_linear_files/Yang_linear_img/41281924.jpg","show blot")</f>
        <v>show blot</v>
      </c>
      <c r="G868" t="s">
        <v>863</v>
      </c>
      <c r="I868" s="6">
        <v>5.268324690499524</v>
      </c>
      <c r="K868" s="8"/>
    </row>
    <row r="869" spans="1:11" ht="15" x14ac:dyDescent="0.25">
      <c r="A869" s="3" t="str">
        <f>HYPERLINK("proteomic_fractions_linear_files/Yang_linear_img/41281930.jpg", "41281930")</f>
        <v>41281930</v>
      </c>
      <c r="C869" s="3" t="str">
        <f>HYPERLINK("http://www.ncbi.nlm.nih.gov/protein/41281930","Bre")</f>
        <v>Bre</v>
      </c>
      <c r="E869" t="str">
        <f>HYPERLINK("J:\Depot - mpkCCD Fractions\Main Web Page\Web Pages_old\proteomic_fractions_linear_files/Yang_linear_img/41281930.jpg","show blot")</f>
        <v>show blot</v>
      </c>
      <c r="G869" t="s">
        <v>864</v>
      </c>
      <c r="I869" s="6">
        <v>5.268324690499524</v>
      </c>
      <c r="K869" s="8"/>
    </row>
    <row r="870" spans="1:11" ht="15" x14ac:dyDescent="0.25">
      <c r="A870" s="3" t="str">
        <f>HYPERLINK("proteomic_fractions_linear_files/Yang_linear_img/41281940.jpg", "41281940")</f>
        <v>41281940</v>
      </c>
      <c r="C870" s="3" t="str">
        <f>HYPERLINK("http://www.ncbi.nlm.nih.gov/protein/41281940","Bre")</f>
        <v>Bre</v>
      </c>
      <c r="E870" t="str">
        <f>HYPERLINK("J:\Depot - mpkCCD Fractions\Main Web Page\Web Pages_old\proteomic_fractions_linear_files/Yang_linear_img/41281940.jpg","show blot")</f>
        <v>show blot</v>
      </c>
      <c r="G870" t="s">
        <v>865</v>
      </c>
      <c r="I870" s="6">
        <v>5.268324690499524</v>
      </c>
      <c r="K870" s="8"/>
    </row>
    <row r="871" spans="1:11" ht="15" x14ac:dyDescent="0.25">
      <c r="A871" s="3" t="str">
        <f>HYPERLINK("proteomic_fractions_linear_files/Yang_linear_img/41281945.jpg", "41281945")</f>
        <v>41281945</v>
      </c>
      <c r="C871" s="3" t="str">
        <f>HYPERLINK("http://www.ncbi.nlm.nih.gov/protein/41281945","Bre")</f>
        <v>Bre</v>
      </c>
      <c r="E871" t="str">
        <f>HYPERLINK("J:\Depot - mpkCCD Fractions\Main Web Page\Web Pages_old\proteomic_fractions_linear_files/Yang_linear_img/41281945.jpg","show blot")</f>
        <v>show blot</v>
      </c>
      <c r="G871" t="s">
        <v>866</v>
      </c>
      <c r="I871" s="6">
        <v>5.268324690499524</v>
      </c>
      <c r="K871" s="8"/>
    </row>
    <row r="872" spans="1:11" ht="15" x14ac:dyDescent="0.25">
      <c r="A872" s="3" t="str">
        <f>HYPERLINK("proteomic_fractions_linear_files/Yang_linear_img/255683449.jpg", "255683449")</f>
        <v>255683449</v>
      </c>
      <c r="C872" s="3" t="str">
        <f>HYPERLINK("http://www.ncbi.nlm.nih.gov/protein/255683449","Bri3")</f>
        <v>Bri3</v>
      </c>
      <c r="E872" t="str">
        <f>HYPERLINK("J:\Depot - mpkCCD Fractions\Main Web Page\Web Pages_old\proteomic_fractions_linear_files/Yang_linear_img/255683449.jpg","show blot")</f>
        <v>show blot</v>
      </c>
      <c r="G872" t="s">
        <v>867</v>
      </c>
      <c r="I872" s="6">
        <v>3.7576887718704466</v>
      </c>
      <c r="K872" s="8"/>
    </row>
    <row r="873" spans="1:11" ht="15" x14ac:dyDescent="0.25">
      <c r="A873" s="3" t="str">
        <f>HYPERLINK("proteomic_fractions_linear_files/Yang_linear_img/255683451.jpg", "255683451")</f>
        <v>255683451</v>
      </c>
      <c r="C873" s="3" t="str">
        <f>HYPERLINK("http://www.ncbi.nlm.nih.gov/protein/255683451","Bri3")</f>
        <v>Bri3</v>
      </c>
      <c r="E873" t="str">
        <f>HYPERLINK("J:\Depot - mpkCCD Fractions\Main Web Page\Web Pages_old\proteomic_fractions_linear_files/Yang_linear_img/255683451.jpg","show blot")</f>
        <v>show blot</v>
      </c>
      <c r="G873" t="s">
        <v>868</v>
      </c>
      <c r="I873" s="6">
        <v>3.7576887718704466</v>
      </c>
      <c r="K873" s="8"/>
    </row>
    <row r="874" spans="1:11" ht="15" x14ac:dyDescent="0.25">
      <c r="A874" s="3" t="str">
        <f>HYPERLINK("proteomic_fractions_linear_files/Yang_linear_img/58037467.jpg", "58037467")</f>
        <v>58037467</v>
      </c>
      <c r="C874" s="3" t="str">
        <f>HYPERLINK("http://www.ncbi.nlm.nih.gov/protein/58037467","Bri3bp")</f>
        <v>Bri3bp</v>
      </c>
      <c r="E874" t="str">
        <f>HYPERLINK("J:\Depot - mpkCCD Fractions\Main Web Page\Web Pages_old\proteomic_fractions_linear_files/Yang_linear_img/58037467.jpg","show blot")</f>
        <v>show blot</v>
      </c>
      <c r="G874" t="s">
        <v>869</v>
      </c>
      <c r="I874" s="6">
        <v>5.3023288399803858</v>
      </c>
      <c r="K874" s="8"/>
    </row>
    <row r="875" spans="1:11" ht="15" x14ac:dyDescent="0.25">
      <c r="A875" s="3" t="str">
        <f>HYPERLINK("proteomic_fractions_linear_files/Yang_linear_img/141802630.jpg", "141802630")</f>
        <v>141802630</v>
      </c>
      <c r="C875" s="3" t="str">
        <f>HYPERLINK("http://www.ncbi.nlm.nih.gov/protein/141802630","Brix1")</f>
        <v>Brix1</v>
      </c>
      <c r="E875" t="str">
        <f>HYPERLINK("J:\Depot - mpkCCD Fractions\Main Web Page\Web Pages_old\proteomic_fractions_linear_files/Yang_linear_img/141802630.jpg","show blot")</f>
        <v>show blot</v>
      </c>
      <c r="G875" t="s">
        <v>870</v>
      </c>
      <c r="I875" s="6">
        <v>4.4791879458001889</v>
      </c>
      <c r="K875" s="8"/>
    </row>
    <row r="876" spans="1:11" ht="15" x14ac:dyDescent="0.25">
      <c r="A876" s="3" t="str">
        <f>HYPERLINK("proteomic_fractions_linear_files/Yang_linear_img/19527154.jpg", "19527154")</f>
        <v>19527154</v>
      </c>
      <c r="C876" s="3" t="str">
        <f>HYPERLINK("http://www.ncbi.nlm.nih.gov/protein/19527154","Brk1")</f>
        <v>Brk1</v>
      </c>
      <c r="E876" t="str">
        <f>HYPERLINK("J:\Depot - mpkCCD Fractions\Main Web Page\Web Pages_old\proteomic_fractions_linear_files/Yang_linear_img/19527154.jpg","show blot")</f>
        <v>show blot</v>
      </c>
      <c r="G876" t="s">
        <v>871</v>
      </c>
      <c r="I876" s="6">
        <v>4.9197392343981567</v>
      </c>
      <c r="K876" s="8"/>
    </row>
    <row r="877" spans="1:11" ht="15" x14ac:dyDescent="0.25">
      <c r="A877" s="3" t="str">
        <f>HYPERLINK("proteomic_fractions_linear_files/Yang_linear_img/58037255.jpg", "58037255")</f>
        <v>58037255</v>
      </c>
      <c r="C877" s="3" t="str">
        <f>HYPERLINK("http://www.ncbi.nlm.nih.gov/protein/58037255","Brox")</f>
        <v>Brox</v>
      </c>
      <c r="E877" t="str">
        <f>HYPERLINK("J:\Depot - mpkCCD Fractions\Main Web Page\Web Pages_old\proteomic_fractions_linear_files/Yang_linear_img/58037255.jpg","show blot")</f>
        <v>show blot</v>
      </c>
      <c r="G877" t="s">
        <v>872</v>
      </c>
      <c r="I877" s="6">
        <v>4.7134854300120947</v>
      </c>
      <c r="K877" s="8"/>
    </row>
    <row r="878" spans="1:11" ht="15" x14ac:dyDescent="0.25">
      <c r="A878" s="3" t="str">
        <f>HYPERLINK("proteomic_fractions_linear_files/Yang_linear_img/31542236.jpg", "31542236")</f>
        <v>31542236</v>
      </c>
      <c r="C878" s="3" t="str">
        <f>HYPERLINK("http://www.ncbi.nlm.nih.gov/protein/31542236","Brs3")</f>
        <v>Brs3</v>
      </c>
      <c r="E878" t="str">
        <f>HYPERLINK("J:\Depot - mpkCCD Fractions\Main Web Page\Web Pages_old\proteomic_fractions_linear_files/Yang_linear_img/31542236.jpg","show blot")</f>
        <v>show blot</v>
      </c>
      <c r="G878" t="s">
        <v>873</v>
      </c>
      <c r="I878" s="6">
        <v>4.4449544454307031</v>
      </c>
      <c r="K878" s="8"/>
    </row>
    <row r="879" spans="1:11" ht="15" x14ac:dyDescent="0.25">
      <c r="A879" s="3" t="str">
        <f>HYPERLINK("proteomic_fractions_linear_files/Yang_linear_img/31981603.jpg", "31981603")</f>
        <v>31981603</v>
      </c>
      <c r="C879" s="3" t="str">
        <f>HYPERLINK("http://www.ncbi.nlm.nih.gov/protein/31981603","Bsdc1")</f>
        <v>Bsdc1</v>
      </c>
      <c r="E879" t="str">
        <f>HYPERLINK("J:\Depot - mpkCCD Fractions\Main Web Page\Web Pages_old\proteomic_fractions_linear_files/Yang_linear_img/31981603.jpg","show blot")</f>
        <v>show blot</v>
      </c>
      <c r="G879" t="s">
        <v>874</v>
      </c>
      <c r="I879" s="6">
        <v>1.2835898923777884</v>
      </c>
      <c r="K879" s="8"/>
    </row>
    <row r="880" spans="1:11" ht="15" x14ac:dyDescent="0.25">
      <c r="A880" s="3" t="str">
        <f>HYPERLINK("proteomic_fractions_linear_files/Yang_linear_img/116014342.jpg", "116014342")</f>
        <v>116014342</v>
      </c>
      <c r="C880" s="3" t="str">
        <f>HYPERLINK("http://www.ncbi.nlm.nih.gov/protein/116014342","Bsg")</f>
        <v>Bsg</v>
      </c>
      <c r="E880" t="str">
        <f>HYPERLINK("J:\Depot - mpkCCD Fractions\Main Web Page\Web Pages_old\proteomic_fractions_linear_files/Yang_linear_img/116014342.jpg","show blot")</f>
        <v>show blot</v>
      </c>
      <c r="G880" t="s">
        <v>875</v>
      </c>
      <c r="I880" s="6">
        <v>6.1344131794856471</v>
      </c>
      <c r="K880" s="8"/>
    </row>
    <row r="881" spans="1:11" ht="15" x14ac:dyDescent="0.25">
      <c r="A881" s="3" t="str">
        <f>HYPERLINK("proteomic_fractions_linear_files/Yang_linear_img/34915988.jpg", "34915988")</f>
        <v>34915988</v>
      </c>
      <c r="C881" s="3" t="str">
        <f>HYPERLINK("http://www.ncbi.nlm.nih.gov/protein/34915988","Bsg")</f>
        <v>Bsg</v>
      </c>
      <c r="E881" t="str">
        <f>HYPERLINK("J:\Depot - mpkCCD Fractions\Main Web Page\Web Pages_old\proteomic_fractions_linear_files/Yang_linear_img/34915988.jpg","show blot")</f>
        <v>show blot</v>
      </c>
      <c r="G881" t="s">
        <v>876</v>
      </c>
      <c r="I881" s="6">
        <v>6.1344131794856471</v>
      </c>
      <c r="K881" s="8"/>
    </row>
    <row r="882" spans="1:11" ht="15" x14ac:dyDescent="0.25">
      <c r="A882" s="3" t="str">
        <f>HYPERLINK("proteomic_fractions_linear_files/Yang_linear_img/91598894.jpg", "91598894")</f>
        <v>91598894</v>
      </c>
      <c r="C882" s="3" t="str">
        <f>HYPERLINK("http://www.ncbi.nlm.nih.gov/protein/91598894","Bsnd")</f>
        <v>Bsnd</v>
      </c>
      <c r="E882" t="str">
        <f>HYPERLINK("J:\Depot - mpkCCD Fractions\Main Web Page\Web Pages_old\proteomic_fractions_linear_files/Yang_linear_img/91598894.jpg","show blot")</f>
        <v>show blot</v>
      </c>
      <c r="G882" t="s">
        <v>877</v>
      </c>
      <c r="I882" s="6">
        <v>2.5598714352713237</v>
      </c>
      <c r="K882" s="8"/>
    </row>
    <row r="883" spans="1:11" ht="15" x14ac:dyDescent="0.25">
      <c r="A883" s="3" t="str">
        <f>HYPERLINK("proteomic_fractions_linear_files/Yang_linear_img/20149730.jpg", "20149730")</f>
        <v>20149730</v>
      </c>
      <c r="C883" s="3" t="str">
        <f>HYPERLINK("http://www.ncbi.nlm.nih.gov/protein/20149730","Bspry")</f>
        <v>Bspry</v>
      </c>
      <c r="E883" t="str">
        <f>HYPERLINK("J:\Depot - mpkCCD Fractions\Main Web Page\Web Pages_old\proteomic_fractions_linear_files/Yang_linear_img/20149730.jpg","show blot")</f>
        <v>show blot</v>
      </c>
      <c r="G883" t="s">
        <v>878</v>
      </c>
      <c r="I883" s="6">
        <v>4.0773975167916072</v>
      </c>
      <c r="K883" s="8"/>
    </row>
    <row r="884" spans="1:11" ht="15" x14ac:dyDescent="0.25">
      <c r="A884" s="3" t="str">
        <f>HYPERLINK("proteomic_fractions_linear_files/Yang_linear_img/134288869.jpg", "134288869")</f>
        <v>134288869</v>
      </c>
      <c r="C884" s="3" t="str">
        <f>HYPERLINK("http://www.ncbi.nlm.nih.gov/protein/134288869","Bst1")</f>
        <v>Bst1</v>
      </c>
      <c r="E884" t="str">
        <f>HYPERLINK("J:\Depot - mpkCCD Fractions\Main Web Page\Web Pages_old\proteomic_fractions_linear_files/Yang_linear_img/134288869.jpg","show blot")</f>
        <v>show blot</v>
      </c>
      <c r="G884" t="s">
        <v>879</v>
      </c>
      <c r="I884" s="6">
        <v>2.3024752365381622</v>
      </c>
      <c r="K884" s="8"/>
    </row>
    <row r="885" spans="1:11" ht="15" x14ac:dyDescent="0.25">
      <c r="A885" s="3" t="str">
        <f>HYPERLINK("proteomic_fractions_linear_files/Yang_linear_img/37674242.jpg", "37674242")</f>
        <v>37674242</v>
      </c>
      <c r="C885" s="3" t="str">
        <f>HYPERLINK("http://www.ncbi.nlm.nih.gov/protein/37674242","Bst2")</f>
        <v>Bst2</v>
      </c>
      <c r="E885" t="str">
        <f>HYPERLINK("J:\Depot - mpkCCD Fractions\Main Web Page\Web Pages_old\proteomic_fractions_linear_files/Yang_linear_img/37674242.jpg","show blot")</f>
        <v>show blot</v>
      </c>
      <c r="G885" t="s">
        <v>880</v>
      </c>
      <c r="I885" s="6">
        <v>3.8224503134533845</v>
      </c>
      <c r="K885" s="8"/>
    </row>
    <row r="886" spans="1:11" ht="15" x14ac:dyDescent="0.25">
      <c r="A886" s="3" t="str">
        <f>HYPERLINK("proteomic_fractions_linear_files/Yang_linear_img/123858774.jpg", "123858774")</f>
        <v>123858774</v>
      </c>
      <c r="C886" s="3" t="str">
        <f>HYPERLINK("http://www.ncbi.nlm.nih.gov/protein/123858774","Btaf1")</f>
        <v>Btaf1</v>
      </c>
      <c r="E886" t="str">
        <f>HYPERLINK("J:\Depot - mpkCCD Fractions\Main Web Page\Web Pages_old\proteomic_fractions_linear_files/Yang_linear_img/123858774.jpg","show blot")</f>
        <v>show blot</v>
      </c>
      <c r="G886" t="s">
        <v>881</v>
      </c>
      <c r="I886" s="6">
        <v>4.4081194919698845</v>
      </c>
      <c r="K886" s="8"/>
    </row>
    <row r="887" spans="1:11" ht="15" x14ac:dyDescent="0.25">
      <c r="A887" s="3" t="str">
        <f>HYPERLINK("proteomic_fractions_linear_files/Yang_linear_img/83649719.jpg", "83649719")</f>
        <v>83649719</v>
      </c>
      <c r="C887" s="3" t="str">
        <f>HYPERLINK("http://www.ncbi.nlm.nih.gov/protein/83649719","Btbd1")</f>
        <v>Btbd1</v>
      </c>
      <c r="E887" t="str">
        <f>HYPERLINK("J:\Depot - mpkCCD Fractions\Main Web Page\Web Pages_old\proteomic_fractions_linear_files/Yang_linear_img/83649719.jpg","show blot")</f>
        <v>show blot</v>
      </c>
      <c r="G887" t="s">
        <v>882</v>
      </c>
      <c r="I887" s="6">
        <v>2.3670744827127899</v>
      </c>
      <c r="K887" s="8"/>
    </row>
    <row r="888" spans="1:11" ht="15" x14ac:dyDescent="0.25">
      <c r="A888" s="3" t="str">
        <f>HYPERLINK("proteomic_fractions_linear_files/Yang_linear_img/163965446.jpg", "163965446")</f>
        <v>163965446</v>
      </c>
      <c r="C888" s="3" t="str">
        <f>HYPERLINK("http://www.ncbi.nlm.nih.gov/protein/163965446","Btbd2")</f>
        <v>Btbd2</v>
      </c>
      <c r="E888" t="str">
        <f>HYPERLINK("J:\Depot - mpkCCD Fractions\Main Web Page\Web Pages_old\proteomic_fractions_linear_files/Yang_linear_img/163965446.jpg","show blot")</f>
        <v>show blot</v>
      </c>
      <c r="G888" t="s">
        <v>883</v>
      </c>
      <c r="I888" s="6">
        <v>3.2439760020124995</v>
      </c>
      <c r="K888" s="8"/>
    </row>
    <row r="889" spans="1:11" ht="15" x14ac:dyDescent="0.25">
      <c r="A889" s="3" t="str">
        <f>HYPERLINK("proteomic_fractions_linear_files/Yang_linear_img/13384648.jpg", "13384648")</f>
        <v>13384648</v>
      </c>
      <c r="C889" s="3" t="str">
        <f>HYPERLINK("http://www.ncbi.nlm.nih.gov/protein/13384648","Btd")</f>
        <v>Btd</v>
      </c>
      <c r="E889" t="str">
        <f>HYPERLINK("J:\Depot - mpkCCD Fractions\Main Web Page\Web Pages_old\proteomic_fractions_linear_files/Yang_linear_img/13384648.jpg","show blot")</f>
        <v>show blot</v>
      </c>
      <c r="G889" t="s">
        <v>884</v>
      </c>
      <c r="I889" s="6">
        <v>2.6480965505507932</v>
      </c>
      <c r="K889" s="8"/>
    </row>
    <row r="890" spans="1:11" ht="15" x14ac:dyDescent="0.25">
      <c r="A890" s="3" t="str">
        <f>HYPERLINK("proteomic_fractions_linear_files/Yang_linear_img/281485611.jpg", "281485611")</f>
        <v>281485611</v>
      </c>
      <c r="C890" s="3" t="str">
        <f>HYPERLINK("http://www.ncbi.nlm.nih.gov/protein/281485611","Btf3")</f>
        <v>Btf3</v>
      </c>
      <c r="E890" t="str">
        <f>HYPERLINK("J:\Depot - mpkCCD Fractions\Main Web Page\Web Pages_old\proteomic_fractions_linear_files/Yang_linear_img/281485611.jpg","show blot")</f>
        <v>show blot</v>
      </c>
      <c r="G890" t="s">
        <v>885</v>
      </c>
      <c r="I890" s="6">
        <v>6.240915447383327</v>
      </c>
      <c r="K890" s="8"/>
    </row>
    <row r="891" spans="1:11" ht="15" x14ac:dyDescent="0.25">
      <c r="A891" s="3" t="str">
        <f>HYPERLINK("proteomic_fractions_linear_files/Yang_linear_img/56605979.jpg", "56605979")</f>
        <v>56605979</v>
      </c>
      <c r="C891" s="3" t="str">
        <f>HYPERLINK("http://www.ncbi.nlm.nih.gov/protein/56605979","Btf3")</f>
        <v>Btf3</v>
      </c>
      <c r="E891" t="str">
        <f>HYPERLINK("J:\Depot - mpkCCD Fractions\Main Web Page\Web Pages_old\proteomic_fractions_linear_files/Yang_linear_img/56605979.jpg","show blot")</f>
        <v>show blot</v>
      </c>
      <c r="G891" t="s">
        <v>886</v>
      </c>
      <c r="I891" s="6">
        <v>6.240915447383327</v>
      </c>
      <c r="K891" s="8"/>
    </row>
    <row r="892" spans="1:11" ht="15" x14ac:dyDescent="0.25">
      <c r="A892" s="3" t="str">
        <f>HYPERLINK("proteomic_fractions_linear_files/Yang_linear_img/29789195.jpg", "29789195")</f>
        <v>29789195</v>
      </c>
      <c r="C892" s="3" t="str">
        <f>HYPERLINK("http://www.ncbi.nlm.nih.gov/protein/29789195","Btf3l4")</f>
        <v>Btf3l4</v>
      </c>
      <c r="E892" t="str">
        <f>HYPERLINK("J:\Depot - mpkCCD Fractions\Main Web Page\Web Pages_old\proteomic_fractions_linear_files/Yang_linear_img/29789195.jpg","show blot")</f>
        <v>show blot</v>
      </c>
      <c r="G892" t="s">
        <v>887</v>
      </c>
      <c r="I892" s="6">
        <v>5.6084163164555063</v>
      </c>
      <c r="K892" s="8"/>
    </row>
    <row r="893" spans="1:11" ht="15" x14ac:dyDescent="0.25">
      <c r="A893" s="3" t="str">
        <f>HYPERLINK("proteomic_fractions_linear_files/Yang_linear_img/161086887.jpg", "161086887")</f>
        <v>161086887</v>
      </c>
      <c r="C893" s="3" t="str">
        <f>HYPERLINK("http://www.ncbi.nlm.nih.gov/protein/161086887","Btrc")</f>
        <v>Btrc</v>
      </c>
      <c r="E893" t="str">
        <f>HYPERLINK("J:\Depot - mpkCCD Fractions\Main Web Page\Web Pages_old\proteomic_fractions_linear_files/Yang_linear_img/161086887.jpg","show blot")</f>
        <v>show blot</v>
      </c>
      <c r="G893" t="s">
        <v>888</v>
      </c>
      <c r="I893" s="6">
        <v>2.8345846832088175</v>
      </c>
      <c r="K893" s="8"/>
    </row>
    <row r="894" spans="1:11" ht="15" x14ac:dyDescent="0.25">
      <c r="A894" s="3" t="str">
        <f>HYPERLINK("proteomic_fractions_linear_files/Yang_linear_img/6753210.jpg", "6753210")</f>
        <v>6753210</v>
      </c>
      <c r="C894" s="3" t="str">
        <f>HYPERLINK("http://www.ncbi.nlm.nih.gov/protein/6753210","Btrc")</f>
        <v>Btrc</v>
      </c>
      <c r="E894" t="str">
        <f>HYPERLINK("J:\Depot - mpkCCD Fractions\Main Web Page\Web Pages_old\proteomic_fractions_linear_files/Yang_linear_img/6753210.jpg","show blot")</f>
        <v>show blot</v>
      </c>
      <c r="G894" t="s">
        <v>889</v>
      </c>
      <c r="I894" s="6">
        <v>2.8345846832088175</v>
      </c>
      <c r="K894" s="8"/>
    </row>
    <row r="895" spans="1:11" ht="15" x14ac:dyDescent="0.25">
      <c r="A895" s="3" t="str">
        <f>HYPERLINK("proteomic_fractions_linear_files/Yang_linear_img/163937845.jpg", "163937845")</f>
        <v>163937845</v>
      </c>
      <c r="C895" s="3" t="str">
        <f>HYPERLINK("http://www.ncbi.nlm.nih.gov/protein/163937845","Bub1")</f>
        <v>Bub1</v>
      </c>
      <c r="E895" t="str">
        <f>HYPERLINK("J:\Depot - mpkCCD Fractions\Main Web Page\Web Pages_old\proteomic_fractions_linear_files/Yang_linear_img/163937845.jpg","show blot")</f>
        <v>show blot</v>
      </c>
      <c r="G895" t="s">
        <v>890</v>
      </c>
      <c r="I895" s="7" t="s">
        <v>8360</v>
      </c>
      <c r="K895" s="8"/>
    </row>
    <row r="896" spans="1:11" ht="15" x14ac:dyDescent="0.25">
      <c r="A896" s="3" t="str">
        <f>HYPERLINK("proteomic_fractions_linear_files/Yang_linear_img/163937847.jpg", "163937847")</f>
        <v>163937847</v>
      </c>
      <c r="C896" s="3" t="str">
        <f>HYPERLINK("http://www.ncbi.nlm.nih.gov/protein/163937847","Bub1")</f>
        <v>Bub1</v>
      </c>
      <c r="E896" t="str">
        <f>HYPERLINK("J:\Depot - mpkCCD Fractions\Main Web Page\Web Pages_old\proteomic_fractions_linear_files/Yang_linear_img/163937847.jpg","show blot")</f>
        <v>show blot</v>
      </c>
      <c r="G896" t="s">
        <v>891</v>
      </c>
      <c r="I896" s="7" t="s">
        <v>8360</v>
      </c>
      <c r="K896" s="8"/>
    </row>
    <row r="897" spans="1:11" ht="15" x14ac:dyDescent="0.25">
      <c r="A897" s="3" t="str">
        <f>HYPERLINK("proteomic_fractions_linear_files/Yang_linear_img/157951692.jpg", "157951692")</f>
        <v>157951692</v>
      </c>
      <c r="C897" s="3" t="str">
        <f>HYPERLINK("http://www.ncbi.nlm.nih.gov/protein/157951692","Bub1b")</f>
        <v>Bub1b</v>
      </c>
      <c r="E897" t="str">
        <f>HYPERLINK("J:\Depot - mpkCCD Fractions\Main Web Page\Web Pages_old\proteomic_fractions_linear_files/Yang_linear_img/157951692.jpg","show blot")</f>
        <v>show blot</v>
      </c>
      <c r="G897" t="s">
        <v>892</v>
      </c>
      <c r="I897" s="6">
        <v>4.7703486466264593</v>
      </c>
      <c r="K897" s="8"/>
    </row>
    <row r="898" spans="1:11" ht="15" x14ac:dyDescent="0.25">
      <c r="A898" s="3" t="str">
        <f>HYPERLINK("proteomic_fractions_linear_files/Yang_linear_img/31560618.jpg", "31560618")</f>
        <v>31560618</v>
      </c>
      <c r="C898" s="3" t="str">
        <f>HYPERLINK("http://www.ncbi.nlm.nih.gov/protein/31560618","Bub3")</f>
        <v>Bub3</v>
      </c>
      <c r="E898" t="str">
        <f>HYPERLINK("J:\Depot - mpkCCD Fractions\Main Web Page\Web Pages_old\proteomic_fractions_linear_files/Yang_linear_img/31560618.jpg","show blot")</f>
        <v>show blot</v>
      </c>
      <c r="G898" t="s">
        <v>893</v>
      </c>
      <c r="I898" s="6">
        <v>6.0516028821011378</v>
      </c>
      <c r="K898" s="8"/>
    </row>
    <row r="899" spans="1:11" ht="15" x14ac:dyDescent="0.25">
      <c r="A899" s="3" t="str">
        <f>HYPERLINK("proteomic_fractions_linear_files/Yang_linear_img/57222238.jpg", "57222238")</f>
        <v>57222238</v>
      </c>
      <c r="C899" s="3" t="str">
        <f>HYPERLINK("http://www.ncbi.nlm.nih.gov/protein/57222238","Bud31")</f>
        <v>Bud31</v>
      </c>
      <c r="E899" t="str">
        <f>HYPERLINK("J:\Depot - mpkCCD Fractions\Main Web Page\Web Pages_old\proteomic_fractions_linear_files/Yang_linear_img/57222238.jpg","show blot")</f>
        <v>show blot</v>
      </c>
      <c r="G899" t="s">
        <v>894</v>
      </c>
      <c r="I899" s="6">
        <v>5.3686130961529299</v>
      </c>
      <c r="K899" s="8"/>
    </row>
    <row r="900" spans="1:11" ht="15" x14ac:dyDescent="0.25">
      <c r="A900" s="3" t="str">
        <f>HYPERLINK("proteomic_fractions_linear_files/Yang_linear_img/164698440.jpg", "164698440")</f>
        <v>164698440</v>
      </c>
      <c r="C900" s="3" t="str">
        <f>HYPERLINK("http://www.ncbi.nlm.nih.gov/protein/164698440","Bysl")</f>
        <v>Bysl</v>
      </c>
      <c r="E900" t="str">
        <f>HYPERLINK("J:\Depot - mpkCCD Fractions\Main Web Page\Web Pages_old\proteomic_fractions_linear_files/Yang_linear_img/164698440.jpg","show blot")</f>
        <v>show blot</v>
      </c>
      <c r="G900" t="s">
        <v>895</v>
      </c>
      <c r="I900" s="6">
        <v>4.4717357912627813</v>
      </c>
      <c r="K900" s="8"/>
    </row>
    <row r="901" spans="1:11" ht="15" x14ac:dyDescent="0.25">
      <c r="A901" s="3" t="str">
        <f>HYPERLINK("proteomic_fractions_linear_files/Yang_linear_img/157909774.jpg", "157909774")</f>
        <v>157909774</v>
      </c>
      <c r="C901" s="3" t="str">
        <f>HYPERLINK("http://www.ncbi.nlm.nih.gov/protein/157909774","Bzrap1")</f>
        <v>Bzrap1</v>
      </c>
      <c r="E901" t="str">
        <f>HYPERLINK("J:\Depot - mpkCCD Fractions\Main Web Page\Web Pages_old\proteomic_fractions_linear_files/Yang_linear_img/157909774.jpg","show blot")</f>
        <v>show blot</v>
      </c>
      <c r="G901" t="s">
        <v>896</v>
      </c>
      <c r="I901" s="6">
        <v>0.77959649125782449</v>
      </c>
      <c r="K901" s="8"/>
    </row>
    <row r="902" spans="1:11" ht="15" x14ac:dyDescent="0.25">
      <c r="A902" s="3" t="str">
        <f>HYPERLINK("proteomic_fractions_linear_files/Yang_linear_img/13385296.jpg", "13385296")</f>
        <v>13385296</v>
      </c>
      <c r="C902" s="3" t="str">
        <f>HYPERLINK("http://www.ncbi.nlm.nih.gov/protein/13385296","Bzw1")</f>
        <v>Bzw1</v>
      </c>
      <c r="E902" t="str">
        <f>HYPERLINK("J:\Depot - mpkCCD Fractions\Main Web Page\Web Pages_old\proteomic_fractions_linear_files/Yang_linear_img/13385296.jpg","show blot")</f>
        <v>show blot</v>
      </c>
      <c r="G902" t="s">
        <v>897</v>
      </c>
      <c r="I902" s="6">
        <v>5.8610052560032457</v>
      </c>
      <c r="K902" s="8"/>
    </row>
    <row r="903" spans="1:11" ht="15" x14ac:dyDescent="0.25">
      <c r="A903" s="3" t="str">
        <f>HYPERLINK("proteomic_fractions_linear_files/Yang_linear_img/31981160.jpg", "31981160")</f>
        <v>31981160</v>
      </c>
      <c r="C903" s="3" t="str">
        <f>HYPERLINK("http://www.ncbi.nlm.nih.gov/protein/31981160","Bzw2")</f>
        <v>Bzw2</v>
      </c>
      <c r="E903" t="str">
        <f>HYPERLINK("J:\Depot - mpkCCD Fractions\Main Web Page\Web Pages_old\proteomic_fractions_linear_files/Yang_linear_img/31981160.jpg","show blot")</f>
        <v>show blot</v>
      </c>
      <c r="G903" t="s">
        <v>898</v>
      </c>
      <c r="I903" s="6">
        <v>5.7284371986998739</v>
      </c>
      <c r="K903" s="8"/>
    </row>
    <row r="904" spans="1:11" ht="15" x14ac:dyDescent="0.25">
      <c r="A904" s="3" t="str">
        <f>HYPERLINK("proteomic_fractions_linear_files/Yang_linear_img/210147428.jpg", "210147428")</f>
        <v>210147428</v>
      </c>
      <c r="C904" s="3" t="str">
        <f>HYPERLINK("http://www.ncbi.nlm.nih.gov/protein/210147428","C030006K11Rik")</f>
        <v>C030006K11Rik</v>
      </c>
      <c r="E904" t="str">
        <f>HYPERLINK("J:\Depot - mpkCCD Fractions\Main Web Page\Web Pages_old\proteomic_fractions_linear_files/Yang_linear_img/210147428.jpg","show blot")</f>
        <v>show blot</v>
      </c>
      <c r="G904" t="s">
        <v>899</v>
      </c>
      <c r="I904" s="6">
        <v>4.3165845976875632</v>
      </c>
      <c r="K904" s="8"/>
    </row>
    <row r="905" spans="1:11" ht="15" x14ac:dyDescent="0.25">
      <c r="A905" s="3" t="str">
        <f>HYPERLINK("proteomic_fractions_linear_files/Yang_linear_img/21735489.jpg", "21735489")</f>
        <v>21735489</v>
      </c>
      <c r="C905" s="3" t="str">
        <f>HYPERLINK("http://www.ncbi.nlm.nih.gov/protein/21735489","C030006K11Rik")</f>
        <v>C030006K11Rik</v>
      </c>
      <c r="E905" t="str">
        <f>HYPERLINK("J:\Depot - mpkCCD Fractions\Main Web Page\Web Pages_old\proteomic_fractions_linear_files/Yang_linear_img/21735489.jpg","show blot")</f>
        <v>show blot</v>
      </c>
      <c r="G905" t="s">
        <v>900</v>
      </c>
      <c r="I905" s="6">
        <v>4.3165845976875632</v>
      </c>
      <c r="K905" s="8"/>
    </row>
    <row r="906" spans="1:11" ht="15" x14ac:dyDescent="0.25">
      <c r="A906" s="3" t="str">
        <f>HYPERLINK("proteomic_fractions_linear_files/Yang_linear_img/112181167.jpg", "112181167")</f>
        <v>112181167</v>
      </c>
      <c r="C906" s="3" t="str">
        <f>HYPERLINK("http://www.ncbi.nlm.nih.gov/protein/112181167","C1qbp")</f>
        <v>C1qbp</v>
      </c>
      <c r="E906" t="str">
        <f>HYPERLINK("J:\Depot - mpkCCD Fractions\Main Web Page\Web Pages_old\proteomic_fractions_linear_files/Yang_linear_img/112181167.jpg","show blot")</f>
        <v>show blot</v>
      </c>
      <c r="G906" t="s">
        <v>901</v>
      </c>
      <c r="I906" s="6">
        <v>5.9078989494103933</v>
      </c>
      <c r="K906" s="8"/>
    </row>
    <row r="907" spans="1:11" ht="15" x14ac:dyDescent="0.25">
      <c r="A907" s="3" t="str">
        <f>HYPERLINK("proteomic_fractions_linear_files/Yang_linear_img/157838011.jpg", "157838011")</f>
        <v>157838011</v>
      </c>
      <c r="C907" s="3" t="str">
        <f>HYPERLINK("http://www.ncbi.nlm.nih.gov/protein/157838011","C2cd5")</f>
        <v>C2cd5</v>
      </c>
      <c r="E907" t="str">
        <f>HYPERLINK("J:\Depot - mpkCCD Fractions\Main Web Page\Web Pages_old\proteomic_fractions_linear_files/Yang_linear_img/157838011.jpg","show blot")</f>
        <v>show blot</v>
      </c>
      <c r="G907" t="s">
        <v>902</v>
      </c>
      <c r="I907" s="6">
        <v>2.1770577199336723</v>
      </c>
      <c r="K907" s="8"/>
    </row>
    <row r="908" spans="1:11" ht="15" x14ac:dyDescent="0.25">
      <c r="A908" s="3" t="str">
        <f>HYPERLINK("proteomic_fractions_linear_files/Yang_linear_img/157838013.jpg", "157838013")</f>
        <v>157838013</v>
      </c>
      <c r="C908" s="3" t="str">
        <f>HYPERLINK("http://www.ncbi.nlm.nih.gov/protein/157838013","C2cd5")</f>
        <v>C2cd5</v>
      </c>
      <c r="E908" t="str">
        <f>HYPERLINK("J:\Depot - mpkCCD Fractions\Main Web Page\Web Pages_old\proteomic_fractions_linear_files/Yang_linear_img/157838013.jpg","show blot")</f>
        <v>show blot</v>
      </c>
      <c r="G908" t="s">
        <v>903</v>
      </c>
      <c r="I908" s="6">
        <v>2.1770577199336723</v>
      </c>
      <c r="K908" s="8"/>
    </row>
    <row r="909" spans="1:11" ht="15" x14ac:dyDescent="0.25">
      <c r="A909" s="3" t="str">
        <f>HYPERLINK("proteomic_fractions_linear_files/Yang_linear_img/157838015.jpg", "157838015")</f>
        <v>157838015</v>
      </c>
      <c r="C909" s="3" t="str">
        <f>HYPERLINK("http://www.ncbi.nlm.nih.gov/protein/157838015","C2cd5")</f>
        <v>C2cd5</v>
      </c>
      <c r="E909" t="str">
        <f>HYPERLINK("J:\Depot - mpkCCD Fractions\Main Web Page\Web Pages_old\proteomic_fractions_linear_files/Yang_linear_img/157838015.jpg","show blot")</f>
        <v>show blot</v>
      </c>
      <c r="G909" t="s">
        <v>904</v>
      </c>
      <c r="I909" s="6">
        <v>2.1770577199336723</v>
      </c>
      <c r="K909" s="8"/>
    </row>
    <row r="910" spans="1:11" ht="15" x14ac:dyDescent="0.25">
      <c r="A910" s="3" t="str">
        <f>HYPERLINK("proteomic_fractions_linear_files/Yang_linear_img/166063959.jpg", "166063959")</f>
        <v>166063959</v>
      </c>
      <c r="C910" s="3" t="str">
        <f>HYPERLINK("http://www.ncbi.nlm.nih.gov/protein/166063959","C330007P06Rik")</f>
        <v>C330007P06Rik</v>
      </c>
      <c r="E910" t="str">
        <f>HYPERLINK("J:\Depot - mpkCCD Fractions\Main Web Page\Web Pages_old\proteomic_fractions_linear_files/Yang_linear_img/166063959.jpg","show blot")</f>
        <v>show blot</v>
      </c>
      <c r="G910" t="s">
        <v>905</v>
      </c>
      <c r="I910" s="6">
        <v>4.5227404281163244</v>
      </c>
      <c r="K910" s="8"/>
    </row>
    <row r="911" spans="1:11" ht="15" x14ac:dyDescent="0.25">
      <c r="A911" s="3" t="str">
        <f>HYPERLINK("proteomic_fractions_linear_files/Yang_linear_img/75677516.jpg", "75677516")</f>
        <v>75677516</v>
      </c>
      <c r="C911" s="3" t="str">
        <f>HYPERLINK("http://www.ncbi.nlm.nih.gov/protein/75677516","C77080")</f>
        <v>C77080</v>
      </c>
      <c r="E911" t="str">
        <f>HYPERLINK("J:\Depot - mpkCCD Fractions\Main Web Page\Web Pages_old\proteomic_fractions_linear_files/Yang_linear_img/75677516.jpg","show blot")</f>
        <v>show blot</v>
      </c>
      <c r="G911" t="s">
        <v>906</v>
      </c>
      <c r="I911" s="6">
        <v>2.8274132373734928</v>
      </c>
      <c r="K911" s="8"/>
    </row>
    <row r="912" spans="1:11" ht="15" x14ac:dyDescent="0.25">
      <c r="A912" s="3" t="str">
        <f>HYPERLINK("proteomic_fractions_linear_files/Yang_linear_img/401871063.jpg", "401871063")</f>
        <v>401871063</v>
      </c>
      <c r="C912" s="3" t="str">
        <f>HYPERLINK("http://www.ncbi.nlm.nih.gov/protein/401871063","C920025E04Rik")</f>
        <v>C920025E04Rik</v>
      </c>
      <c r="E912" t="str">
        <f>HYPERLINK("J:\Depot - mpkCCD Fractions\Main Web Page\Web Pages_old\proteomic_fractions_linear_files/Yang_linear_img/401871063.jpg","show blot")</f>
        <v>show blot</v>
      </c>
      <c r="G912" t="s">
        <v>907</v>
      </c>
      <c r="I912" s="6">
        <v>3.1263839774824809</v>
      </c>
      <c r="K912" s="8"/>
    </row>
    <row r="913" spans="1:11" ht="15" x14ac:dyDescent="0.25">
      <c r="A913" s="3" t="str">
        <f>HYPERLINK("proteomic_fractions_linear_files/Yang_linear_img/161086893.jpg", "161086893")</f>
        <v>161086893</v>
      </c>
      <c r="C913" s="3" t="str">
        <f>HYPERLINK("http://www.ncbi.nlm.nih.gov/protein/161086893","Cab39")</f>
        <v>Cab39</v>
      </c>
      <c r="E913" t="str">
        <f>HYPERLINK("J:\Depot - mpkCCD Fractions\Main Web Page\Web Pages_old\proteomic_fractions_linear_files/Yang_linear_img/161086893.jpg","show blot")</f>
        <v>show blot</v>
      </c>
      <c r="G913" t="s">
        <v>908</v>
      </c>
      <c r="I913" s="6">
        <v>5.2238729756853717</v>
      </c>
      <c r="K913" s="8"/>
    </row>
    <row r="914" spans="1:11" ht="15" x14ac:dyDescent="0.25">
      <c r="A914" s="3" t="str">
        <f>HYPERLINK("proteomic_fractions_linear_files/Yang_linear_img/31541826.jpg", "31541826")</f>
        <v>31541826</v>
      </c>
      <c r="C914" s="3" t="str">
        <f>HYPERLINK("http://www.ncbi.nlm.nih.gov/protein/31541826","Cab39l")</f>
        <v>Cab39l</v>
      </c>
      <c r="E914" t="str">
        <f>HYPERLINK("J:\Depot - mpkCCD Fractions\Main Web Page\Web Pages_old\proteomic_fractions_linear_files/Yang_linear_img/31541826.jpg","show blot")</f>
        <v>show blot</v>
      </c>
      <c r="G914" t="s">
        <v>909</v>
      </c>
      <c r="I914" s="6">
        <v>5.2980123084667792</v>
      </c>
      <c r="K914" s="8"/>
    </row>
    <row r="915" spans="1:11" ht="15" x14ac:dyDescent="0.25">
      <c r="A915" s="3" t="str">
        <f>HYPERLINK("proteomic_fractions_linear_files/Yang_linear_img/58037485.jpg", "58037485")</f>
        <v>58037485</v>
      </c>
      <c r="C915" s="3" t="str">
        <f>HYPERLINK("http://www.ncbi.nlm.nih.gov/protein/58037485","Cacfd1")</f>
        <v>Cacfd1</v>
      </c>
      <c r="E915" t="str">
        <f>HYPERLINK("J:\Depot - mpkCCD Fractions\Main Web Page\Web Pages_old\proteomic_fractions_linear_files/Yang_linear_img/58037485.jpg","show blot")</f>
        <v>show blot</v>
      </c>
      <c r="G915" t="s">
        <v>910</v>
      </c>
      <c r="I915" s="6">
        <v>2.621233999162575</v>
      </c>
      <c r="K915" s="8"/>
    </row>
    <row r="916" spans="1:11" ht="15" x14ac:dyDescent="0.25">
      <c r="A916" s="3" t="str">
        <f>HYPERLINK("proteomic_fractions_linear_files/Yang_linear_img/121583673.jpg", "121583673")</f>
        <v>121583673</v>
      </c>
      <c r="C916" s="3" t="str">
        <f>HYPERLINK("http://www.ncbi.nlm.nih.gov/protein/121583673","Cactin")</f>
        <v>Cactin</v>
      </c>
      <c r="E916" t="str">
        <f>HYPERLINK("J:\Depot - mpkCCD Fractions\Main Web Page\Web Pages_old\proteomic_fractions_linear_files/Yang_linear_img/121583673.jpg","show blot")</f>
        <v>show blot</v>
      </c>
      <c r="G916" t="s">
        <v>911</v>
      </c>
      <c r="I916" s="6">
        <v>2.917632985010036</v>
      </c>
      <c r="K916" s="8"/>
    </row>
    <row r="917" spans="1:11" ht="15" x14ac:dyDescent="0.25">
      <c r="A917" s="3" t="str">
        <f>HYPERLINK("proteomic_fractions_linear_files/Yang_linear_img/285402212.jpg", "285402212")</f>
        <v>285402212</v>
      </c>
      <c r="C917" s="3" t="str">
        <f>HYPERLINK("http://www.ncbi.nlm.nih.gov/protein/285402212","Cacul1")</f>
        <v>Cacul1</v>
      </c>
      <c r="E917" t="str">
        <f>HYPERLINK("J:\Depot - mpkCCD Fractions\Main Web Page\Web Pages_old\proteomic_fractions_linear_files/Yang_linear_img/285402212.jpg","show blot")</f>
        <v>show blot</v>
      </c>
      <c r="G917" t="s">
        <v>912</v>
      </c>
      <c r="I917" s="6">
        <v>4.2290531922893928</v>
      </c>
      <c r="K917" s="8"/>
    </row>
    <row r="918" spans="1:11" ht="15" x14ac:dyDescent="0.25">
      <c r="A918" s="3" t="str">
        <f>HYPERLINK("proteomic_fractions_linear_files/Yang_linear_img/285402250.jpg", "285402250")</f>
        <v>285402250</v>
      </c>
      <c r="C918" s="3" t="str">
        <f>HYPERLINK("http://www.ncbi.nlm.nih.gov/protein/285402250","Cacul1")</f>
        <v>Cacul1</v>
      </c>
      <c r="E918" t="str">
        <f>HYPERLINK("J:\Depot - mpkCCD Fractions\Main Web Page\Web Pages_old\proteomic_fractions_linear_files/Yang_linear_img/285402250.jpg","show blot")</f>
        <v>show blot</v>
      </c>
      <c r="G918" t="s">
        <v>913</v>
      </c>
      <c r="I918" s="6">
        <v>4.2290531922893928</v>
      </c>
      <c r="K918" s="8"/>
    </row>
    <row r="919" spans="1:11" ht="15" x14ac:dyDescent="0.25">
      <c r="A919" s="3" t="str">
        <f>HYPERLINK("proteomic_fractions_linear_files/Yang_linear_img/58037533.jpg", "58037533")</f>
        <v>58037533</v>
      </c>
      <c r="C919" s="3" t="str">
        <f>HYPERLINK("http://www.ncbi.nlm.nih.gov/protein/58037533","Cacul1")</f>
        <v>Cacul1</v>
      </c>
      <c r="E919" t="str">
        <f>HYPERLINK("J:\Depot - mpkCCD Fractions\Main Web Page\Web Pages_old\proteomic_fractions_linear_files/Yang_linear_img/58037533.jpg","show blot")</f>
        <v>show blot</v>
      </c>
      <c r="G919" t="s">
        <v>914</v>
      </c>
      <c r="I919" s="6">
        <v>4.2290531922893928</v>
      </c>
      <c r="K919" s="8"/>
    </row>
    <row r="920" spans="1:11" ht="15" x14ac:dyDescent="0.25">
      <c r="A920" s="3" t="str">
        <f>HYPERLINK("proteomic_fractions_linear_files/Yang_linear_img/33468885.jpg", "33468885")</f>
        <v>33468885</v>
      </c>
      <c r="C920" s="3" t="str">
        <f>HYPERLINK("http://www.ncbi.nlm.nih.gov/protein/33468885","Cacybp")</f>
        <v>Cacybp</v>
      </c>
      <c r="E920" t="str">
        <f>HYPERLINK("J:\Depot - mpkCCD Fractions\Main Web Page\Web Pages_old\proteomic_fractions_linear_files/Yang_linear_img/33468885.jpg","show blot")</f>
        <v>show blot</v>
      </c>
      <c r="G920" t="s">
        <v>915</v>
      </c>
      <c r="I920" s="6">
        <v>5.8895818164866496</v>
      </c>
      <c r="K920" s="8"/>
    </row>
    <row r="921" spans="1:11" ht="15" x14ac:dyDescent="0.25">
      <c r="A921" s="3" t="str">
        <f>HYPERLINK("proteomic_fractions_linear_files/Yang_linear_img/51093867.jpg", "51093867")</f>
        <v>51093867</v>
      </c>
      <c r="C921" s="3" t="str">
        <f>HYPERLINK("http://www.ncbi.nlm.nih.gov/protein/51093867","Cad")</f>
        <v>Cad</v>
      </c>
      <c r="E921" t="str">
        <f>HYPERLINK("J:\Depot - mpkCCD Fractions\Main Web Page\Web Pages_old\proteomic_fractions_linear_files/Yang_linear_img/51093867.jpg","show blot")</f>
        <v>show blot</v>
      </c>
      <c r="G921" t="s">
        <v>916</v>
      </c>
      <c r="I921" s="6">
        <v>5.2558058449213494</v>
      </c>
      <c r="K921" s="8"/>
    </row>
    <row r="922" spans="1:11" ht="15" x14ac:dyDescent="0.25">
      <c r="A922" s="3" t="str">
        <f>HYPERLINK("proteomic_fractions_linear_files/Yang_linear_img/46575940.jpg", "46575940")</f>
        <v>46575940</v>
      </c>
      <c r="C922" s="3" t="str">
        <f>HYPERLINK("http://www.ncbi.nlm.nih.gov/protein/46575940","Cadm1")</f>
        <v>Cadm1</v>
      </c>
      <c r="E922" t="str">
        <f>HYPERLINK("J:\Depot - mpkCCD Fractions\Main Web Page\Web Pages_old\proteomic_fractions_linear_files/Yang_linear_img/46575940.jpg","show blot")</f>
        <v>show blot</v>
      </c>
      <c r="G922" t="s">
        <v>917</v>
      </c>
      <c r="I922" s="6">
        <v>4.1063310380718976</v>
      </c>
      <c r="K922" s="8"/>
    </row>
    <row r="923" spans="1:11" ht="15" x14ac:dyDescent="0.25">
      <c r="A923" s="3" t="str">
        <f>HYPERLINK("proteomic_fractions_linear_files/Yang_linear_img/71040102.jpg", "71040102")</f>
        <v>71040102</v>
      </c>
      <c r="C923" s="3" t="str">
        <f>HYPERLINK("http://www.ncbi.nlm.nih.gov/protein/71040102","Cadm1")</f>
        <v>Cadm1</v>
      </c>
      <c r="E923" t="str">
        <f>HYPERLINK("J:\Depot - mpkCCD Fractions\Main Web Page\Web Pages_old\proteomic_fractions_linear_files/Yang_linear_img/71040102.jpg","show blot")</f>
        <v>show blot</v>
      </c>
      <c r="G923" t="s">
        <v>918</v>
      </c>
      <c r="I923" s="6">
        <v>4.1063310380718976</v>
      </c>
      <c r="K923" s="8"/>
    </row>
    <row r="924" spans="1:11" ht="15" x14ac:dyDescent="0.25">
      <c r="A924" s="3" t="str">
        <f>HYPERLINK("proteomic_fractions_linear_files/Yang_linear_img/71040104.jpg", "71040104")</f>
        <v>71040104</v>
      </c>
      <c r="C924" s="3" t="str">
        <f>HYPERLINK("http://www.ncbi.nlm.nih.gov/protein/71040104","Cadm1")</f>
        <v>Cadm1</v>
      </c>
      <c r="E924" t="str">
        <f>HYPERLINK("J:\Depot - mpkCCD Fractions\Main Web Page\Web Pages_old\proteomic_fractions_linear_files/Yang_linear_img/71040104.jpg","show blot")</f>
        <v>show blot</v>
      </c>
      <c r="G924" t="s">
        <v>919</v>
      </c>
      <c r="I924" s="6">
        <v>4.1063310380718976</v>
      </c>
      <c r="K924" s="8"/>
    </row>
    <row r="925" spans="1:11" ht="15" x14ac:dyDescent="0.25">
      <c r="A925" s="3" t="str">
        <f>HYPERLINK("proteomic_fractions_linear_files/Yang_linear_img/71040107.jpg", "71040107")</f>
        <v>71040107</v>
      </c>
      <c r="C925" s="3" t="str">
        <f>HYPERLINK("http://www.ncbi.nlm.nih.gov/protein/71040107","Cadm1")</f>
        <v>Cadm1</v>
      </c>
      <c r="E925" t="str">
        <f>HYPERLINK("J:\Depot - mpkCCD Fractions\Main Web Page\Web Pages_old\proteomic_fractions_linear_files/Yang_linear_img/71040107.jpg","show blot")</f>
        <v>show blot</v>
      </c>
      <c r="G925" t="s">
        <v>920</v>
      </c>
      <c r="I925" s="6">
        <v>4.1063310380718976</v>
      </c>
      <c r="K925" s="8"/>
    </row>
    <row r="926" spans="1:11" ht="15" x14ac:dyDescent="0.25">
      <c r="A926" s="3" t="str">
        <f>HYPERLINK("proteomic_fractions_linear_files/Yang_linear_img/23346547.jpg", "23346547")</f>
        <v>23346547</v>
      </c>
      <c r="C926" s="3" t="str">
        <f>HYPERLINK("http://www.ncbi.nlm.nih.gov/protein/23346547","Cadm4")</f>
        <v>Cadm4</v>
      </c>
      <c r="E926" t="str">
        <f>HYPERLINK("J:\Depot - mpkCCD Fractions\Main Web Page\Web Pages_old\proteomic_fractions_linear_files/Yang_linear_img/23346547.jpg","show blot")</f>
        <v>show blot</v>
      </c>
      <c r="G926" t="s">
        <v>921</v>
      </c>
      <c r="I926" s="6">
        <v>2.030796592666094</v>
      </c>
      <c r="K926" s="8"/>
    </row>
    <row r="927" spans="1:11" ht="15" x14ac:dyDescent="0.25">
      <c r="A927" s="3" t="str">
        <f>HYPERLINK("proteomic_fractions_linear_files/Yang_linear_img/21312944.jpg", "21312944")</f>
        <v>21312944</v>
      </c>
      <c r="C927" s="3" t="str">
        <f>HYPERLINK("http://www.ncbi.nlm.nih.gov/protein/21312944","Calcoco1")</f>
        <v>Calcoco1</v>
      </c>
      <c r="E927" t="str">
        <f>HYPERLINK("J:\Depot - mpkCCD Fractions\Main Web Page\Web Pages_old\proteomic_fractions_linear_files/Yang_linear_img/21312944.jpg","show blot")</f>
        <v>show blot</v>
      </c>
      <c r="G927" t="s">
        <v>922</v>
      </c>
      <c r="I927" s="6">
        <v>4.9245325569809033</v>
      </c>
      <c r="K927" s="8"/>
    </row>
    <row r="928" spans="1:11" ht="15" x14ac:dyDescent="0.25">
      <c r="A928" s="3" t="str">
        <f>HYPERLINK("proteomic_fractions_linear_files/Yang_linear_img/21704156.jpg", "21704156")</f>
        <v>21704156</v>
      </c>
      <c r="C928" s="3" t="str">
        <f>HYPERLINK("http://www.ncbi.nlm.nih.gov/protein/21704156","Cald1")</f>
        <v>Cald1</v>
      </c>
      <c r="E928" t="str">
        <f>HYPERLINK("J:\Depot - mpkCCD Fractions\Main Web Page\Web Pages_old\proteomic_fractions_linear_files/Yang_linear_img/21704156.jpg","show blot")</f>
        <v>show blot</v>
      </c>
      <c r="G928" t="s">
        <v>923</v>
      </c>
      <c r="I928" s="6">
        <v>4.4397604229401972</v>
      </c>
      <c r="K928" s="8"/>
    </row>
    <row r="929" spans="1:11" ht="15" x14ac:dyDescent="0.25">
      <c r="A929" s="3" t="str">
        <f>HYPERLINK("proteomic_fractions_linear_files/Yang_linear_img/6680832;6680834.jpg", "6680832;6680834")</f>
        <v>6680832;6680834</v>
      </c>
      <c r="C929" s="3" t="str">
        <f>HYPERLINK("http://www.ncbi.nlm.nih.gov/protein/6680832;6680834","Calm2")</f>
        <v>Calm2</v>
      </c>
      <c r="E929" t="str">
        <f>HYPERLINK("J:\Depot - mpkCCD Fractions\Main Web Page\Web Pages_old\proteomic_fractions_linear_files/Yang_linear_img/6680832;6680834.jpg","show blot")</f>
        <v>show blot</v>
      </c>
      <c r="G929" t="s">
        <v>924</v>
      </c>
      <c r="I929" s="6">
        <v>6.3616951569275644</v>
      </c>
      <c r="K929" s="8"/>
    </row>
    <row r="930" spans="1:11" ht="15" x14ac:dyDescent="0.25">
      <c r="A930" s="3" t="str">
        <f>HYPERLINK("proteomic_fractions_linear_files/Yang_linear_img/6680834.jpg", "6680834")</f>
        <v>6680834</v>
      </c>
      <c r="C930" s="3" t="str">
        <f>HYPERLINK("http://www.ncbi.nlm.nih.gov/protein/6680834","Calm3")</f>
        <v>Calm3</v>
      </c>
      <c r="E930" t="str">
        <f>HYPERLINK("J:\Depot - mpkCCD Fractions\Main Web Page\Web Pages_old\proteomic_fractions_linear_files/Yang_linear_img/6680834.jpg","show blot")</f>
        <v>show blot</v>
      </c>
      <c r="G930" t="s">
        <v>924</v>
      </c>
      <c r="I930" s="6">
        <v>6.4659534080617922</v>
      </c>
      <c r="K930" s="8"/>
    </row>
    <row r="931" spans="1:11" ht="15" x14ac:dyDescent="0.25">
      <c r="A931" s="3" t="str">
        <f>HYPERLINK("proteomic_fractions_linear_files/Yang_linear_img/13386230.jpg", "13386230")</f>
        <v>13386230</v>
      </c>
      <c r="C931" s="3" t="str">
        <f>HYPERLINK("http://www.ncbi.nlm.nih.gov/protein/13386230","Calml3")</f>
        <v>Calml3</v>
      </c>
      <c r="E931" t="str">
        <f>HYPERLINK("J:\Depot - mpkCCD Fractions\Main Web Page\Web Pages_old\proteomic_fractions_linear_files/Yang_linear_img/13386230.jpg","show blot")</f>
        <v>show blot</v>
      </c>
      <c r="G931" t="s">
        <v>925</v>
      </c>
      <c r="I931" s="6">
        <v>5.9635710074070314</v>
      </c>
      <c r="K931" s="8"/>
    </row>
    <row r="932" spans="1:11" ht="15" x14ac:dyDescent="0.25">
      <c r="A932" s="3" t="str">
        <f>HYPERLINK("proteomic_fractions_linear_files/Yang_linear_img/6680836.jpg", "6680836")</f>
        <v>6680836</v>
      </c>
      <c r="C932" s="3" t="str">
        <f>HYPERLINK("http://www.ncbi.nlm.nih.gov/protein/6680836","Calr")</f>
        <v>Calr</v>
      </c>
      <c r="E932" t="str">
        <f>HYPERLINK("J:\Depot - mpkCCD Fractions\Main Web Page\Web Pages_old\proteomic_fractions_linear_files/Yang_linear_img/6680836.jpg","show blot")</f>
        <v>show blot</v>
      </c>
      <c r="G932" t="s">
        <v>926</v>
      </c>
      <c r="I932" s="6">
        <v>6.4123699557904379</v>
      </c>
      <c r="K932" s="8"/>
    </row>
    <row r="933" spans="1:11" ht="15" x14ac:dyDescent="0.25">
      <c r="A933" s="3" t="str">
        <f>HYPERLINK("proteomic_fractions_linear_files/Yang_linear_img/549806750.jpg", "549806750")</f>
        <v>549806750</v>
      </c>
      <c r="C933" s="3" t="str">
        <f>HYPERLINK("http://www.ncbi.nlm.nih.gov/protein/549806750","Calu")</f>
        <v>Calu</v>
      </c>
      <c r="E933" t="str">
        <f>HYPERLINK("J:\Depot - mpkCCD Fractions\Main Web Page\Web Pages_old\proteomic_fractions_linear_files/Yang_linear_img/549806750.jpg","show blot")</f>
        <v>show blot</v>
      </c>
      <c r="G933" t="s">
        <v>927</v>
      </c>
      <c r="I933" s="6">
        <v>5.4362873807352488</v>
      </c>
      <c r="K933" s="8"/>
    </row>
    <row r="934" spans="1:11" ht="15" x14ac:dyDescent="0.25">
      <c r="A934" s="3" t="str">
        <f>HYPERLINK("proteomic_fractions_linear_files/Yang_linear_img/41282022.jpg", "41282022")</f>
        <v>41282022</v>
      </c>
      <c r="C934" s="3" t="str">
        <f>HYPERLINK("http://www.ncbi.nlm.nih.gov/protein/41282022","Calu")</f>
        <v>Calu</v>
      </c>
      <c r="E934" t="str">
        <f>HYPERLINK("J:\Depot - mpkCCD Fractions\Main Web Page\Web Pages_old\proteomic_fractions_linear_files/Yang_linear_img/41282022.jpg","show blot")</f>
        <v>show blot</v>
      </c>
      <c r="G934" t="s">
        <v>928</v>
      </c>
      <c r="I934" s="6">
        <v>5.4362873807352488</v>
      </c>
      <c r="K934" s="8"/>
    </row>
    <row r="935" spans="1:11" ht="15" x14ac:dyDescent="0.25">
      <c r="A935" s="3" t="str">
        <f>HYPERLINK("proteomic_fractions_linear_files/Yang_linear_img/6680840.jpg", "6680840")</f>
        <v>6680840</v>
      </c>
      <c r="C935" s="3" t="str">
        <f>HYPERLINK("http://www.ncbi.nlm.nih.gov/protein/6680840","Calu")</f>
        <v>Calu</v>
      </c>
      <c r="E935" t="str">
        <f>HYPERLINK("J:\Depot - mpkCCD Fractions\Main Web Page\Web Pages_old\proteomic_fractions_linear_files/Yang_linear_img/6680840.jpg","show blot")</f>
        <v>show blot</v>
      </c>
      <c r="G935" t="s">
        <v>929</v>
      </c>
      <c r="I935" s="6">
        <v>5.4362873807352488</v>
      </c>
      <c r="K935" s="8"/>
    </row>
    <row r="936" spans="1:11" ht="15" x14ac:dyDescent="0.25">
      <c r="A936" s="3" t="str">
        <f>HYPERLINK("proteomic_fractions_linear_files/Yang_linear_img/19527140.jpg", "19527140")</f>
        <v>19527140</v>
      </c>
      <c r="C936" s="3" t="str">
        <f>HYPERLINK("http://www.ncbi.nlm.nih.gov/protein/19527140","Camk1")</f>
        <v>Camk1</v>
      </c>
      <c r="E936" t="str">
        <f>HYPERLINK("J:\Depot - mpkCCD Fractions\Main Web Page\Web Pages_old\proteomic_fractions_linear_files/Yang_linear_img/19527140.jpg","show blot")</f>
        <v>show blot</v>
      </c>
      <c r="G936" t="s">
        <v>930</v>
      </c>
      <c r="I936" s="6">
        <v>1.9449638849217328</v>
      </c>
      <c r="K936" s="8"/>
    </row>
    <row r="937" spans="1:11" ht="15" x14ac:dyDescent="0.25">
      <c r="A937" s="3" t="str">
        <f>HYPERLINK("proteomic_fractions_linear_files/Yang_linear_img/28916677.jpg", "28916677")</f>
        <v>28916677</v>
      </c>
      <c r="C937" s="3" t="str">
        <f>HYPERLINK("http://www.ncbi.nlm.nih.gov/protein/28916677","Camk2a")</f>
        <v>Camk2a</v>
      </c>
      <c r="E937" t="str">
        <f>HYPERLINK("J:\Depot - mpkCCD Fractions\Main Web Page\Web Pages_old\proteomic_fractions_linear_files/Yang_linear_img/28916677.jpg","show blot")</f>
        <v>show blot</v>
      </c>
      <c r="G937" t="s">
        <v>931</v>
      </c>
      <c r="I937" s="6">
        <v>5.492915015865651</v>
      </c>
      <c r="K937" s="8"/>
    </row>
    <row r="938" spans="1:11" ht="15" x14ac:dyDescent="0.25">
      <c r="A938" s="3" t="str">
        <f>HYPERLINK("proteomic_fractions_linear_files/Yang_linear_img/226693349.jpg", "226693349")</f>
        <v>226693349</v>
      </c>
      <c r="C938" s="3" t="str">
        <f>HYPERLINK("http://www.ncbi.nlm.nih.gov/protein/226693349","Camk2b")</f>
        <v>Camk2b</v>
      </c>
      <c r="E938" t="str">
        <f>HYPERLINK("J:\Depot - mpkCCD Fractions\Main Web Page\Web Pages_old\proteomic_fractions_linear_files/Yang_linear_img/226693349.jpg","show blot")</f>
        <v>show blot</v>
      </c>
      <c r="G938" t="s">
        <v>932</v>
      </c>
      <c r="I938" s="6">
        <v>5.4565925018236454</v>
      </c>
      <c r="K938" s="8"/>
    </row>
    <row r="939" spans="1:11" ht="15" x14ac:dyDescent="0.25">
      <c r="A939" s="3" t="str">
        <f>HYPERLINK("proteomic_fractions_linear_files/Yang_linear_img/291291008.jpg", "291291008")</f>
        <v>291291008</v>
      </c>
      <c r="C939" s="3" t="str">
        <f>HYPERLINK("http://www.ncbi.nlm.nih.gov/protein/291291008","Camk2b")</f>
        <v>Camk2b</v>
      </c>
      <c r="E939" t="str">
        <f>HYPERLINK("J:\Depot - mpkCCD Fractions\Main Web Page\Web Pages_old\proteomic_fractions_linear_files/Yang_linear_img/291291008.jpg","show blot")</f>
        <v>show blot</v>
      </c>
      <c r="G939" t="s">
        <v>933</v>
      </c>
      <c r="I939" s="6">
        <v>5.4565925018236454</v>
      </c>
      <c r="K939" s="8"/>
    </row>
    <row r="940" spans="1:11" ht="15" x14ac:dyDescent="0.25">
      <c r="A940" s="3" t="str">
        <f>HYPERLINK("proteomic_fractions_linear_files/Yang_linear_img/291291010.jpg", "291291010")</f>
        <v>291291010</v>
      </c>
      <c r="C940" s="3" t="str">
        <f>HYPERLINK("http://www.ncbi.nlm.nih.gov/protein/291291010","Camk2b")</f>
        <v>Camk2b</v>
      </c>
      <c r="E940" t="str">
        <f>HYPERLINK("J:\Depot - mpkCCD Fractions\Main Web Page\Web Pages_old\proteomic_fractions_linear_files/Yang_linear_img/291291010.jpg","show blot")</f>
        <v>show blot</v>
      </c>
      <c r="G940" t="s">
        <v>934</v>
      </c>
      <c r="I940" s="6">
        <v>5.4565925018236454</v>
      </c>
      <c r="K940" s="8"/>
    </row>
    <row r="941" spans="1:11" ht="15" x14ac:dyDescent="0.25">
      <c r="A941" s="3" t="str">
        <f>HYPERLINK("proteomic_fractions_linear_files/Yang_linear_img/18158420.jpg", "18158420")</f>
        <v>18158420</v>
      </c>
      <c r="C941" s="3" t="str">
        <f>HYPERLINK("http://www.ncbi.nlm.nih.gov/protein/18158420","Camk2d")</f>
        <v>Camk2d</v>
      </c>
      <c r="E941" t="str">
        <f>HYPERLINK("J:\Depot - mpkCCD Fractions\Main Web Page\Web Pages_old\proteomic_fractions_linear_files/Yang_linear_img/18158420.jpg","show blot")</f>
        <v>show blot</v>
      </c>
      <c r="G941" t="s">
        <v>935</v>
      </c>
      <c r="I941" s="6">
        <v>5.7609034603816331</v>
      </c>
      <c r="K941" s="8"/>
    </row>
    <row r="942" spans="1:11" ht="15" x14ac:dyDescent="0.25">
      <c r="A942" s="3" t="str">
        <f>HYPERLINK("proteomic_fractions_linear_files/Yang_linear_img/70906477.jpg", "70906477")</f>
        <v>70906477</v>
      </c>
      <c r="C942" s="3" t="str">
        <f>HYPERLINK("http://www.ncbi.nlm.nih.gov/protein/70906477","Camk2d")</f>
        <v>Camk2d</v>
      </c>
      <c r="E942" t="str">
        <f>HYPERLINK("J:\Depot - mpkCCD Fractions\Main Web Page\Web Pages_old\proteomic_fractions_linear_files/Yang_linear_img/70906477.jpg","show blot")</f>
        <v>show blot</v>
      </c>
      <c r="G942" t="s">
        <v>936</v>
      </c>
      <c r="I942" s="6">
        <v>5.7609034603816331</v>
      </c>
      <c r="K942" s="8"/>
    </row>
    <row r="943" spans="1:11" ht="15" x14ac:dyDescent="0.25">
      <c r="A943" s="3" t="str">
        <f>HYPERLINK("proteomic_fractions_linear_files/Yang_linear_img/70906479.jpg", "70906479")</f>
        <v>70906479</v>
      </c>
      <c r="C943" s="3" t="str">
        <f>HYPERLINK("http://www.ncbi.nlm.nih.gov/protein/70906479","Camk2d")</f>
        <v>Camk2d</v>
      </c>
      <c r="E943" t="str">
        <f>HYPERLINK("J:\Depot - mpkCCD Fractions\Main Web Page\Web Pages_old\proteomic_fractions_linear_files/Yang_linear_img/70906479.jpg","show blot")</f>
        <v>show blot</v>
      </c>
      <c r="G943" t="s">
        <v>937</v>
      </c>
      <c r="I943" s="6">
        <v>5.7609034603816331</v>
      </c>
      <c r="K943" s="8"/>
    </row>
    <row r="944" spans="1:11" ht="15" x14ac:dyDescent="0.25">
      <c r="A944" s="3" t="str">
        <f>HYPERLINK("proteomic_fractions_linear_files/Yang_linear_img/75991700.jpg", "75991700")</f>
        <v>75991700</v>
      </c>
      <c r="C944" s="3" t="str">
        <f>HYPERLINK("http://www.ncbi.nlm.nih.gov/protein/75991700","Camk2g")</f>
        <v>Camk2g</v>
      </c>
      <c r="E944" t="str">
        <f>HYPERLINK("J:\Depot - mpkCCD Fractions\Main Web Page\Web Pages_old\proteomic_fractions_linear_files/Yang_linear_img/75991700.jpg","show blot")</f>
        <v>show blot</v>
      </c>
      <c r="G944" t="s">
        <v>938</v>
      </c>
      <c r="I944" s="6">
        <v>5.4877351090890478</v>
      </c>
      <c r="K944" s="8"/>
    </row>
    <row r="945" spans="1:11" ht="15" x14ac:dyDescent="0.25">
      <c r="A945" s="3" t="str">
        <f>HYPERLINK("proteomic_fractions_linear_files/Yang_linear_img/85362729.jpg", "85362729")</f>
        <v>85362729</v>
      </c>
      <c r="C945" s="3" t="str">
        <f>HYPERLINK("http://www.ncbi.nlm.nih.gov/protein/85362729","Camk2g")</f>
        <v>Camk2g</v>
      </c>
      <c r="E945" t="str">
        <f>HYPERLINK("J:\Depot - mpkCCD Fractions\Main Web Page\Web Pages_old\proteomic_fractions_linear_files/Yang_linear_img/85362729.jpg","show blot")</f>
        <v>show blot</v>
      </c>
      <c r="G945" t="s">
        <v>939</v>
      </c>
      <c r="I945" s="6">
        <v>5.4877351090890478</v>
      </c>
      <c r="K945" s="8"/>
    </row>
    <row r="946" spans="1:11" ht="15" x14ac:dyDescent="0.25">
      <c r="A946" s="3" t="str">
        <f>HYPERLINK("proteomic_fractions_linear_files/Yang_linear_img/85362742.jpg", "85362742")</f>
        <v>85362742</v>
      </c>
      <c r="C946" s="3" t="str">
        <f>HYPERLINK("http://www.ncbi.nlm.nih.gov/protein/85362742","Camk2g")</f>
        <v>Camk2g</v>
      </c>
      <c r="E946" t="str">
        <f>HYPERLINK("J:\Depot - mpkCCD Fractions\Main Web Page\Web Pages_old\proteomic_fractions_linear_files/Yang_linear_img/85362742.jpg","show blot")</f>
        <v>show blot</v>
      </c>
      <c r="G946" t="s">
        <v>940</v>
      </c>
      <c r="I946" s="6">
        <v>5.4877351090890478</v>
      </c>
      <c r="K946" s="8"/>
    </row>
    <row r="947" spans="1:11" ht="15" x14ac:dyDescent="0.25">
      <c r="A947" s="3" t="str">
        <f>HYPERLINK("proteomic_fractions_linear_files/Yang_linear_img/21703722.jpg", "21703722")</f>
        <v>21703722</v>
      </c>
      <c r="C947" s="3" t="str">
        <f>HYPERLINK("http://www.ncbi.nlm.nih.gov/protein/21703722","Camkk2")</f>
        <v>Camkk2</v>
      </c>
      <c r="E947" t="str">
        <f>HYPERLINK("J:\Depot - mpkCCD Fractions\Main Web Page\Web Pages_old\proteomic_fractions_linear_files/Yang_linear_img/21703722.jpg","show blot")</f>
        <v>show blot</v>
      </c>
      <c r="G947" t="s">
        <v>941</v>
      </c>
      <c r="I947" s="6">
        <v>4.0300264296880774</v>
      </c>
      <c r="K947" s="8"/>
    </row>
    <row r="948" spans="1:11" ht="15" x14ac:dyDescent="0.25">
      <c r="A948" s="3" t="str">
        <f>HYPERLINK("proteomic_fractions_linear_files/Yang_linear_img/314122344.jpg", "314122344")</f>
        <v>314122344</v>
      </c>
      <c r="C948" s="3" t="str">
        <f>HYPERLINK("http://www.ncbi.nlm.nih.gov/protein/314122344","Camkk2")</f>
        <v>Camkk2</v>
      </c>
      <c r="E948" t="str">
        <f>HYPERLINK("J:\Depot - mpkCCD Fractions\Main Web Page\Web Pages_old\proteomic_fractions_linear_files/Yang_linear_img/314122344.jpg","show blot")</f>
        <v>show blot</v>
      </c>
      <c r="G948" t="s">
        <v>942</v>
      </c>
      <c r="I948" s="6">
        <v>4.0300264296880774</v>
      </c>
      <c r="K948" s="8"/>
    </row>
    <row r="949" spans="1:11" ht="15" x14ac:dyDescent="0.25">
      <c r="A949" s="3" t="str">
        <f>HYPERLINK("proteomic_fractions_linear_files/Yang_linear_img/124249226.jpg", "124249226")</f>
        <v>124249226</v>
      </c>
      <c r="C949" s="3" t="str">
        <f>HYPERLINK("http://www.ncbi.nlm.nih.gov/protein/124249226","Camkmt")</f>
        <v>Camkmt</v>
      </c>
      <c r="E949" t="str">
        <f>HYPERLINK("J:\Depot - mpkCCD Fractions\Main Web Page\Web Pages_old\proteomic_fractions_linear_files/Yang_linear_img/124249226.jpg","show blot")</f>
        <v>show blot</v>
      </c>
      <c r="G949" t="s">
        <v>943</v>
      </c>
      <c r="I949" s="6">
        <v>3.4099433342268428</v>
      </c>
      <c r="K949" s="8"/>
    </row>
    <row r="950" spans="1:11" ht="15" x14ac:dyDescent="0.25">
      <c r="A950" s="3" t="str">
        <f>HYPERLINK("proteomic_fractions_linear_files/Yang_linear_img/226423895.jpg", "226423895")</f>
        <v>226423895</v>
      </c>
      <c r="C950" s="3" t="str">
        <f>HYPERLINK("http://www.ncbi.nlm.nih.gov/protein/226423895","Camp")</f>
        <v>Camp</v>
      </c>
      <c r="E950" t="str">
        <f>HYPERLINK("J:\Depot - mpkCCD Fractions\Main Web Page\Web Pages_old\proteomic_fractions_linear_files/Yang_linear_img/226423895.jpg","show blot")</f>
        <v>show blot</v>
      </c>
      <c r="G950" t="s">
        <v>944</v>
      </c>
      <c r="I950" s="6">
        <v>3.3263636926285729</v>
      </c>
      <c r="K950" s="8"/>
    </row>
    <row r="951" spans="1:11" ht="15" x14ac:dyDescent="0.25">
      <c r="A951" s="3" t="str">
        <f>HYPERLINK("proteomic_fractions_linear_files/Yang_linear_img/255069774.jpg", "255069774")</f>
        <v>255069774</v>
      </c>
      <c r="C951" s="3" t="str">
        <f>HYPERLINK("http://www.ncbi.nlm.nih.gov/protein/255069774","Camsap3")</f>
        <v>Camsap3</v>
      </c>
      <c r="E951" t="str">
        <f>HYPERLINK("J:\Depot - mpkCCD Fractions\Main Web Page\Web Pages_old\proteomic_fractions_linear_files/Yang_linear_img/255069774.jpg","show blot")</f>
        <v>show blot</v>
      </c>
      <c r="G951" t="s">
        <v>945</v>
      </c>
      <c r="I951" s="6">
        <v>2.5780541960496599</v>
      </c>
      <c r="K951" s="8"/>
    </row>
    <row r="952" spans="1:11" ht="15" x14ac:dyDescent="0.25">
      <c r="A952" s="3" t="str">
        <f>HYPERLINK("proteomic_fractions_linear_files/Yang_linear_img/255069776.jpg", "255069776")</f>
        <v>255069776</v>
      </c>
      <c r="C952" s="3" t="str">
        <f>HYPERLINK("http://www.ncbi.nlm.nih.gov/protein/255069776","Camsap3")</f>
        <v>Camsap3</v>
      </c>
      <c r="E952" t="str">
        <f>HYPERLINK("J:\Depot - mpkCCD Fractions\Main Web Page\Web Pages_old\proteomic_fractions_linear_files/Yang_linear_img/255069776.jpg","show blot")</f>
        <v>show blot</v>
      </c>
      <c r="G952" t="s">
        <v>946</v>
      </c>
      <c r="I952" s="6">
        <v>2.5780541960496599</v>
      </c>
      <c r="K952" s="8"/>
    </row>
    <row r="953" spans="1:11" ht="15" x14ac:dyDescent="0.25">
      <c r="A953" s="3" t="str">
        <f>HYPERLINK("proteomic_fractions_linear_files/Yang_linear_img/189409138.jpg", "189409138")</f>
        <v>189409138</v>
      </c>
      <c r="C953" s="3" t="str">
        <f>HYPERLINK("http://www.ncbi.nlm.nih.gov/protein/189409138","Cand1")</f>
        <v>Cand1</v>
      </c>
      <c r="E953" t="str">
        <f>HYPERLINK("J:\Depot - mpkCCD Fractions\Main Web Page\Web Pages_old\proteomic_fractions_linear_files/Yang_linear_img/189409138.jpg","show blot")</f>
        <v>show blot</v>
      </c>
      <c r="G953" t="s">
        <v>947</v>
      </c>
      <c r="I953" s="6">
        <v>6.0320975788279227</v>
      </c>
      <c r="K953" s="8"/>
    </row>
    <row r="954" spans="1:11" ht="15" x14ac:dyDescent="0.25">
      <c r="A954" s="3" t="str">
        <f>HYPERLINK("proteomic_fractions_linear_files/Yang_linear_img/254692880.jpg", "254692880")</f>
        <v>254692880</v>
      </c>
      <c r="C954" s="3" t="str">
        <f>HYPERLINK("http://www.ncbi.nlm.nih.gov/protein/254692880","Cand2")</f>
        <v>Cand2</v>
      </c>
      <c r="E954" t="str">
        <f>HYPERLINK("J:\Depot - mpkCCD Fractions\Main Web Page\Web Pages_old\proteomic_fractions_linear_files/Yang_linear_img/254692880.jpg","show blot")</f>
        <v>show blot</v>
      </c>
      <c r="G954" t="s">
        <v>948</v>
      </c>
      <c r="I954" s="6">
        <v>3.7871303192479857</v>
      </c>
      <c r="K954" s="8"/>
    </row>
    <row r="955" spans="1:11" ht="15" x14ac:dyDescent="0.25">
      <c r="A955" s="3" t="str">
        <f>HYPERLINK("proteomic_fractions_linear_files/Yang_linear_img/160333216;6671664.jpg", "160333216;6671664")</f>
        <v>160333216;6671664</v>
      </c>
      <c r="C955" s="3" t="str">
        <f>HYPERLINK("http://www.ncbi.nlm.nih.gov/protein/160333216;6671664","Canx")</f>
        <v>Canx</v>
      </c>
      <c r="E955" t="str">
        <f>HYPERLINK("J:\Depot - mpkCCD Fractions\Main Web Page\Web Pages_old\proteomic_fractions_linear_files/Yang_linear_img/160333216;6671664.jpg","show blot")</f>
        <v>show blot</v>
      </c>
      <c r="G955" t="s">
        <v>949</v>
      </c>
      <c r="I955" s="6">
        <v>6.1848075803031586</v>
      </c>
      <c r="K955" s="8"/>
    </row>
    <row r="956" spans="1:11" ht="15" x14ac:dyDescent="0.25">
      <c r="A956" s="3" t="str">
        <f>HYPERLINK("proteomic_fractions_linear_files/Yang_linear_img/6671664.jpg", "6671664")</f>
        <v>6671664</v>
      </c>
      <c r="C956" s="3" t="str">
        <f>HYPERLINK("http://www.ncbi.nlm.nih.gov/protein/6671664","Canx")</f>
        <v>Canx</v>
      </c>
      <c r="E956" t="str">
        <f>HYPERLINK("J:\Depot - mpkCCD Fractions\Main Web Page\Web Pages_old\proteomic_fractions_linear_files/Yang_linear_img/6671664.jpg","show blot")</f>
        <v>show blot</v>
      </c>
      <c r="G956" t="s">
        <v>949</v>
      </c>
      <c r="I956" s="6">
        <v>6.1848075803031586</v>
      </c>
      <c r="K956" s="8"/>
    </row>
    <row r="957" spans="1:11" ht="15" x14ac:dyDescent="0.25">
      <c r="A957" s="3" t="str">
        <f>HYPERLINK("proteomic_fractions_linear_files/Yang_linear_img/157951604.jpg", "157951604")</f>
        <v>157951604</v>
      </c>
      <c r="C957" s="3" t="str">
        <f>HYPERLINK("http://www.ncbi.nlm.nih.gov/protein/157951604","Cap1")</f>
        <v>Cap1</v>
      </c>
      <c r="E957" t="str">
        <f>HYPERLINK("J:\Depot - mpkCCD Fractions\Main Web Page\Web Pages_old\proteomic_fractions_linear_files/Yang_linear_img/157951604.jpg","show blot")</f>
        <v>show blot</v>
      </c>
      <c r="G957" t="s">
        <v>950</v>
      </c>
      <c r="I957" s="6">
        <v>6.1442151480051068</v>
      </c>
      <c r="K957" s="8"/>
    </row>
    <row r="958" spans="1:11" ht="15" x14ac:dyDescent="0.25">
      <c r="A958" s="3" t="str">
        <f>HYPERLINK("proteomic_fractions_linear_files/Yang_linear_img/110227379.jpg", "110227379")</f>
        <v>110227379</v>
      </c>
      <c r="C958" s="3" t="str">
        <f>HYPERLINK("http://www.ncbi.nlm.nih.gov/protein/110227379","Capg")</f>
        <v>Capg</v>
      </c>
      <c r="E958" t="str">
        <f>HYPERLINK("J:\Depot - mpkCCD Fractions\Main Web Page\Web Pages_old\proteomic_fractions_linear_files/Yang_linear_img/110227379.jpg","show blot")</f>
        <v>show blot</v>
      </c>
      <c r="G958" t="s">
        <v>951</v>
      </c>
      <c r="I958" s="6">
        <v>6.4678556639971818</v>
      </c>
      <c r="K958" s="8"/>
    </row>
    <row r="959" spans="1:11" ht="15" x14ac:dyDescent="0.25">
      <c r="A959" s="3" t="str">
        <f>HYPERLINK("proteomic_fractions_linear_files/Yang_linear_img/6671668.jpg", "6671668")</f>
        <v>6671668</v>
      </c>
      <c r="C959" s="3" t="str">
        <f>HYPERLINK("http://www.ncbi.nlm.nih.gov/protein/6671668","Capn1")</f>
        <v>Capn1</v>
      </c>
      <c r="E959" t="str">
        <f>HYPERLINK("J:\Depot - mpkCCD Fractions\Main Web Page\Web Pages_old\proteomic_fractions_linear_files/Yang_linear_img/6671668.jpg","show blot")</f>
        <v>show blot</v>
      </c>
      <c r="G959" t="s">
        <v>952</v>
      </c>
      <c r="I959" s="6">
        <v>6.0557769698454686</v>
      </c>
      <c r="K959" s="8"/>
    </row>
    <row r="960" spans="1:11" ht="15" x14ac:dyDescent="0.25">
      <c r="A960" s="3" t="str">
        <f>HYPERLINK("proteomic_fractions_linear_files/Yang_linear_img/7657601.jpg", "7657601")</f>
        <v>7657601</v>
      </c>
      <c r="C960" s="3" t="str">
        <f>HYPERLINK("http://www.ncbi.nlm.nih.gov/protein/7657601","Capn15")</f>
        <v>Capn15</v>
      </c>
      <c r="E960" t="str">
        <f>HYPERLINK("J:\Depot - mpkCCD Fractions\Main Web Page\Web Pages_old\proteomic_fractions_linear_files/Yang_linear_img/7657601.jpg","show blot")</f>
        <v>show blot</v>
      </c>
      <c r="G960" t="s">
        <v>953</v>
      </c>
      <c r="I960" s="6">
        <v>3.2886388822736365</v>
      </c>
      <c r="K960" s="8"/>
    </row>
    <row r="961" spans="1:11" ht="15" x14ac:dyDescent="0.25">
      <c r="A961" s="3" t="str">
        <f>HYPERLINK("proteomic_fractions_linear_files/Yang_linear_img/157951598.jpg", "157951598")</f>
        <v>157951598</v>
      </c>
      <c r="C961" s="3" t="str">
        <f>HYPERLINK("http://www.ncbi.nlm.nih.gov/protein/157951598","Capn2")</f>
        <v>Capn2</v>
      </c>
      <c r="E961" t="str">
        <f>HYPERLINK("J:\Depot - mpkCCD Fractions\Main Web Page\Web Pages_old\proteomic_fractions_linear_files/Yang_linear_img/157951598.jpg","show blot")</f>
        <v>show blot</v>
      </c>
      <c r="G961" t="s">
        <v>954</v>
      </c>
      <c r="I961" s="6">
        <v>5.4782609970865126</v>
      </c>
      <c r="K961" s="8"/>
    </row>
    <row r="962" spans="1:11" ht="15" x14ac:dyDescent="0.25">
      <c r="A962" s="3" t="str">
        <f>HYPERLINK("proteomic_fractions_linear_files/Yang_linear_img/6680846.jpg", "6680846")</f>
        <v>6680846</v>
      </c>
      <c r="C962" s="3" t="str">
        <f>HYPERLINK("http://www.ncbi.nlm.nih.gov/protein/6680846","Capn5")</f>
        <v>Capn5</v>
      </c>
      <c r="E962" t="str">
        <f>HYPERLINK("J:\Depot - mpkCCD Fractions\Main Web Page\Web Pages_old\proteomic_fractions_linear_files/Yang_linear_img/6680846.jpg","show blot")</f>
        <v>show blot</v>
      </c>
      <c r="G962" t="s">
        <v>955</v>
      </c>
      <c r="I962" s="6">
        <v>4.8697753282387177</v>
      </c>
      <c r="K962" s="8"/>
    </row>
    <row r="963" spans="1:11" ht="15" x14ac:dyDescent="0.25">
      <c r="A963" s="3" t="str">
        <f>HYPERLINK("proteomic_fractions_linear_files/Yang_linear_img/224809586.jpg", "224809586")</f>
        <v>224809586</v>
      </c>
      <c r="C963" s="3" t="str">
        <f>HYPERLINK("http://www.ncbi.nlm.nih.gov/protein/224809586","Capn8")</f>
        <v>Capn8</v>
      </c>
      <c r="E963" t="str">
        <f>HYPERLINK("J:\Depot - mpkCCD Fractions\Main Web Page\Web Pages_old\proteomic_fractions_linear_files/Yang_linear_img/224809586.jpg","show blot")</f>
        <v>show blot</v>
      </c>
      <c r="G963" t="s">
        <v>956</v>
      </c>
      <c r="I963" s="6">
        <v>4.3758090480724885</v>
      </c>
      <c r="K963" s="8"/>
    </row>
    <row r="964" spans="1:11" ht="15" x14ac:dyDescent="0.25">
      <c r="A964" s="3" t="str">
        <f>HYPERLINK("proteomic_fractions_linear_files/Yang_linear_img/110227381.jpg", "110227381")</f>
        <v>110227381</v>
      </c>
      <c r="C964" s="3" t="str">
        <f>HYPERLINK("http://www.ncbi.nlm.nih.gov/protein/110227381","Capns1")</f>
        <v>Capns1</v>
      </c>
      <c r="E964" t="str">
        <f>HYPERLINK("J:\Depot - mpkCCD Fractions\Main Web Page\Web Pages_old\proteomic_fractions_linear_files/Yang_linear_img/110227381.jpg","show blot")</f>
        <v>show blot</v>
      </c>
      <c r="G964" t="s">
        <v>957</v>
      </c>
      <c r="I964" s="6">
        <v>6.135040005914151</v>
      </c>
      <c r="K964" s="8"/>
    </row>
    <row r="965" spans="1:11" ht="15" x14ac:dyDescent="0.25">
      <c r="A965" s="3" t="str">
        <f>HYPERLINK("proteomic_fractions_linear_files/Yang_linear_img/254675215.jpg", "254675215")</f>
        <v>254675215</v>
      </c>
      <c r="C965" s="3" t="str">
        <f>HYPERLINK("http://www.ncbi.nlm.nih.gov/protein/254675215","Capns2")</f>
        <v>Capns2</v>
      </c>
      <c r="E965" t="str">
        <f>HYPERLINK("J:\Depot - mpkCCD Fractions\Main Web Page\Web Pages_old\proteomic_fractions_linear_files/Yang_linear_img/254675215.jpg","show blot")</f>
        <v>show blot</v>
      </c>
      <c r="G965" t="s">
        <v>958</v>
      </c>
      <c r="I965" s="6">
        <v>5.6951435844281084</v>
      </c>
      <c r="K965" s="8"/>
    </row>
    <row r="966" spans="1:11" ht="15" x14ac:dyDescent="0.25">
      <c r="A966" s="3" t="str">
        <f>HYPERLINK("proteomic_fractions_linear_files/Yang_linear_img/162329564;42558248.jpg", "162329564;42558248")</f>
        <v>162329564;42558248</v>
      </c>
      <c r="C966" s="3" t="str">
        <f>HYPERLINK("http://www.ncbi.nlm.nih.gov/protein/162329564;42558248","Caprin1")</f>
        <v>Caprin1</v>
      </c>
      <c r="E966" t="str">
        <f>HYPERLINK("J:\Depot - mpkCCD Fractions\Main Web Page\Web Pages_old\proteomic_fractions_linear_files/Yang_linear_img/162329564;42558248.jpg","show blot")</f>
        <v>show blot</v>
      </c>
      <c r="G966" t="s">
        <v>959</v>
      </c>
      <c r="I966" s="6">
        <v>6.0225358319854214</v>
      </c>
      <c r="K966" s="8"/>
    </row>
    <row r="967" spans="1:11" ht="15" x14ac:dyDescent="0.25">
      <c r="A967" s="3" t="str">
        <f>HYPERLINK("proteomic_fractions_linear_files/Yang_linear_img/42558248.jpg", "42558248")</f>
        <v>42558248</v>
      </c>
      <c r="C967" s="3" t="str">
        <f>HYPERLINK("http://www.ncbi.nlm.nih.gov/protein/42558248","Caprin1")</f>
        <v>Caprin1</v>
      </c>
      <c r="E967" t="str">
        <f>HYPERLINK("J:\Depot - mpkCCD Fractions\Main Web Page\Web Pages_old\proteomic_fractions_linear_files/Yang_linear_img/42558248.jpg","show blot")</f>
        <v>show blot</v>
      </c>
      <c r="G967" t="s">
        <v>959</v>
      </c>
      <c r="I967" s="6">
        <v>6.0225358319854214</v>
      </c>
      <c r="K967" s="8"/>
    </row>
    <row r="968" spans="1:11" ht="15" x14ac:dyDescent="0.25">
      <c r="A968" s="3" t="str">
        <f>HYPERLINK("proteomic_fractions_linear_files/Yang_linear_img/162329566.jpg", "162329566")</f>
        <v>162329566</v>
      </c>
      <c r="C968" s="3" t="str">
        <f>HYPERLINK("http://www.ncbi.nlm.nih.gov/protein/162329566","Caprin1")</f>
        <v>Caprin1</v>
      </c>
      <c r="E968" t="str">
        <f>HYPERLINK("J:\Depot - mpkCCD Fractions\Main Web Page\Web Pages_old\proteomic_fractions_linear_files/Yang_linear_img/162329566.jpg","show blot")</f>
        <v>show blot</v>
      </c>
      <c r="G968" t="s">
        <v>960</v>
      </c>
      <c r="I968" s="6">
        <v>6.0225358319854214</v>
      </c>
      <c r="K968" s="8"/>
    </row>
    <row r="969" spans="1:11" ht="15" x14ac:dyDescent="0.25">
      <c r="A969" s="3" t="str">
        <f>HYPERLINK("proteomic_fractions_linear_files/Yang_linear_img/162329568.jpg", "162329568")</f>
        <v>162329568</v>
      </c>
      <c r="C969" s="3" t="str">
        <f>HYPERLINK("http://www.ncbi.nlm.nih.gov/protein/162329568","Caprin1")</f>
        <v>Caprin1</v>
      </c>
      <c r="E969" t="str">
        <f>HYPERLINK("J:\Depot - mpkCCD Fractions\Main Web Page\Web Pages_old\proteomic_fractions_linear_files/Yang_linear_img/162329568.jpg","show blot")</f>
        <v>show blot</v>
      </c>
      <c r="G969" t="s">
        <v>961</v>
      </c>
      <c r="I969" s="6">
        <v>6.0225358319854214</v>
      </c>
      <c r="K969" s="8"/>
    </row>
    <row r="970" spans="1:11" ht="15" x14ac:dyDescent="0.25">
      <c r="A970" s="3" t="str">
        <f>HYPERLINK("proteomic_fractions_linear_files/Yang_linear_img/161086971.jpg", "161086971")</f>
        <v>161086971</v>
      </c>
      <c r="C970" s="3" t="str">
        <f>HYPERLINK("http://www.ncbi.nlm.nih.gov/protein/161086971","Capza1")</f>
        <v>Capza1</v>
      </c>
      <c r="E970" t="str">
        <f>HYPERLINK("J:\Depot - mpkCCD Fractions\Main Web Page\Web Pages_old\proteomic_fractions_linear_files/Yang_linear_img/161086971.jpg","show blot")</f>
        <v>show blot</v>
      </c>
      <c r="G970" t="s">
        <v>962</v>
      </c>
      <c r="I970" s="6">
        <v>6.0634178688717979</v>
      </c>
      <c r="K970" s="8"/>
    </row>
    <row r="971" spans="1:11" ht="15" x14ac:dyDescent="0.25">
      <c r="A971" s="3" t="str">
        <f>HYPERLINK("proteomic_fractions_linear_files/Yang_linear_img/6671672.jpg", "6671672")</f>
        <v>6671672</v>
      </c>
      <c r="C971" s="3" t="str">
        <f>HYPERLINK("http://www.ncbi.nlm.nih.gov/protein/6671672","Capza2")</f>
        <v>Capza2</v>
      </c>
      <c r="E971" t="str">
        <f>HYPERLINK("J:\Depot - mpkCCD Fractions\Main Web Page\Web Pages_old\proteomic_fractions_linear_files/Yang_linear_img/6671672.jpg","show blot")</f>
        <v>show blot</v>
      </c>
      <c r="G971" t="s">
        <v>963</v>
      </c>
      <c r="I971" s="6">
        <v>6.1062977637445206</v>
      </c>
      <c r="K971" s="8"/>
    </row>
    <row r="972" spans="1:11" ht="15" x14ac:dyDescent="0.25">
      <c r="A972" s="3" t="str">
        <f>HYPERLINK("proteomic_fractions_linear_files/Yang_linear_img/157951670.jpg", "157951670")</f>
        <v>157951670</v>
      </c>
      <c r="C972" s="3" t="str">
        <f>HYPERLINK("http://www.ncbi.nlm.nih.gov/protein/157951670","Capza3")</f>
        <v>Capza3</v>
      </c>
      <c r="E972" t="str">
        <f>HYPERLINK("J:\Depot - mpkCCD Fractions\Main Web Page\Web Pages_old\proteomic_fractions_linear_files/Yang_linear_img/157951670.jpg","show blot")</f>
        <v>show blot</v>
      </c>
      <c r="G972" t="s">
        <v>964</v>
      </c>
      <c r="I972" s="6">
        <v>3.1649473726218416</v>
      </c>
      <c r="K972" s="8"/>
    </row>
    <row r="973" spans="1:11" ht="15" x14ac:dyDescent="0.25">
      <c r="A973" s="3" t="str">
        <f>HYPERLINK("proteomic_fractions_linear_files/Yang_linear_img/407027854.jpg", "407027854")</f>
        <v>407027854</v>
      </c>
      <c r="C973" s="3" t="str">
        <f>HYPERLINK("http://www.ncbi.nlm.nih.gov/protein/407027854","Capzb")</f>
        <v>Capzb</v>
      </c>
      <c r="E973" t="str">
        <f>HYPERLINK("J:\Depot - mpkCCD Fractions\Main Web Page\Web Pages_old\proteomic_fractions_linear_files/Yang_linear_img/407027854.jpg","show blot")</f>
        <v>show blot</v>
      </c>
      <c r="G973" t="s">
        <v>965</v>
      </c>
      <c r="I973" s="6">
        <v>6.4161906081132623</v>
      </c>
      <c r="K973" s="8"/>
    </row>
    <row r="974" spans="1:11" ht="15" x14ac:dyDescent="0.25">
      <c r="A974" s="3" t="str">
        <f>HYPERLINK("proteomic_fractions_linear_files/Yang_linear_img/407027856.jpg", "407027856")</f>
        <v>407027856</v>
      </c>
      <c r="C974" s="3" t="str">
        <f>HYPERLINK("http://www.ncbi.nlm.nih.gov/protein/407027856","Capzb")</f>
        <v>Capzb</v>
      </c>
      <c r="E974" t="str">
        <f>HYPERLINK("J:\Depot - mpkCCD Fractions\Main Web Page\Web Pages_old\proteomic_fractions_linear_files/Yang_linear_img/407027856.jpg","show blot")</f>
        <v>show blot</v>
      </c>
      <c r="G974" t="s">
        <v>966</v>
      </c>
      <c r="I974" s="6">
        <v>6.4161906081132623</v>
      </c>
      <c r="K974" s="8"/>
    </row>
    <row r="975" spans="1:11" ht="15" x14ac:dyDescent="0.25">
      <c r="A975" s="3" t="str">
        <f>HYPERLINK("proteomic_fractions_linear_files/Yang_linear_img/6753262.jpg", "6753262")</f>
        <v>6753262</v>
      </c>
      <c r="C975" s="3" t="str">
        <f>HYPERLINK("http://www.ncbi.nlm.nih.gov/protein/6753262","Capzb")</f>
        <v>Capzb</v>
      </c>
      <c r="E975" t="str">
        <f>HYPERLINK("J:\Depot - mpkCCD Fractions\Main Web Page\Web Pages_old\proteomic_fractions_linear_files/Yang_linear_img/6753262.jpg","show blot")</f>
        <v>show blot</v>
      </c>
      <c r="G975" t="s">
        <v>967</v>
      </c>
      <c r="I975" s="6">
        <v>6.4161906081132623</v>
      </c>
      <c r="K975" s="8"/>
    </row>
    <row r="976" spans="1:11" ht="15" x14ac:dyDescent="0.25">
      <c r="A976" s="3" t="str">
        <f>HYPERLINK("proteomic_fractions_linear_files/Yang_linear_img/83649737.jpg", "83649737")</f>
        <v>83649737</v>
      </c>
      <c r="C976" s="3" t="str">
        <f>HYPERLINK("http://www.ncbi.nlm.nih.gov/protein/83649737","Capzb")</f>
        <v>Capzb</v>
      </c>
      <c r="E976" t="str">
        <f>HYPERLINK("J:\Depot - mpkCCD Fractions\Main Web Page\Web Pages_old\proteomic_fractions_linear_files/Yang_linear_img/83649737.jpg","show blot")</f>
        <v>show blot</v>
      </c>
      <c r="G976" t="s">
        <v>968</v>
      </c>
      <c r="I976" s="6">
        <v>6.4161906081132623</v>
      </c>
      <c r="K976" s="8"/>
    </row>
    <row r="977" spans="1:11" ht="15" x14ac:dyDescent="0.25">
      <c r="A977" s="3" t="str">
        <f>HYPERLINK("proteomic_fractions_linear_files/Yang_linear_img/157951596.jpg", "157951596")</f>
        <v>157951596</v>
      </c>
      <c r="C977" s="3" t="str">
        <f>HYPERLINK("http://www.ncbi.nlm.nih.gov/protein/157951596","Car2")</f>
        <v>Car2</v>
      </c>
      <c r="E977" t="str">
        <f>HYPERLINK("J:\Depot - mpkCCD Fractions\Main Web Page\Web Pages_old\proteomic_fractions_linear_files/Yang_linear_img/157951596.jpg","show blot")</f>
        <v>show blot</v>
      </c>
      <c r="G977" t="s">
        <v>969</v>
      </c>
      <c r="I977" s="6">
        <v>6.0549684873889165</v>
      </c>
      <c r="K977" s="8"/>
    </row>
    <row r="978" spans="1:11" ht="15" x14ac:dyDescent="0.25">
      <c r="A978" s="3" t="str">
        <f>HYPERLINK("proteomic_fractions_linear_files/Yang_linear_img/211057396.jpg", "211057396")</f>
        <v>211057396</v>
      </c>
      <c r="C978" s="3" t="str">
        <f>HYPERLINK("http://www.ncbi.nlm.nih.gov/protein/211057396","Car5b")</f>
        <v>Car5b</v>
      </c>
      <c r="E978" t="str">
        <f>HYPERLINK("J:\Depot - mpkCCD Fractions\Main Web Page\Web Pages_old\proteomic_fractions_linear_files/Yang_linear_img/211057396.jpg","show blot")</f>
        <v>show blot</v>
      </c>
      <c r="G978" t="s">
        <v>970</v>
      </c>
      <c r="I978" s="6">
        <v>4.8249249005336514</v>
      </c>
      <c r="K978" s="8"/>
    </row>
    <row r="979" spans="1:11" ht="15" x14ac:dyDescent="0.25">
      <c r="A979" s="3" t="str">
        <f>HYPERLINK("proteomic_fractions_linear_files/Yang_linear_img/13385290.jpg", "13385290")</f>
        <v>13385290</v>
      </c>
      <c r="C979" s="3" t="str">
        <f>HYPERLINK("http://www.ncbi.nlm.nih.gov/protein/13385290","Carhsp1")</f>
        <v>Carhsp1</v>
      </c>
      <c r="E979" t="str">
        <f>HYPERLINK("J:\Depot - mpkCCD Fractions\Main Web Page\Web Pages_old\proteomic_fractions_linear_files/Yang_linear_img/13385290.jpg","show blot")</f>
        <v>show blot</v>
      </c>
      <c r="G979" t="s">
        <v>971</v>
      </c>
      <c r="I979" s="6">
        <v>4.9163030085949186</v>
      </c>
      <c r="K979" s="8"/>
    </row>
    <row r="980" spans="1:11" ht="15" x14ac:dyDescent="0.25">
      <c r="A980" s="3" t="str">
        <f>HYPERLINK("proteomic_fractions_linear_files/Yang_linear_img/298676450.jpg", "298676450")</f>
        <v>298676450</v>
      </c>
      <c r="C980" s="3" t="str">
        <f>HYPERLINK("http://www.ncbi.nlm.nih.gov/protein/298676450","Carkd")</f>
        <v>Carkd</v>
      </c>
      <c r="E980" t="str">
        <f>HYPERLINK("J:\Depot - mpkCCD Fractions\Main Web Page\Web Pages_old\proteomic_fractions_linear_files/Yang_linear_img/298676450.jpg","show blot")</f>
        <v>show blot</v>
      </c>
      <c r="G980" t="s">
        <v>972</v>
      </c>
      <c r="I980" s="6">
        <v>5.141577213583254</v>
      </c>
      <c r="K980" s="8"/>
    </row>
    <row r="981" spans="1:11" ht="15" x14ac:dyDescent="0.25">
      <c r="A981" s="3" t="str">
        <f>HYPERLINK("proteomic_fractions_linear_files/Yang_linear_img/298676452.jpg", "298676452")</f>
        <v>298676452</v>
      </c>
      <c r="C981" s="3" t="str">
        <f>HYPERLINK("http://www.ncbi.nlm.nih.gov/protein/298676452","Carkd")</f>
        <v>Carkd</v>
      </c>
      <c r="E981" t="str">
        <f>HYPERLINK("J:\Depot - mpkCCD Fractions\Main Web Page\Web Pages_old\proteomic_fractions_linear_files/Yang_linear_img/298676452.jpg","show blot")</f>
        <v>show blot</v>
      </c>
      <c r="G981" t="s">
        <v>973</v>
      </c>
      <c r="I981" s="6">
        <v>5.141577213583254</v>
      </c>
      <c r="K981" s="8"/>
    </row>
    <row r="982" spans="1:11" ht="15" x14ac:dyDescent="0.25">
      <c r="A982" s="3" t="str">
        <f>HYPERLINK("proteomic_fractions_linear_files/Yang_linear_img/189409145.jpg", "189409145")</f>
        <v>189409145</v>
      </c>
      <c r="C982" s="3" t="str">
        <f>HYPERLINK("http://www.ncbi.nlm.nih.gov/protein/189409145","Carm1")</f>
        <v>Carm1</v>
      </c>
      <c r="E982" t="str">
        <f>HYPERLINK("J:\Depot - mpkCCD Fractions\Main Web Page\Web Pages_old\proteomic_fractions_linear_files/Yang_linear_img/189409145.jpg","show blot")</f>
        <v>show blot</v>
      </c>
      <c r="G982" t="s">
        <v>974</v>
      </c>
      <c r="I982" s="6">
        <v>4.0956868554976866</v>
      </c>
      <c r="K982" s="8"/>
    </row>
    <row r="983" spans="1:11" ht="15" x14ac:dyDescent="0.25">
      <c r="A983" s="3" t="str">
        <f>HYPERLINK("proteomic_fractions_linear_files/Yang_linear_img/50511310.jpg", "50511310")</f>
        <v>50511310</v>
      </c>
      <c r="C983" s="3" t="str">
        <f>HYPERLINK("http://www.ncbi.nlm.nih.gov/protein/50511310","Carm1")</f>
        <v>Carm1</v>
      </c>
      <c r="E983" t="str">
        <f>HYPERLINK("J:\Depot - mpkCCD Fractions\Main Web Page\Web Pages_old\proteomic_fractions_linear_files/Yang_linear_img/50511310.jpg","show blot")</f>
        <v>show blot</v>
      </c>
      <c r="G983" t="s">
        <v>975</v>
      </c>
      <c r="I983" s="6">
        <v>4.0956868554976866</v>
      </c>
      <c r="K983" s="8"/>
    </row>
    <row r="984" spans="1:11" ht="15" x14ac:dyDescent="0.25">
      <c r="A984" s="3" t="str">
        <f>HYPERLINK("proteomic_fractions_linear_files/Yang_linear_img/148747198.jpg", "148747198")</f>
        <v>148747198</v>
      </c>
      <c r="C984" s="3" t="str">
        <f>HYPERLINK("http://www.ncbi.nlm.nih.gov/protein/148747198","Cars")</f>
        <v>Cars</v>
      </c>
      <c r="E984" t="str">
        <f>HYPERLINK("J:\Depot - mpkCCD Fractions\Main Web Page\Web Pages_old\proteomic_fractions_linear_files/Yang_linear_img/148747198.jpg","show blot")</f>
        <v>show blot</v>
      </c>
      <c r="G984" t="s">
        <v>976</v>
      </c>
      <c r="I984" s="6">
        <v>4.9939419023819491</v>
      </c>
      <c r="K984" s="8"/>
    </row>
    <row r="985" spans="1:11" ht="15" x14ac:dyDescent="0.25">
      <c r="A985" s="3" t="str">
        <f>HYPERLINK("proteomic_fractions_linear_files/Yang_linear_img/357588502.jpg", "357588502")</f>
        <v>357588502</v>
      </c>
      <c r="C985" s="3" t="str">
        <f>HYPERLINK("http://www.ncbi.nlm.nih.gov/protein/357588502","Cars")</f>
        <v>Cars</v>
      </c>
      <c r="E985" t="str">
        <f>HYPERLINK("J:\Depot - mpkCCD Fractions\Main Web Page\Web Pages_old\proteomic_fractions_linear_files/Yang_linear_img/357588502.jpg","show blot")</f>
        <v>show blot</v>
      </c>
      <c r="G985" t="s">
        <v>977</v>
      </c>
      <c r="I985" s="6">
        <v>4.9939419023819491</v>
      </c>
      <c r="K985" s="8"/>
    </row>
    <row r="986" spans="1:11" ht="15" x14ac:dyDescent="0.25">
      <c r="A986" s="3" t="str">
        <f>HYPERLINK("proteomic_fractions_linear_files/Yang_linear_img/282721112.jpg", "282721112")</f>
        <v>282721112</v>
      </c>
      <c r="C986" s="3" t="str">
        <f>HYPERLINK("http://www.ncbi.nlm.nih.gov/protein/282721112","Casc1")</f>
        <v>Casc1</v>
      </c>
      <c r="E986" t="str">
        <f>HYPERLINK("J:\Depot - mpkCCD Fractions\Main Web Page\Web Pages_old\proteomic_fractions_linear_files/Yang_linear_img/282721112.jpg","show blot")</f>
        <v>show blot</v>
      </c>
      <c r="G986" t="s">
        <v>978</v>
      </c>
      <c r="I986" s="6">
        <v>3.7363375536312073</v>
      </c>
      <c r="K986" s="8"/>
    </row>
    <row r="987" spans="1:11" ht="15" x14ac:dyDescent="0.25">
      <c r="A987" s="3" t="str">
        <f>HYPERLINK("proteomic_fractions_linear_files/Yang_linear_img/133504495.jpg", "133504495")</f>
        <v>133504495</v>
      </c>
      <c r="C987" s="3" t="str">
        <f>HYPERLINK("http://www.ncbi.nlm.nih.gov/protein/133504495","Cask")</f>
        <v>Cask</v>
      </c>
      <c r="E987" t="str">
        <f>HYPERLINK("J:\Depot - mpkCCD Fractions\Main Web Page\Web Pages_old\proteomic_fractions_linear_files/Yang_linear_img/133504495.jpg","show blot")</f>
        <v>show blot</v>
      </c>
      <c r="G987" t="s">
        <v>979</v>
      </c>
      <c r="I987" s="6">
        <v>4.3516466921582584</v>
      </c>
      <c r="K987" s="8"/>
    </row>
    <row r="988" spans="1:11" ht="15" x14ac:dyDescent="0.25">
      <c r="A988" s="3" t="str">
        <f>HYPERLINK("proteomic_fractions_linear_files/Yang_linear_img/31981530.jpg", "31981530")</f>
        <v>31981530</v>
      </c>
      <c r="C988" s="3" t="str">
        <f>HYPERLINK("http://www.ncbi.nlm.nih.gov/protein/31981530","Caskin2")</f>
        <v>Caskin2</v>
      </c>
      <c r="E988" t="str">
        <f>HYPERLINK("J:\Depot - mpkCCD Fractions\Main Web Page\Web Pages_old\proteomic_fractions_linear_files/Yang_linear_img/31981530.jpg","show blot")</f>
        <v>show blot</v>
      </c>
      <c r="G988" t="s">
        <v>980</v>
      </c>
      <c r="I988" s="6">
        <v>0.37476277463788654</v>
      </c>
      <c r="K988" s="8"/>
    </row>
    <row r="989" spans="1:11" ht="15" x14ac:dyDescent="0.25">
      <c r="A989" s="3" t="str">
        <f>HYPERLINK("proteomic_fractions_linear_files/Yang_linear_img/6753280.jpg", "6753280")</f>
        <v>6753280</v>
      </c>
      <c r="C989" s="3" t="str">
        <f>HYPERLINK("http://www.ncbi.nlm.nih.gov/protein/6753280","Casp14")</f>
        <v>Casp14</v>
      </c>
      <c r="E989" t="str">
        <f>HYPERLINK("J:\Depot - mpkCCD Fractions\Main Web Page\Web Pages_old\proteomic_fractions_linear_files/Yang_linear_img/6753280.jpg","show blot")</f>
        <v>show blot</v>
      </c>
      <c r="G989" t="s">
        <v>981</v>
      </c>
      <c r="I989" s="6">
        <v>4.5884038216469341</v>
      </c>
      <c r="K989" s="8"/>
    </row>
    <row r="990" spans="1:11" ht="15" x14ac:dyDescent="0.25">
      <c r="A990" s="3" t="str">
        <f>HYPERLINK("proteomic_fractions_linear_files/Yang_linear_img/6680848.jpg", "6680848")</f>
        <v>6680848</v>
      </c>
      <c r="C990" s="3" t="str">
        <f>HYPERLINK("http://www.ncbi.nlm.nih.gov/protein/6680848","Casp2")</f>
        <v>Casp2</v>
      </c>
      <c r="E990" t="str">
        <f>HYPERLINK("J:\Depot - mpkCCD Fractions\Main Web Page\Web Pages_old\proteomic_fractions_linear_files/Yang_linear_img/6680848.jpg","show blot")</f>
        <v>show blot</v>
      </c>
      <c r="G990" t="s">
        <v>982</v>
      </c>
      <c r="I990" s="6">
        <v>3.9893906129260825</v>
      </c>
      <c r="K990" s="8"/>
    </row>
    <row r="991" spans="1:11" ht="15" x14ac:dyDescent="0.25">
      <c r="A991" s="3" t="str">
        <f>HYPERLINK("proteomic_fractions_linear_files/Yang_linear_img/6753284.jpg", "6753284")</f>
        <v>6753284</v>
      </c>
      <c r="C991" s="3" t="str">
        <f>HYPERLINK("http://www.ncbi.nlm.nih.gov/protein/6753284","Casp3")</f>
        <v>Casp3</v>
      </c>
      <c r="E991" t="str">
        <f>HYPERLINK("J:\Depot - mpkCCD Fractions\Main Web Page\Web Pages_old\proteomic_fractions_linear_files/Yang_linear_img/6753284.jpg","show blot")</f>
        <v>show blot</v>
      </c>
      <c r="G991" t="s">
        <v>983</v>
      </c>
      <c r="I991" s="6">
        <v>5.7074985669386251</v>
      </c>
      <c r="K991" s="8"/>
    </row>
    <row r="992" spans="1:11" ht="15" x14ac:dyDescent="0.25">
      <c r="A992" s="3" t="str">
        <f>HYPERLINK("proteomic_fractions_linear_files/Yang_linear_img/157951736.jpg", "157951736")</f>
        <v>157951736</v>
      </c>
      <c r="C992" s="3" t="str">
        <f>HYPERLINK("http://www.ncbi.nlm.nih.gov/protein/157951736","Casp6")</f>
        <v>Casp6</v>
      </c>
      <c r="E992" t="str">
        <f>HYPERLINK("J:\Depot - mpkCCD Fractions\Main Web Page\Web Pages_old\proteomic_fractions_linear_files/Yang_linear_img/157951736.jpg","show blot")</f>
        <v>show blot</v>
      </c>
      <c r="G992" t="s">
        <v>984</v>
      </c>
      <c r="I992" s="6">
        <v>5.1992066372967027</v>
      </c>
      <c r="K992" s="8"/>
    </row>
    <row r="993" spans="1:11" ht="15" x14ac:dyDescent="0.25">
      <c r="A993" s="3" t="str">
        <f>HYPERLINK("proteomic_fractions_linear_files/Yang_linear_img/6680850.jpg", "6680850")</f>
        <v>6680850</v>
      </c>
      <c r="C993" s="3" t="str">
        <f>HYPERLINK("http://www.ncbi.nlm.nih.gov/protein/6680850","Casp7")</f>
        <v>Casp7</v>
      </c>
      <c r="E993" t="str">
        <f>HYPERLINK("J:\Depot - mpkCCD Fractions\Main Web Page\Web Pages_old\proteomic_fractions_linear_files/Yang_linear_img/6680850.jpg","show blot")</f>
        <v>show blot</v>
      </c>
      <c r="G993" t="s">
        <v>985</v>
      </c>
      <c r="I993" s="6">
        <v>4.7428490887893568</v>
      </c>
      <c r="K993" s="8"/>
    </row>
    <row r="994" spans="1:11" ht="15" x14ac:dyDescent="0.25">
      <c r="A994" s="3" t="str">
        <f>HYPERLINK("proteomic_fractions_linear_files/Yang_linear_img/33859520.jpg", "33859520")</f>
        <v>33859520</v>
      </c>
      <c r="C994" s="3" t="str">
        <f>HYPERLINK("http://www.ncbi.nlm.nih.gov/protein/33859520","Casp8")</f>
        <v>Casp8</v>
      </c>
      <c r="E994" t="str">
        <f>HYPERLINK("J:\Depot - mpkCCD Fractions\Main Web Page\Web Pages_old\proteomic_fractions_linear_files/Yang_linear_img/33859520.jpg","show blot")</f>
        <v>show blot</v>
      </c>
      <c r="G994" t="s">
        <v>986</v>
      </c>
      <c r="I994" s="6">
        <v>5.4898948022759031</v>
      </c>
      <c r="K994" s="8"/>
    </row>
    <row r="995" spans="1:11" ht="15" x14ac:dyDescent="0.25">
      <c r="A995" s="3" t="str">
        <f>HYPERLINK("proteomic_fractions_linear_files/Yang_linear_img/31560479.jpg", "31560479")</f>
        <v>31560479</v>
      </c>
      <c r="C995" s="3" t="str">
        <f>HYPERLINK("http://www.ncbi.nlm.nih.gov/protein/31560479","Casp9")</f>
        <v>Casp9</v>
      </c>
      <c r="E995" t="str">
        <f>HYPERLINK("J:\Depot - mpkCCD Fractions\Main Web Page\Web Pages_old\proteomic_fractions_linear_files/Yang_linear_img/31560479.jpg","show blot")</f>
        <v>show blot</v>
      </c>
      <c r="G995" t="s">
        <v>987</v>
      </c>
      <c r="I995" s="6">
        <v>4.2145694801421083</v>
      </c>
      <c r="K995" s="8"/>
    </row>
    <row r="996" spans="1:11" ht="15" x14ac:dyDescent="0.25">
      <c r="A996" s="3" t="str">
        <f>HYPERLINK("proteomic_fractions_linear_files/Yang_linear_img/33563246.jpg", "33563246")</f>
        <v>33563246</v>
      </c>
      <c r="C996" s="3" t="str">
        <f>HYPERLINK("http://www.ncbi.nlm.nih.gov/protein/33563246","Cast")</f>
        <v>Cast</v>
      </c>
      <c r="E996" t="str">
        <f>HYPERLINK("J:\Depot - mpkCCD Fractions\Main Web Page\Web Pages_old\proteomic_fractions_linear_files/Yang_linear_img/33563246.jpg","show blot")</f>
        <v>show blot</v>
      </c>
      <c r="G996" t="s">
        <v>988</v>
      </c>
      <c r="I996" s="6">
        <v>4.1833968523918941</v>
      </c>
      <c r="K996" s="8"/>
    </row>
    <row r="997" spans="1:11" ht="15" x14ac:dyDescent="0.25">
      <c r="A997" s="3" t="str">
        <f>HYPERLINK("proteomic_fractions_linear_files/Yang_linear_img/157951741.jpg", "157951741")</f>
        <v>157951741</v>
      </c>
      <c r="C997" s="3" t="str">
        <f>HYPERLINK("http://www.ncbi.nlm.nih.gov/protein/157951741","Cat")</f>
        <v>Cat</v>
      </c>
      <c r="E997" t="str">
        <f>HYPERLINK("J:\Depot - mpkCCD Fractions\Main Web Page\Web Pages_old\proteomic_fractions_linear_files/Yang_linear_img/157951741.jpg","show blot")</f>
        <v>show blot</v>
      </c>
      <c r="G997" t="s">
        <v>989</v>
      </c>
      <c r="I997" s="6">
        <v>5.5402494901261097</v>
      </c>
      <c r="K997" s="8"/>
    </row>
    <row r="998" spans="1:11" ht="15" x14ac:dyDescent="0.25">
      <c r="A998" s="3" t="str">
        <f>HYPERLINK("proteomic_fractions_linear_files/Yang_linear_img/340139110.jpg", "340139110")</f>
        <v>340139110</v>
      </c>
      <c r="C998" s="3" t="str">
        <f>HYPERLINK("http://www.ncbi.nlm.nih.gov/protein/340139110","Cav1")</f>
        <v>Cav1</v>
      </c>
      <c r="E998" t="str">
        <f>HYPERLINK("J:\Depot - mpkCCD Fractions\Main Web Page\Web Pages_old\proteomic_fractions_linear_files/Yang_linear_img/340139110.jpg","show blot")</f>
        <v>show blot</v>
      </c>
      <c r="G998" t="s">
        <v>990</v>
      </c>
      <c r="I998" s="6">
        <v>2.7863292830280706</v>
      </c>
      <c r="K998" s="8"/>
    </row>
    <row r="999" spans="1:11" ht="15" x14ac:dyDescent="0.25">
      <c r="A999" s="3" t="str">
        <f>HYPERLINK("proteomic_fractions_linear_files/Yang_linear_img/6680854.jpg", "6680854")</f>
        <v>6680854</v>
      </c>
      <c r="C999" s="3" t="str">
        <f>HYPERLINK("http://www.ncbi.nlm.nih.gov/protein/6680854","Cav1")</f>
        <v>Cav1</v>
      </c>
      <c r="E999" t="str">
        <f>HYPERLINK("J:\Depot - mpkCCD Fractions\Main Web Page\Web Pages_old\proteomic_fractions_linear_files/Yang_linear_img/6680854.jpg","show blot")</f>
        <v>show blot</v>
      </c>
      <c r="G999" t="s">
        <v>991</v>
      </c>
      <c r="I999" s="6">
        <v>2.7863292830280706</v>
      </c>
      <c r="K999" s="8"/>
    </row>
    <row r="1000" spans="1:11" ht="15" x14ac:dyDescent="0.25">
      <c r="A1000" s="3" t="str">
        <f>HYPERLINK("proteomic_fractions_linear_files/Yang_linear_img/18702317.jpg", "18702317")</f>
        <v>18702317</v>
      </c>
      <c r="C1000" s="3" t="str">
        <f>HYPERLINK("http://www.ncbi.nlm.nih.gov/protein/18702317","Cav2")</f>
        <v>Cav2</v>
      </c>
      <c r="E1000" t="str">
        <f>HYPERLINK("J:\Depot - mpkCCD Fractions\Main Web Page\Web Pages_old\proteomic_fractions_linear_files/Yang_linear_img/18702317.jpg","show blot")</f>
        <v>show blot</v>
      </c>
      <c r="G1000" t="s">
        <v>992</v>
      </c>
      <c r="I1000" s="6">
        <v>2.7393119149083431</v>
      </c>
      <c r="K1000" s="8"/>
    </row>
    <row r="1001" spans="1:11" ht="15" x14ac:dyDescent="0.25">
      <c r="A1001" s="3" t="str">
        <f>HYPERLINK("proteomic_fractions_linear_files/Yang_linear_img/238814335.jpg", "238814335")</f>
        <v>238814335</v>
      </c>
      <c r="C1001" s="3" t="str">
        <f>HYPERLINK("http://www.ncbi.nlm.nih.gov/protein/238814335","Cbfb")</f>
        <v>Cbfb</v>
      </c>
      <c r="E1001" t="str">
        <f>HYPERLINK("J:\Depot - mpkCCD Fractions\Main Web Page\Web Pages_old\proteomic_fractions_linear_files/Yang_linear_img/238814335.jpg","show blot")</f>
        <v>show blot</v>
      </c>
      <c r="G1001" t="s">
        <v>993</v>
      </c>
      <c r="I1001" s="6">
        <v>5.3952901414073642</v>
      </c>
      <c r="K1001" s="8"/>
    </row>
    <row r="1002" spans="1:11" ht="15" x14ac:dyDescent="0.25">
      <c r="A1002" s="3" t="str">
        <f>HYPERLINK("proteomic_fractions_linear_files/Yang_linear_img/238814331.jpg", "238814331")</f>
        <v>238814331</v>
      </c>
      <c r="C1002" s="3" t="str">
        <f>HYPERLINK("http://www.ncbi.nlm.nih.gov/protein/238814331","Cbfb")</f>
        <v>Cbfb</v>
      </c>
      <c r="E1002" t="str">
        <f>HYPERLINK("J:\Depot - mpkCCD Fractions\Main Web Page\Web Pages_old\proteomic_fractions_linear_files/Yang_linear_img/238814331.jpg","show blot")</f>
        <v>show blot</v>
      </c>
      <c r="G1002" t="s">
        <v>994</v>
      </c>
      <c r="I1002" s="6">
        <v>5.3952901414073642</v>
      </c>
      <c r="K1002" s="8"/>
    </row>
    <row r="1003" spans="1:11" ht="15" x14ac:dyDescent="0.25">
      <c r="A1003" s="3" t="str">
        <f>HYPERLINK("proteomic_fractions_linear_files/Yang_linear_img/238814333.jpg", "238814333")</f>
        <v>238814333</v>
      </c>
      <c r="C1003" s="3" t="str">
        <f>HYPERLINK("http://www.ncbi.nlm.nih.gov/protein/238814333","Cbfb")</f>
        <v>Cbfb</v>
      </c>
      <c r="E1003" t="str">
        <f>HYPERLINK("J:\Depot - mpkCCD Fractions\Main Web Page\Web Pages_old\proteomic_fractions_linear_files/Yang_linear_img/238814333.jpg","show blot")</f>
        <v>show blot</v>
      </c>
      <c r="G1003" t="s">
        <v>995</v>
      </c>
      <c r="I1003" s="6">
        <v>5.3952901414073642</v>
      </c>
      <c r="K1003" s="8"/>
    </row>
    <row r="1004" spans="1:11" ht="15" x14ac:dyDescent="0.25">
      <c r="A1004" s="3" t="str">
        <f>HYPERLINK("proteomic_fractions_linear_files/Yang_linear_img/238814337.jpg", "238814337")</f>
        <v>238814337</v>
      </c>
      <c r="C1004" s="3" t="str">
        <f>HYPERLINK("http://www.ncbi.nlm.nih.gov/protein/238814337","Cbfb")</f>
        <v>Cbfb</v>
      </c>
      <c r="E1004" t="str">
        <f>HYPERLINK("J:\Depot - mpkCCD Fractions\Main Web Page\Web Pages_old\proteomic_fractions_linear_files/Yang_linear_img/238814337.jpg","show blot")</f>
        <v>show blot</v>
      </c>
      <c r="G1004" t="s">
        <v>996</v>
      </c>
      <c r="I1004" s="6">
        <v>5.3952901414073642</v>
      </c>
      <c r="K1004" s="8"/>
    </row>
    <row r="1005" spans="1:11" ht="15" x14ac:dyDescent="0.25">
      <c r="A1005" s="3" t="str">
        <f>HYPERLINK("proteomic_fractions_linear_files/Yang_linear_img/80978932.jpg", "80978932")</f>
        <v>80978932</v>
      </c>
      <c r="C1005" s="3" t="str">
        <f>HYPERLINK("http://www.ncbi.nlm.nih.gov/protein/80978932","Cbl")</f>
        <v>Cbl</v>
      </c>
      <c r="E1005" t="str">
        <f>HYPERLINK("J:\Depot - mpkCCD Fractions\Main Web Page\Web Pages_old\proteomic_fractions_linear_files/Yang_linear_img/80978932.jpg","show blot")</f>
        <v>show blot</v>
      </c>
      <c r="G1005" t="s">
        <v>997</v>
      </c>
      <c r="I1005" s="6">
        <v>3.8944465425691046</v>
      </c>
      <c r="K1005" s="8"/>
    </row>
    <row r="1006" spans="1:11" ht="15" x14ac:dyDescent="0.25">
      <c r="A1006" s="3" t="str">
        <f>HYPERLINK("proteomic_fractions_linear_files/Yang_linear_img/113680352.jpg", "113680352")</f>
        <v>113680352</v>
      </c>
      <c r="C1006" s="3" t="str">
        <f>HYPERLINK("http://www.ncbi.nlm.nih.gov/protein/113680352","Cbr1")</f>
        <v>Cbr1</v>
      </c>
      <c r="E1006" t="str">
        <f>HYPERLINK("J:\Depot - mpkCCD Fractions\Main Web Page\Web Pages_old\proteomic_fractions_linear_files/Yang_linear_img/113680352.jpg","show blot")</f>
        <v>show blot</v>
      </c>
      <c r="G1006" t="s">
        <v>998</v>
      </c>
      <c r="I1006" s="6">
        <v>5.9358889766638958</v>
      </c>
      <c r="K1006" s="8"/>
    </row>
    <row r="1007" spans="1:11" ht="15" x14ac:dyDescent="0.25">
      <c r="A1007" s="3" t="str">
        <f>HYPERLINK("proteomic_fractions_linear_files/Yang_linear_img/6671688.jpg", "6671688")</f>
        <v>6671688</v>
      </c>
      <c r="C1007" s="3" t="str">
        <f>HYPERLINK("http://www.ncbi.nlm.nih.gov/protein/6671688","Cbr2")</f>
        <v>Cbr2</v>
      </c>
      <c r="E1007" t="str">
        <f>HYPERLINK("J:\Depot - mpkCCD Fractions\Main Web Page\Web Pages_old\proteomic_fractions_linear_files/Yang_linear_img/6671688.jpg","show blot")</f>
        <v>show blot</v>
      </c>
      <c r="G1007" t="s">
        <v>999</v>
      </c>
      <c r="I1007" s="6">
        <v>5.7452189463369567</v>
      </c>
      <c r="K1007" s="8"/>
    </row>
    <row r="1008" spans="1:11" ht="15" x14ac:dyDescent="0.25">
      <c r="A1008" s="3" t="str">
        <f>HYPERLINK("proteomic_fractions_linear_files/Yang_linear_img/27413160.jpg", "27413160")</f>
        <v>27413160</v>
      </c>
      <c r="C1008" s="3" t="str">
        <f>HYPERLINK("http://www.ncbi.nlm.nih.gov/protein/27413160","Cbr3")</f>
        <v>Cbr3</v>
      </c>
      <c r="E1008" t="str">
        <f>HYPERLINK("J:\Depot - mpkCCD Fractions\Main Web Page\Web Pages_old\proteomic_fractions_linear_files/Yang_linear_img/27413160.jpg","show blot")</f>
        <v>show blot</v>
      </c>
      <c r="G1008" t="s">
        <v>1000</v>
      </c>
      <c r="I1008" s="6">
        <v>5.4186661588164551</v>
      </c>
      <c r="K1008" s="8"/>
    </row>
    <row r="1009" spans="1:11" ht="15" x14ac:dyDescent="0.25">
      <c r="A1009" s="3" t="str">
        <f>HYPERLINK("proteomic_fractions_linear_files/Yang_linear_img/269784762.jpg", "269784762")</f>
        <v>269784762</v>
      </c>
      <c r="C1009" s="3" t="str">
        <f>HYPERLINK("http://www.ncbi.nlm.nih.gov/protein/269784762","Cbr4")</f>
        <v>Cbr4</v>
      </c>
      <c r="E1009" t="str">
        <f>HYPERLINK("J:\Depot - mpkCCD Fractions\Main Web Page\Web Pages_old\proteomic_fractions_linear_files/Yang_linear_img/269784762.jpg","show blot")</f>
        <v>show blot</v>
      </c>
      <c r="G1009" t="s">
        <v>1001</v>
      </c>
      <c r="I1009" s="6">
        <v>5.0672344814962544</v>
      </c>
      <c r="K1009" s="8"/>
    </row>
    <row r="1010" spans="1:11" ht="15" x14ac:dyDescent="0.25">
      <c r="A1010" s="3" t="str">
        <f>HYPERLINK("proteomic_fractions_linear_files/Yang_linear_img/22122605.jpg", "22122605")</f>
        <v>22122605</v>
      </c>
      <c r="C1010" s="3" t="str">
        <f>HYPERLINK("http://www.ncbi.nlm.nih.gov/protein/22122605","Cbwd1")</f>
        <v>Cbwd1</v>
      </c>
      <c r="E1010" t="str">
        <f>HYPERLINK("J:\Depot - mpkCCD Fractions\Main Web Page\Web Pages_old\proteomic_fractions_linear_files/Yang_linear_img/22122605.jpg","show blot")</f>
        <v>show blot</v>
      </c>
      <c r="G1010" t="s">
        <v>1002</v>
      </c>
      <c r="I1010" s="6">
        <v>5.1974662803413496</v>
      </c>
      <c r="K1010" s="8"/>
    </row>
    <row r="1011" spans="1:11" ht="15" x14ac:dyDescent="0.25">
      <c r="A1011" s="3" t="str">
        <f>HYPERLINK("proteomic_fractions_linear_files/Yang_linear_img/6671696.jpg", "6671696")</f>
        <v>6671696</v>
      </c>
      <c r="C1011" s="3" t="str">
        <f>HYPERLINK("http://www.ncbi.nlm.nih.gov/protein/6671696","Cbx1")</f>
        <v>Cbx1</v>
      </c>
      <c r="E1011" t="str">
        <f>HYPERLINK("J:\Depot - mpkCCD Fractions\Main Web Page\Web Pages_old\proteomic_fractions_linear_files/Yang_linear_img/6671696.jpg","show blot")</f>
        <v>show blot</v>
      </c>
      <c r="G1011" t="s">
        <v>1003</v>
      </c>
      <c r="I1011" s="6">
        <v>5.4812328948459657</v>
      </c>
      <c r="K1011" s="8"/>
    </row>
    <row r="1012" spans="1:11" ht="15" x14ac:dyDescent="0.25">
      <c r="A1012" s="3" t="str">
        <f>HYPERLINK("proteomic_fractions_linear_files/Yang_linear_img/108860695.jpg", "108860695")</f>
        <v>108860695</v>
      </c>
      <c r="C1012" s="3" t="str">
        <f>HYPERLINK("http://www.ncbi.nlm.nih.gov/protein/108860695","Cbx3")</f>
        <v>Cbx3</v>
      </c>
      <c r="E1012" t="str">
        <f>HYPERLINK("J:\Depot - mpkCCD Fractions\Main Web Page\Web Pages_old\proteomic_fractions_linear_files/Yang_linear_img/108860695.jpg","show blot")</f>
        <v>show blot</v>
      </c>
      <c r="G1012" t="s">
        <v>1004</v>
      </c>
      <c r="I1012" s="6">
        <v>6.2923854893133306</v>
      </c>
      <c r="K1012" s="8"/>
    </row>
    <row r="1013" spans="1:11" ht="15" x14ac:dyDescent="0.25">
      <c r="A1013" s="3" t="str">
        <f>HYPERLINK("proteomic_fractions_linear_files/Yang_linear_img/116008461.jpg", "116008461")</f>
        <v>116008461</v>
      </c>
      <c r="C1013" s="3" t="str">
        <f>HYPERLINK("http://www.ncbi.nlm.nih.gov/protein/116008461","Cbx5")</f>
        <v>Cbx5</v>
      </c>
      <c r="E1013" t="str">
        <f>HYPERLINK("J:\Depot - mpkCCD Fractions\Main Web Page\Web Pages_old\proteomic_fractions_linear_files/Yang_linear_img/116008461.jpg","show blot")</f>
        <v>show blot</v>
      </c>
      <c r="G1013" t="s">
        <v>1005</v>
      </c>
      <c r="I1013" s="6">
        <v>5.7013906695771963</v>
      </c>
      <c r="K1013" s="8"/>
    </row>
    <row r="1014" spans="1:11" ht="15" x14ac:dyDescent="0.25">
      <c r="A1014" s="3" t="str">
        <f>HYPERLINK("proteomic_fractions_linear_files/Yang_linear_img/61657984.jpg", "61657984")</f>
        <v>61657984</v>
      </c>
      <c r="C1014" s="3" t="str">
        <f>HYPERLINK("http://www.ncbi.nlm.nih.gov/protein/61657984","Cbx6")</f>
        <v>Cbx6</v>
      </c>
      <c r="E1014" t="str">
        <f>HYPERLINK("J:\Depot - mpkCCD Fractions\Main Web Page\Web Pages_old\proteomic_fractions_linear_files/Yang_linear_img/61657984.jpg","show blot")</f>
        <v>show blot</v>
      </c>
      <c r="G1014" t="s">
        <v>1006</v>
      </c>
      <c r="I1014" s="6">
        <v>3.5035115498011011</v>
      </c>
      <c r="K1014" s="8"/>
    </row>
    <row r="1015" spans="1:11" ht="15" x14ac:dyDescent="0.25">
      <c r="A1015" s="3" t="str">
        <f>HYPERLINK("proteomic_fractions_linear_files/Yang_linear_img/110835702.jpg", "110835702")</f>
        <v>110835702</v>
      </c>
      <c r="C1015" s="3" t="str">
        <f>HYPERLINK("http://www.ncbi.nlm.nih.gov/protein/110835702","Cc2d1a")</f>
        <v>Cc2d1a</v>
      </c>
      <c r="E1015" t="str">
        <f>HYPERLINK("J:\Depot - mpkCCD Fractions\Main Web Page\Web Pages_old\proteomic_fractions_linear_files/Yang_linear_img/110835702.jpg","show blot")</f>
        <v>show blot</v>
      </c>
      <c r="G1015" t="s">
        <v>1007</v>
      </c>
      <c r="I1015" s="6">
        <v>1.8594731649671006</v>
      </c>
      <c r="K1015" s="8"/>
    </row>
    <row r="1016" spans="1:11" ht="15" x14ac:dyDescent="0.25">
      <c r="A1016" s="3" t="str">
        <f>HYPERLINK("proteomic_fractions_linear_files/Yang_linear_img/28892935.jpg", "28892935")</f>
        <v>28892935</v>
      </c>
      <c r="C1016" s="3" t="str">
        <f>HYPERLINK("http://www.ncbi.nlm.nih.gov/protein/28892935","Cc2d1b")</f>
        <v>Cc2d1b</v>
      </c>
      <c r="E1016" t="str">
        <f>HYPERLINK("J:\Depot - mpkCCD Fractions\Main Web Page\Web Pages_old\proteomic_fractions_linear_files/Yang_linear_img/28892935.jpg","show blot")</f>
        <v>show blot</v>
      </c>
      <c r="G1016" t="s">
        <v>1008</v>
      </c>
      <c r="I1016" s="6">
        <v>4.4568289408982871</v>
      </c>
      <c r="K1016" s="8"/>
    </row>
    <row r="1017" spans="1:11" ht="15" x14ac:dyDescent="0.25">
      <c r="A1017" s="3" t="str">
        <f>HYPERLINK("proteomic_fractions_linear_files/Yang_linear_img/407262408.jpg", "407262408")</f>
        <v>407262408</v>
      </c>
      <c r="C1017" s="3" t="str">
        <f>HYPERLINK("http://www.ncbi.nlm.nih.gov/protein/407262408","Cc2d2b")</f>
        <v>Cc2d2b</v>
      </c>
      <c r="E1017" t="str">
        <f>HYPERLINK("J:\Depot - mpkCCD Fractions\Main Web Page\Web Pages_old\proteomic_fractions_linear_files/Yang_linear_img/407262408.jpg","show blot")</f>
        <v>show blot</v>
      </c>
      <c r="G1017" t="s">
        <v>1009</v>
      </c>
      <c r="I1017" s="6">
        <v>2.7854786734837793</v>
      </c>
      <c r="K1017" s="8"/>
    </row>
    <row r="1018" spans="1:11" ht="15" x14ac:dyDescent="0.25">
      <c r="A1018" s="3" t="str">
        <f>HYPERLINK("proteomic_fractions_linear_files/Yang_linear_img/407264268.jpg", "407264268")</f>
        <v>407264268</v>
      </c>
      <c r="C1018" s="3" t="str">
        <f>HYPERLINK("http://www.ncbi.nlm.nih.gov/protein/407264268","Cc2d2b")</f>
        <v>Cc2d2b</v>
      </c>
      <c r="E1018" t="str">
        <f>HYPERLINK("J:\Depot - mpkCCD Fractions\Main Web Page\Web Pages_old\proteomic_fractions_linear_files/Yang_linear_img/407264268.jpg","show blot")</f>
        <v>show blot</v>
      </c>
      <c r="G1018" t="s">
        <v>1009</v>
      </c>
      <c r="I1018" s="6">
        <v>2.7854786734837793</v>
      </c>
      <c r="K1018" s="8"/>
    </row>
    <row r="1019" spans="1:11" ht="15" x14ac:dyDescent="0.25">
      <c r="A1019" s="3" t="str">
        <f>HYPERLINK("proteomic_fractions_linear_files/Yang_linear_img/33563288.jpg", "33563288")</f>
        <v>33563288</v>
      </c>
      <c r="C1019" s="3" t="str">
        <f>HYPERLINK("http://www.ncbi.nlm.nih.gov/protein/33563288","Ccar1")</f>
        <v>Ccar1</v>
      </c>
      <c r="E1019" t="str">
        <f>HYPERLINK("J:\Depot - mpkCCD Fractions\Main Web Page\Web Pages_old\proteomic_fractions_linear_files/Yang_linear_img/33563288.jpg","show blot")</f>
        <v>show blot</v>
      </c>
      <c r="G1019" t="s">
        <v>1010</v>
      </c>
      <c r="I1019" s="6">
        <v>4.2779999453862763</v>
      </c>
      <c r="K1019" s="8"/>
    </row>
    <row r="1020" spans="1:11" ht="15" x14ac:dyDescent="0.25">
      <c r="A1020" s="3" t="str">
        <f>HYPERLINK("proteomic_fractions_linear_files/Yang_linear_img/226958577.jpg", "226958577")</f>
        <v>226958577</v>
      </c>
      <c r="C1020" s="3" t="str">
        <f>HYPERLINK("http://www.ncbi.nlm.nih.gov/protein/226958577","Ccar2")</f>
        <v>Ccar2</v>
      </c>
      <c r="E1020" t="str">
        <f>HYPERLINK("J:\Depot - mpkCCD Fractions\Main Web Page\Web Pages_old\proteomic_fractions_linear_files/Yang_linear_img/226958577.jpg","show blot")</f>
        <v>show blot</v>
      </c>
      <c r="G1020" t="s">
        <v>1011</v>
      </c>
      <c r="I1020" s="6">
        <v>5.3744399193005057</v>
      </c>
      <c r="K1020" s="8"/>
    </row>
    <row r="1021" spans="1:11" ht="15" x14ac:dyDescent="0.25">
      <c r="A1021" s="3" t="str">
        <f>HYPERLINK("proteomic_fractions_linear_files/Yang_linear_img/31982063.jpg", "31982063")</f>
        <v>31982063</v>
      </c>
      <c r="C1021" s="3" t="str">
        <f>HYPERLINK("http://www.ncbi.nlm.nih.gov/protein/31982063","Ccbl1")</f>
        <v>Ccbl1</v>
      </c>
      <c r="E1021" t="str">
        <f>HYPERLINK("J:\Depot - mpkCCD Fractions\Main Web Page\Web Pages_old\proteomic_fractions_linear_files/Yang_linear_img/31982063.jpg","show blot")</f>
        <v>show blot</v>
      </c>
      <c r="G1021" t="s">
        <v>1012</v>
      </c>
      <c r="I1021" s="6">
        <v>4.6901229613469297</v>
      </c>
      <c r="K1021" s="8"/>
    </row>
    <row r="1022" spans="1:11" ht="15" x14ac:dyDescent="0.25">
      <c r="A1022" s="3" t="str">
        <f>HYPERLINK("proteomic_fractions_linear_files/Yang_linear_img/30352008.jpg", "30352008")</f>
        <v>30352008</v>
      </c>
      <c r="C1022" s="3" t="str">
        <f>HYPERLINK("http://www.ncbi.nlm.nih.gov/protein/30352008","Ccdc104")</f>
        <v>Ccdc104</v>
      </c>
      <c r="E1022" t="str">
        <f>HYPERLINK("J:\Depot - mpkCCD Fractions\Main Web Page\Web Pages_old\proteomic_fractions_linear_files/Yang_linear_img/30352008.jpg","show blot")</f>
        <v>show blot</v>
      </c>
      <c r="G1022" t="s">
        <v>1013</v>
      </c>
      <c r="I1022" s="6">
        <v>3.7342031706092986</v>
      </c>
      <c r="K1022" s="8"/>
    </row>
    <row r="1023" spans="1:11" ht="15" x14ac:dyDescent="0.25">
      <c r="A1023" s="3" t="str">
        <f>HYPERLINK("proteomic_fractions_linear_files/Yang_linear_img/58037169.jpg", "58037169")</f>
        <v>58037169</v>
      </c>
      <c r="C1023" s="3" t="str">
        <f>HYPERLINK("http://www.ncbi.nlm.nih.gov/protein/58037169","Ccdc115")</f>
        <v>Ccdc115</v>
      </c>
      <c r="E1023" t="str">
        <f>HYPERLINK("J:\Depot - mpkCCD Fractions\Main Web Page\Web Pages_old\proteomic_fractions_linear_files/Yang_linear_img/58037169.jpg","show blot")</f>
        <v>show blot</v>
      </c>
      <c r="G1023" t="s">
        <v>1014</v>
      </c>
      <c r="I1023" s="6">
        <v>4.8257730691564342</v>
      </c>
      <c r="K1023" s="8"/>
    </row>
    <row r="1024" spans="1:11" ht="15" x14ac:dyDescent="0.25">
      <c r="A1024" s="3" t="str">
        <f>HYPERLINK("proteomic_fractions_linear_files/Yang_linear_img/164698436.jpg", "164698436")</f>
        <v>164698436</v>
      </c>
      <c r="C1024" s="3" t="str">
        <f>HYPERLINK("http://www.ncbi.nlm.nih.gov/protein/164698436","Ccdc117")</f>
        <v>Ccdc117</v>
      </c>
      <c r="E1024" t="str">
        <f>HYPERLINK("J:\Depot - mpkCCD Fractions\Main Web Page\Web Pages_old\proteomic_fractions_linear_files/Yang_linear_img/164698436.jpg","show blot")</f>
        <v>show blot</v>
      </c>
      <c r="G1024" t="s">
        <v>1015</v>
      </c>
      <c r="I1024" s="6">
        <v>4.0807191379242651</v>
      </c>
      <c r="K1024" s="8"/>
    </row>
    <row r="1025" spans="1:11" ht="15" x14ac:dyDescent="0.25">
      <c r="A1025" s="3" t="str">
        <f>HYPERLINK("proteomic_fractions_linear_files/Yang_linear_img/227496903.jpg", "227496903")</f>
        <v>227496903</v>
      </c>
      <c r="C1025" s="3" t="str">
        <f>HYPERLINK("http://www.ncbi.nlm.nih.gov/protein/227496903","Ccdc12")</f>
        <v>Ccdc12</v>
      </c>
      <c r="E1025" t="str">
        <f>HYPERLINK("J:\Depot - mpkCCD Fractions\Main Web Page\Web Pages_old\proteomic_fractions_linear_files/Yang_linear_img/227496903.jpg","show blot")</f>
        <v>show blot</v>
      </c>
      <c r="G1025" t="s">
        <v>1016</v>
      </c>
      <c r="I1025" s="6">
        <v>4.6033190424361772</v>
      </c>
      <c r="K1025" s="8"/>
    </row>
    <row r="1026" spans="1:11" ht="15" x14ac:dyDescent="0.25">
      <c r="A1026" s="3" t="str">
        <f>HYPERLINK("proteomic_fractions_linear_files/Yang_linear_img/47059143.jpg", "47059143")</f>
        <v>47059143</v>
      </c>
      <c r="C1026" s="3" t="str">
        <f>HYPERLINK("http://www.ncbi.nlm.nih.gov/protein/47059143","Ccdc124")</f>
        <v>Ccdc124</v>
      </c>
      <c r="E1026" t="str">
        <f>HYPERLINK("J:\Depot - mpkCCD Fractions\Main Web Page\Web Pages_old\proteomic_fractions_linear_files/Yang_linear_img/47059143.jpg","show blot")</f>
        <v>show blot</v>
      </c>
      <c r="G1026" t="s">
        <v>1017</v>
      </c>
      <c r="I1026" s="6">
        <v>4.3457748262385492</v>
      </c>
      <c r="K1026" s="8"/>
    </row>
    <row r="1027" spans="1:11" ht="15" x14ac:dyDescent="0.25">
      <c r="A1027" s="3" t="str">
        <f>HYPERLINK("proteomic_fractions_linear_files/Yang_linear_img/13195630.jpg", "13195630")</f>
        <v>13195630</v>
      </c>
      <c r="C1027" s="3" t="str">
        <f>HYPERLINK("http://www.ncbi.nlm.nih.gov/protein/13195630","Ccdc127")</f>
        <v>Ccdc127</v>
      </c>
      <c r="E1027" t="str">
        <f>HYPERLINK("J:\Depot - mpkCCD Fractions\Main Web Page\Web Pages_old\proteomic_fractions_linear_files/Yang_linear_img/13195630.jpg","show blot")</f>
        <v>show blot</v>
      </c>
      <c r="G1027" t="s">
        <v>1018</v>
      </c>
      <c r="I1027" s="6">
        <v>3.4321971334476378</v>
      </c>
      <c r="K1027" s="8"/>
    </row>
    <row r="1028" spans="1:11" ht="15" x14ac:dyDescent="0.25">
      <c r="A1028" s="3" t="str">
        <f>HYPERLINK("proteomic_fractions_linear_files/Yang_linear_img/281183266.jpg", "281183266")</f>
        <v>281183266</v>
      </c>
      <c r="C1028" s="3" t="str">
        <f>HYPERLINK("http://www.ncbi.nlm.nih.gov/protein/281183266","Ccdc127")</f>
        <v>Ccdc127</v>
      </c>
      <c r="E1028" t="str">
        <f>HYPERLINK("J:\Depot - mpkCCD Fractions\Main Web Page\Web Pages_old\proteomic_fractions_linear_files/Yang_linear_img/281183266.jpg","show blot")</f>
        <v>show blot</v>
      </c>
      <c r="G1028" t="s">
        <v>1019</v>
      </c>
      <c r="I1028" s="6">
        <v>3.4321971334476378</v>
      </c>
      <c r="K1028" s="8"/>
    </row>
    <row r="1029" spans="1:11" ht="15" x14ac:dyDescent="0.25">
      <c r="A1029" s="3" t="str">
        <f>HYPERLINK("proteomic_fractions_linear_files/Yang_linear_img/268370057.jpg", "268370057")</f>
        <v>268370057</v>
      </c>
      <c r="C1029" s="3" t="str">
        <f>HYPERLINK("http://www.ncbi.nlm.nih.gov/protein/268370057","Ccdc132")</f>
        <v>Ccdc132</v>
      </c>
      <c r="E1029" t="str">
        <f>HYPERLINK("J:\Depot - mpkCCD Fractions\Main Web Page\Web Pages_old\proteomic_fractions_linear_files/Yang_linear_img/268370057.jpg","show blot")</f>
        <v>show blot</v>
      </c>
      <c r="G1029" t="s">
        <v>1020</v>
      </c>
      <c r="I1029" s="6">
        <v>4.9794959483424517</v>
      </c>
      <c r="K1029" s="8"/>
    </row>
    <row r="1030" spans="1:11" ht="15" x14ac:dyDescent="0.25">
      <c r="A1030" s="3" t="str">
        <f>HYPERLINK("proteomic_fractions_linear_files/Yang_linear_img/268370059.jpg", "268370059")</f>
        <v>268370059</v>
      </c>
      <c r="C1030" s="3" t="str">
        <f>HYPERLINK("http://www.ncbi.nlm.nih.gov/protein/268370059","Ccdc132")</f>
        <v>Ccdc132</v>
      </c>
      <c r="E1030" t="str">
        <f>HYPERLINK("J:\Depot - mpkCCD Fractions\Main Web Page\Web Pages_old\proteomic_fractions_linear_files/Yang_linear_img/268370059.jpg","show blot")</f>
        <v>show blot</v>
      </c>
      <c r="G1030" t="s">
        <v>1021</v>
      </c>
      <c r="I1030" s="6">
        <v>4.9794959483424517</v>
      </c>
      <c r="K1030" s="8"/>
    </row>
    <row r="1031" spans="1:11" ht="15" x14ac:dyDescent="0.25">
      <c r="A1031" s="3" t="str">
        <f>HYPERLINK("proteomic_fractions_linear_files/Yang_linear_img/268370061.jpg", "268370061")</f>
        <v>268370061</v>
      </c>
      <c r="C1031" s="3" t="str">
        <f>HYPERLINK("http://www.ncbi.nlm.nih.gov/protein/268370061","Ccdc132")</f>
        <v>Ccdc132</v>
      </c>
      <c r="E1031" t="str">
        <f>HYPERLINK("J:\Depot - mpkCCD Fractions\Main Web Page\Web Pages_old\proteomic_fractions_linear_files/Yang_linear_img/268370061.jpg","show blot")</f>
        <v>show blot</v>
      </c>
      <c r="G1031" t="s">
        <v>1022</v>
      </c>
      <c r="I1031" s="6">
        <v>4.9794959483424517</v>
      </c>
      <c r="K1031" s="8"/>
    </row>
    <row r="1032" spans="1:11" ht="15" x14ac:dyDescent="0.25">
      <c r="A1032" s="3" t="str">
        <f>HYPERLINK("proteomic_fractions_linear_files/Yang_linear_img/116268089.jpg", "116268089")</f>
        <v>116268089</v>
      </c>
      <c r="C1032" s="3" t="str">
        <f>HYPERLINK("http://www.ncbi.nlm.nih.gov/protein/116268089","Ccdc134")</f>
        <v>Ccdc134</v>
      </c>
      <c r="E1032" t="str">
        <f>HYPERLINK("J:\Depot - mpkCCD Fractions\Main Web Page\Web Pages_old\proteomic_fractions_linear_files/Yang_linear_img/116268089.jpg","show blot")</f>
        <v>show blot</v>
      </c>
      <c r="G1032" t="s">
        <v>1023</v>
      </c>
      <c r="I1032" s="6">
        <v>3.5030653445913442</v>
      </c>
      <c r="K1032" s="8"/>
    </row>
    <row r="1033" spans="1:11" ht="15" x14ac:dyDescent="0.25">
      <c r="A1033" s="3" t="str">
        <f>HYPERLINK("proteomic_fractions_linear_files/Yang_linear_img/319655563.jpg", "319655563")</f>
        <v>319655563</v>
      </c>
      <c r="C1033" s="3" t="str">
        <f>HYPERLINK("http://www.ncbi.nlm.nih.gov/protein/319655563","Ccdc136")</f>
        <v>Ccdc136</v>
      </c>
      <c r="E1033" t="str">
        <f>HYPERLINK("J:\Depot - mpkCCD Fractions\Main Web Page\Web Pages_old\proteomic_fractions_linear_files/Yang_linear_img/319655563.jpg","show blot")</f>
        <v>show blot</v>
      </c>
      <c r="G1033" t="s">
        <v>1024</v>
      </c>
      <c r="I1033" s="6">
        <v>1.4946533154872981</v>
      </c>
      <c r="K1033" s="8"/>
    </row>
    <row r="1034" spans="1:11" ht="15" x14ac:dyDescent="0.25">
      <c r="A1034" s="3" t="str">
        <f>HYPERLINK("proteomic_fractions_linear_files/Yang_linear_img/319655703.jpg", "319655703")</f>
        <v>319655703</v>
      </c>
      <c r="C1034" s="3" t="str">
        <f>HYPERLINK("http://www.ncbi.nlm.nih.gov/protein/319655703","Ccdc136")</f>
        <v>Ccdc136</v>
      </c>
      <c r="E1034" t="str">
        <f>HYPERLINK("J:\Depot - mpkCCD Fractions\Main Web Page\Web Pages_old\proteomic_fractions_linear_files/Yang_linear_img/319655703.jpg","show blot")</f>
        <v>show blot</v>
      </c>
      <c r="G1034" t="s">
        <v>1025</v>
      </c>
      <c r="I1034" s="6">
        <v>1.4946533154872981</v>
      </c>
      <c r="K1034" s="8"/>
    </row>
    <row r="1035" spans="1:11" ht="15" x14ac:dyDescent="0.25">
      <c r="A1035" s="3" t="str">
        <f>HYPERLINK("proteomic_fractions_linear_files/Yang_linear_img/22779893.jpg", "22779893")</f>
        <v>22779893</v>
      </c>
      <c r="C1035" s="3" t="str">
        <f>HYPERLINK("http://www.ncbi.nlm.nih.gov/protein/22779893","Ccdc137")</f>
        <v>Ccdc137</v>
      </c>
      <c r="E1035" t="str">
        <f>HYPERLINK("J:\Depot - mpkCCD Fractions\Main Web Page\Web Pages_old\proteomic_fractions_linear_files/Yang_linear_img/22779893.jpg","show blot")</f>
        <v>show blot</v>
      </c>
      <c r="G1035" t="s">
        <v>1026</v>
      </c>
      <c r="I1035" s="6">
        <v>2.61085178971791</v>
      </c>
      <c r="K1035" s="8"/>
    </row>
    <row r="1036" spans="1:11" ht="15" x14ac:dyDescent="0.25">
      <c r="A1036" s="3" t="str">
        <f>HYPERLINK("proteomic_fractions_linear_files/Yang_linear_img/169646270.jpg", "169646270")</f>
        <v>169646270</v>
      </c>
      <c r="C1036" s="3" t="str">
        <f>HYPERLINK("http://www.ncbi.nlm.nih.gov/protein/169646270","Ccdc14")</f>
        <v>Ccdc14</v>
      </c>
      <c r="E1036" t="str">
        <f>HYPERLINK("J:\Depot - mpkCCD Fractions\Main Web Page\Web Pages_old\proteomic_fractions_linear_files/Yang_linear_img/169646270.jpg","show blot")</f>
        <v>show blot</v>
      </c>
      <c r="G1036" t="s">
        <v>1027</v>
      </c>
      <c r="I1036" s="6">
        <v>1.0677892622166336</v>
      </c>
      <c r="K1036" s="8"/>
    </row>
    <row r="1037" spans="1:11" ht="15" x14ac:dyDescent="0.25">
      <c r="A1037" s="3" t="str">
        <f>HYPERLINK("proteomic_fractions_linear_files/Yang_linear_img/299829227.jpg", "299829227")</f>
        <v>299829227</v>
      </c>
      <c r="C1037" s="3" t="str">
        <f>HYPERLINK("http://www.ncbi.nlm.nih.gov/protein/299829227","Ccdc141")</f>
        <v>Ccdc141</v>
      </c>
      <c r="E1037" t="str">
        <f>HYPERLINK("J:\Depot - mpkCCD Fractions\Main Web Page\Web Pages_old\proteomic_fractions_linear_files/Yang_linear_img/299829227.jpg","show blot")</f>
        <v>show blot</v>
      </c>
      <c r="G1037" t="s">
        <v>1028</v>
      </c>
      <c r="I1037" s="6">
        <v>0.23801724731124368</v>
      </c>
      <c r="K1037" s="8"/>
    </row>
    <row r="1038" spans="1:11" ht="15" x14ac:dyDescent="0.25">
      <c r="A1038" s="3" t="str">
        <f>HYPERLINK("proteomic_fractions_linear_files/Yang_linear_img/254939555.jpg", "254939555")</f>
        <v>254939555</v>
      </c>
      <c r="C1038" s="3" t="str">
        <f>HYPERLINK("http://www.ncbi.nlm.nih.gov/protein/254939555","Ccdc167")</f>
        <v>Ccdc167</v>
      </c>
      <c r="E1038" t="str">
        <f>HYPERLINK("J:\Depot - mpkCCD Fractions\Main Web Page\Web Pages_old\proteomic_fractions_linear_files/Yang_linear_img/254939555.jpg","show blot")</f>
        <v>show blot</v>
      </c>
      <c r="G1038" t="s">
        <v>1029</v>
      </c>
      <c r="I1038" s="6">
        <v>4.2940766509065202</v>
      </c>
      <c r="K1038" s="8"/>
    </row>
    <row r="1039" spans="1:11" ht="15" x14ac:dyDescent="0.25">
      <c r="A1039" s="3" t="str">
        <f>HYPERLINK("proteomic_fractions_linear_files/Yang_linear_img/254939557.jpg", "254939557")</f>
        <v>254939557</v>
      </c>
      <c r="C1039" s="3" t="str">
        <f>HYPERLINK("http://www.ncbi.nlm.nih.gov/protein/254939557","Ccdc167")</f>
        <v>Ccdc167</v>
      </c>
      <c r="E1039" t="str">
        <f>HYPERLINK("J:\Depot - mpkCCD Fractions\Main Web Page\Web Pages_old\proteomic_fractions_linear_files/Yang_linear_img/254939557.jpg","show blot")</f>
        <v>show blot</v>
      </c>
      <c r="G1039" t="s">
        <v>1030</v>
      </c>
      <c r="I1039" s="6">
        <v>4.2940766509065202</v>
      </c>
      <c r="K1039" s="8"/>
    </row>
    <row r="1040" spans="1:11" ht="15" x14ac:dyDescent="0.25">
      <c r="A1040" s="3" t="str">
        <f>HYPERLINK("proteomic_fractions_linear_files/Yang_linear_img/133922578.jpg", "133922578")</f>
        <v>133922578</v>
      </c>
      <c r="C1040" s="3" t="str">
        <f>HYPERLINK("http://www.ncbi.nlm.nih.gov/protein/133922578","Ccdc22")</f>
        <v>Ccdc22</v>
      </c>
      <c r="E1040" t="str">
        <f>HYPERLINK("J:\Depot - mpkCCD Fractions\Main Web Page\Web Pages_old\proteomic_fractions_linear_files/Yang_linear_img/133922578.jpg","show blot")</f>
        <v>show blot</v>
      </c>
      <c r="G1040" t="s">
        <v>1031</v>
      </c>
      <c r="I1040" s="6">
        <v>4.942561538085835</v>
      </c>
      <c r="K1040" s="8"/>
    </row>
    <row r="1041" spans="1:11" ht="15" x14ac:dyDescent="0.25">
      <c r="A1041" s="3" t="str">
        <f>HYPERLINK("proteomic_fractions_linear_files/Yang_linear_img/22164768.jpg", "22164768")</f>
        <v>22164768</v>
      </c>
      <c r="C1041" s="3" t="str">
        <f>HYPERLINK("http://www.ncbi.nlm.nih.gov/protein/22164768","Ccdc25")</f>
        <v>Ccdc25</v>
      </c>
      <c r="E1041" t="str">
        <f>HYPERLINK("J:\Depot - mpkCCD Fractions\Main Web Page\Web Pages_old\proteomic_fractions_linear_files/Yang_linear_img/22164768.jpg","show blot")</f>
        <v>show blot</v>
      </c>
      <c r="G1041" t="s">
        <v>1032</v>
      </c>
      <c r="I1041" s="6">
        <v>5.0489028776646467</v>
      </c>
      <c r="K1041" s="8"/>
    </row>
    <row r="1042" spans="1:11" ht="15" x14ac:dyDescent="0.25">
      <c r="A1042" s="3" t="str">
        <f>HYPERLINK("proteomic_fractions_linear_files/Yang_linear_img/13385406.jpg", "13385406")</f>
        <v>13385406</v>
      </c>
      <c r="C1042" s="3" t="str">
        <f>HYPERLINK("http://www.ncbi.nlm.nih.gov/protein/13385406","Ccdc43")</f>
        <v>Ccdc43</v>
      </c>
      <c r="E1042" t="str">
        <f>HYPERLINK("J:\Depot - mpkCCD Fractions\Main Web Page\Web Pages_old\proteomic_fractions_linear_files/Yang_linear_img/13385406.jpg","show blot")</f>
        <v>show blot</v>
      </c>
      <c r="G1042" t="s">
        <v>1033</v>
      </c>
      <c r="I1042" s="6">
        <v>4.5727278360498982</v>
      </c>
      <c r="K1042" s="8"/>
    </row>
    <row r="1043" spans="1:11" ht="15" x14ac:dyDescent="0.25">
      <c r="A1043" s="3" t="str">
        <f>HYPERLINK("proteomic_fractions_linear_files/Yang_linear_img/125628650.jpg", "125628650")</f>
        <v>125628650</v>
      </c>
      <c r="C1043" s="3" t="str">
        <f>HYPERLINK("http://www.ncbi.nlm.nih.gov/protein/125628650","Ccdc47")</f>
        <v>Ccdc47</v>
      </c>
      <c r="E1043" t="str">
        <f>HYPERLINK("J:\Depot - mpkCCD Fractions\Main Web Page\Web Pages_old\proteomic_fractions_linear_files/Yang_linear_img/125628650.jpg","show blot")</f>
        <v>show blot</v>
      </c>
      <c r="G1043" t="s">
        <v>1034</v>
      </c>
      <c r="I1043" s="6">
        <v>4.9732239663191971</v>
      </c>
      <c r="K1043" s="8"/>
    </row>
    <row r="1044" spans="1:11" ht="15" x14ac:dyDescent="0.25">
      <c r="A1044" s="3" t="str">
        <f>HYPERLINK("proteomic_fractions_linear_files/Yang_linear_img/258679490.jpg", "258679490")</f>
        <v>258679490</v>
      </c>
      <c r="C1044" s="3" t="str">
        <f>HYPERLINK("http://www.ncbi.nlm.nih.gov/protein/258679490","Ccdc51")</f>
        <v>Ccdc51</v>
      </c>
      <c r="E1044" t="str">
        <f>HYPERLINK("J:\Depot - mpkCCD Fractions\Main Web Page\Web Pages_old\proteomic_fractions_linear_files/Yang_linear_img/258679490.jpg","show blot")</f>
        <v>show blot</v>
      </c>
      <c r="G1044" t="s">
        <v>1035</v>
      </c>
      <c r="I1044" s="6">
        <v>1.5817040615466751</v>
      </c>
      <c r="K1044" s="8"/>
    </row>
    <row r="1045" spans="1:11" ht="15" x14ac:dyDescent="0.25">
      <c r="A1045" s="3" t="str">
        <f>HYPERLINK("proteomic_fractions_linear_files/Yang_linear_img/171906601.jpg", "171906601")</f>
        <v>171906601</v>
      </c>
      <c r="C1045" s="3" t="str">
        <f>HYPERLINK("http://www.ncbi.nlm.nih.gov/protein/171906601","Ccdc53")</f>
        <v>Ccdc53</v>
      </c>
      <c r="E1045" t="str">
        <f>HYPERLINK("J:\Depot - mpkCCD Fractions\Main Web Page\Web Pages_old\proteomic_fractions_linear_files/Yang_linear_img/171906601.jpg","show blot")</f>
        <v>show blot</v>
      </c>
      <c r="G1045" t="s">
        <v>1036</v>
      </c>
      <c r="I1045" s="6">
        <v>4.1354181586616789</v>
      </c>
      <c r="K1045" s="8"/>
    </row>
    <row r="1046" spans="1:11" ht="15" x14ac:dyDescent="0.25">
      <c r="A1046" s="3" t="str">
        <f>HYPERLINK("proteomic_fractions_linear_files/Yang_linear_img/171906604.jpg", "171906604")</f>
        <v>171906604</v>
      </c>
      <c r="C1046" s="3" t="str">
        <f>HYPERLINK("http://www.ncbi.nlm.nih.gov/protein/171906604","Ccdc53")</f>
        <v>Ccdc53</v>
      </c>
      <c r="E1046" t="str">
        <f>HYPERLINK("J:\Depot - mpkCCD Fractions\Main Web Page\Web Pages_old\proteomic_fractions_linear_files/Yang_linear_img/171906604.jpg","show blot")</f>
        <v>show blot</v>
      </c>
      <c r="G1046" t="s">
        <v>1037</v>
      </c>
      <c r="I1046" s="6">
        <v>4.1354181586616789</v>
      </c>
      <c r="K1046" s="8"/>
    </row>
    <row r="1047" spans="1:11" ht="15" x14ac:dyDescent="0.25">
      <c r="A1047" s="3" t="str">
        <f>HYPERLINK("proteomic_fractions_linear_files/Yang_linear_img/21313034.jpg", "21313034")</f>
        <v>21313034</v>
      </c>
      <c r="C1047" s="3" t="str">
        <f>HYPERLINK("http://www.ncbi.nlm.nih.gov/protein/21313034","Ccdc53")</f>
        <v>Ccdc53</v>
      </c>
      <c r="E1047" t="str">
        <f>HYPERLINK("J:\Depot - mpkCCD Fractions\Main Web Page\Web Pages_old\proteomic_fractions_linear_files/Yang_linear_img/21313034.jpg","show blot")</f>
        <v>show blot</v>
      </c>
      <c r="G1047" t="s">
        <v>1038</v>
      </c>
      <c r="I1047" s="6">
        <v>4.1354181586616789</v>
      </c>
      <c r="K1047" s="8"/>
    </row>
    <row r="1048" spans="1:11" ht="15" x14ac:dyDescent="0.25">
      <c r="A1048" s="3" t="str">
        <f>HYPERLINK("proteomic_fractions_linear_files/Yang_linear_img/21312272.jpg", "21312272")</f>
        <v>21312272</v>
      </c>
      <c r="C1048" s="3" t="str">
        <f>HYPERLINK("http://www.ncbi.nlm.nih.gov/protein/21312272","Ccdc54")</f>
        <v>Ccdc54</v>
      </c>
      <c r="E1048" t="str">
        <f>HYPERLINK("J:\Depot - mpkCCD Fractions\Main Web Page\Web Pages_old\proteomic_fractions_linear_files/Yang_linear_img/21312272.jpg","show blot")</f>
        <v>show blot</v>
      </c>
      <c r="G1048" t="s">
        <v>1039</v>
      </c>
      <c r="I1048" s="6">
        <v>2.6096792683638119</v>
      </c>
      <c r="K1048" s="8"/>
    </row>
    <row r="1049" spans="1:11" ht="15" x14ac:dyDescent="0.25">
      <c r="A1049" s="3" t="str">
        <f>HYPERLINK("proteomic_fractions_linear_files/Yang_linear_img/59858549.jpg", "59858549")</f>
        <v>59858549</v>
      </c>
      <c r="C1049" s="3" t="str">
        <f>HYPERLINK("http://www.ncbi.nlm.nih.gov/protein/59858549","Ccdc55")</f>
        <v>Ccdc55</v>
      </c>
      <c r="E1049" t="str">
        <f>HYPERLINK("J:\Depot - mpkCCD Fractions\Main Web Page\Web Pages_old\proteomic_fractions_linear_files/Yang_linear_img/59858549.jpg","show blot")</f>
        <v>show blot</v>
      </c>
      <c r="G1049" t="s">
        <v>1040</v>
      </c>
      <c r="I1049" s="6">
        <v>2.4499259004080693</v>
      </c>
      <c r="K1049" s="8"/>
    </row>
    <row r="1050" spans="1:11" ht="15" x14ac:dyDescent="0.25">
      <c r="A1050" s="3" t="str">
        <f>HYPERLINK("proteomic_fractions_linear_files/Yang_linear_img/226874938.jpg", "226874938")</f>
        <v>226874938</v>
      </c>
      <c r="C1050" s="3" t="str">
        <f>HYPERLINK("http://www.ncbi.nlm.nih.gov/protein/226874938","Ccdc58")</f>
        <v>Ccdc58</v>
      </c>
      <c r="E1050" t="str">
        <f>HYPERLINK("J:\Depot - mpkCCD Fractions\Main Web Page\Web Pages_old\proteomic_fractions_linear_files/Yang_linear_img/226874938.jpg","show blot")</f>
        <v>show blot</v>
      </c>
      <c r="G1050" t="s">
        <v>1041</v>
      </c>
      <c r="I1050" s="6">
        <v>5.4139625103139339</v>
      </c>
      <c r="K1050" s="8"/>
    </row>
    <row r="1051" spans="1:11" ht="15" x14ac:dyDescent="0.25">
      <c r="A1051" s="3" t="str">
        <f>HYPERLINK("proteomic_fractions_linear_files/Yang_linear_img/226874940.jpg", "226874940")</f>
        <v>226874940</v>
      </c>
      <c r="C1051" s="3" t="str">
        <f>HYPERLINK("http://www.ncbi.nlm.nih.gov/protein/226874940","Ccdc58")</f>
        <v>Ccdc58</v>
      </c>
      <c r="E1051" t="str">
        <f>HYPERLINK("J:\Depot - mpkCCD Fractions\Main Web Page\Web Pages_old\proteomic_fractions_linear_files/Yang_linear_img/226874940.jpg","show blot")</f>
        <v>show blot</v>
      </c>
      <c r="G1051" t="s">
        <v>1042</v>
      </c>
      <c r="I1051" s="6">
        <v>5.4139625103139339</v>
      </c>
      <c r="K1051" s="8"/>
    </row>
    <row r="1052" spans="1:11" ht="15" x14ac:dyDescent="0.25">
      <c r="A1052" s="3" t="str">
        <f>HYPERLINK("proteomic_fractions_linear_files/Yang_linear_img/38348528.jpg", "38348528")</f>
        <v>38348528</v>
      </c>
      <c r="C1052" s="3" t="str">
        <f>HYPERLINK("http://www.ncbi.nlm.nih.gov/protein/38348528","Ccdc58")</f>
        <v>Ccdc58</v>
      </c>
      <c r="E1052" t="str">
        <f>HYPERLINK("J:\Depot - mpkCCD Fractions\Main Web Page\Web Pages_old\proteomic_fractions_linear_files/Yang_linear_img/38348528.jpg","show blot")</f>
        <v>show blot</v>
      </c>
      <c r="G1052" t="s">
        <v>1043</v>
      </c>
      <c r="I1052" s="6">
        <v>5.4139625103139339</v>
      </c>
      <c r="K1052" s="8"/>
    </row>
    <row r="1053" spans="1:11" ht="15" x14ac:dyDescent="0.25">
      <c r="A1053" s="3" t="str">
        <f>HYPERLINK("proteomic_fractions_linear_files/Yang_linear_img/13385058.jpg", "13385058")</f>
        <v>13385058</v>
      </c>
      <c r="C1053" s="3" t="str">
        <f>HYPERLINK("http://www.ncbi.nlm.nih.gov/protein/13385058","Ccdc59")</f>
        <v>Ccdc59</v>
      </c>
      <c r="E1053" t="str">
        <f>HYPERLINK("J:\Depot - mpkCCD Fractions\Main Web Page\Web Pages_old\proteomic_fractions_linear_files/Yang_linear_img/13385058.jpg","show blot")</f>
        <v>show blot</v>
      </c>
      <c r="G1053" t="s">
        <v>1044</v>
      </c>
      <c r="I1053" s="6">
        <v>3.836022562598107</v>
      </c>
      <c r="K1053" s="8"/>
    </row>
    <row r="1054" spans="1:11" ht="15" x14ac:dyDescent="0.25">
      <c r="A1054" s="3" t="str">
        <f>HYPERLINK("proteomic_fractions_linear_files/Yang_linear_img/162135971.jpg", "162135971")</f>
        <v>162135971</v>
      </c>
      <c r="C1054" s="3" t="str">
        <f>HYPERLINK("http://www.ncbi.nlm.nih.gov/protein/162135971","Ccdc6")</f>
        <v>Ccdc6</v>
      </c>
      <c r="E1054" t="str">
        <f>HYPERLINK("J:\Depot - mpkCCD Fractions\Main Web Page\Web Pages_old\proteomic_fractions_linear_files/Yang_linear_img/162135971.jpg","show blot")</f>
        <v>show blot</v>
      </c>
      <c r="G1054" t="s">
        <v>1045</v>
      </c>
      <c r="I1054" s="6">
        <v>4.5712405204824185</v>
      </c>
      <c r="K1054" s="8"/>
    </row>
    <row r="1055" spans="1:11" ht="15" x14ac:dyDescent="0.25">
      <c r="A1055" s="3" t="str">
        <f>HYPERLINK("proteomic_fractions_linear_files/Yang_linear_img/115270981.jpg", "115270981")</f>
        <v>115270981</v>
      </c>
      <c r="C1055" s="3" t="str">
        <f>HYPERLINK("http://www.ncbi.nlm.nih.gov/protein/115270981","Ccdc69")</f>
        <v>Ccdc69</v>
      </c>
      <c r="E1055" t="str">
        <f>HYPERLINK("J:\Depot - mpkCCD Fractions\Main Web Page\Web Pages_old\proteomic_fractions_linear_files/Yang_linear_img/115270981.jpg","show blot")</f>
        <v>show blot</v>
      </c>
      <c r="G1055" t="s">
        <v>1046</v>
      </c>
      <c r="I1055" s="6">
        <v>2.5639966909184699</v>
      </c>
      <c r="K1055" s="8"/>
    </row>
    <row r="1056" spans="1:11" ht="15" x14ac:dyDescent="0.25">
      <c r="A1056" s="3" t="str">
        <f>HYPERLINK("proteomic_fractions_linear_files/Yang_linear_img/47059089.jpg", "47059089")</f>
        <v>47059089</v>
      </c>
      <c r="C1056" s="3" t="str">
        <f>HYPERLINK("http://www.ncbi.nlm.nih.gov/protein/47059089","Ccdc88c")</f>
        <v>Ccdc88c</v>
      </c>
      <c r="E1056" t="str">
        <f>HYPERLINK("J:\Depot - mpkCCD Fractions\Main Web Page\Web Pages_old\proteomic_fractions_linear_files/Yang_linear_img/47059089.jpg","show blot")</f>
        <v>show blot</v>
      </c>
      <c r="G1056" t="s">
        <v>1047</v>
      </c>
      <c r="I1056" s="6">
        <v>3.2501868187288894</v>
      </c>
      <c r="K1056" s="8"/>
    </row>
    <row r="1057" spans="1:11" ht="15" x14ac:dyDescent="0.25">
      <c r="A1057" s="3" t="str">
        <f>HYPERLINK("proteomic_fractions_linear_files/Yang_linear_img/160333440.jpg", "160333440")</f>
        <v>160333440</v>
      </c>
      <c r="C1057" s="3" t="str">
        <f>HYPERLINK("http://www.ncbi.nlm.nih.gov/protein/160333440","Ccdc93")</f>
        <v>Ccdc93</v>
      </c>
      <c r="E1057" t="str">
        <f>HYPERLINK("J:\Depot - mpkCCD Fractions\Main Web Page\Web Pages_old\proteomic_fractions_linear_files/Yang_linear_img/160333440.jpg","show blot")</f>
        <v>show blot</v>
      </c>
      <c r="G1057" t="s">
        <v>1048</v>
      </c>
      <c r="I1057" s="6">
        <v>5.049119191310905</v>
      </c>
      <c r="K1057" s="8"/>
    </row>
    <row r="1058" spans="1:11" ht="15" x14ac:dyDescent="0.25">
      <c r="A1058" s="3" t="str">
        <f>HYPERLINK("proteomic_fractions_linear_files/Yang_linear_img/68448542.jpg", "68448542")</f>
        <v>68448542</v>
      </c>
      <c r="C1058" s="3" t="str">
        <f>HYPERLINK("http://www.ncbi.nlm.nih.gov/protein/68448542","Ccdc93")</f>
        <v>Ccdc93</v>
      </c>
      <c r="E1058" t="str">
        <f>HYPERLINK("J:\Depot - mpkCCD Fractions\Main Web Page\Web Pages_old\proteomic_fractions_linear_files/Yang_linear_img/68448542.jpg","show blot")</f>
        <v>show blot</v>
      </c>
      <c r="G1058" t="s">
        <v>1049</v>
      </c>
      <c r="I1058" s="6">
        <v>5.049119191310905</v>
      </c>
      <c r="K1058" s="8"/>
    </row>
    <row r="1059" spans="1:11" ht="15" x14ac:dyDescent="0.25">
      <c r="A1059" s="3" t="str">
        <f>HYPERLINK("proteomic_fractions_linear_files/Yang_linear_img/157738617.jpg", "157738617")</f>
        <v>157738617</v>
      </c>
      <c r="C1059" s="3" t="str">
        <f>HYPERLINK("http://www.ncbi.nlm.nih.gov/protein/157738617","Cchcr1")</f>
        <v>Cchcr1</v>
      </c>
      <c r="E1059" t="str">
        <f>HYPERLINK("J:\Depot - mpkCCD Fractions\Main Web Page\Web Pages_old\proteomic_fractions_linear_files/Yang_linear_img/157738617.jpg","show blot")</f>
        <v>show blot</v>
      </c>
      <c r="G1059" t="s">
        <v>1050</v>
      </c>
      <c r="I1059" s="6">
        <v>3.4735456942187928</v>
      </c>
      <c r="K1059" s="8"/>
    </row>
    <row r="1060" spans="1:11" ht="15" x14ac:dyDescent="0.25">
      <c r="A1060" s="3" t="str">
        <f>HYPERLINK("proteomic_fractions_linear_files/Yang_linear_img/12963599.jpg", "12963599")</f>
        <v>12963599</v>
      </c>
      <c r="C1060" s="3" t="str">
        <f>HYPERLINK("http://www.ncbi.nlm.nih.gov/protein/12963599","Ccnh")</f>
        <v>Ccnh</v>
      </c>
      <c r="E1060" t="str">
        <f>HYPERLINK("J:\Depot - mpkCCD Fractions\Main Web Page\Web Pages_old\proteomic_fractions_linear_files/Yang_linear_img/12963599.jpg","show blot")</f>
        <v>show blot</v>
      </c>
      <c r="G1060" t="s">
        <v>1051</v>
      </c>
      <c r="I1060" s="6">
        <v>2.8205297155995526</v>
      </c>
      <c r="K1060" s="8"/>
    </row>
    <row r="1061" spans="1:11" ht="15" x14ac:dyDescent="0.25">
      <c r="A1061" s="3" t="str">
        <f>HYPERLINK("proteomic_fractions_linear_files/Yang_linear_img/157841168.jpg", "157841168")</f>
        <v>157841168</v>
      </c>
      <c r="C1061" s="3" t="str">
        <f>HYPERLINK("http://www.ncbi.nlm.nih.gov/protein/157841168","Ccnk")</f>
        <v>Ccnk</v>
      </c>
      <c r="E1061" t="str">
        <f>HYPERLINK("J:\Depot - mpkCCD Fractions\Main Web Page\Web Pages_old\proteomic_fractions_linear_files/Yang_linear_img/157841168.jpg","show blot")</f>
        <v>show blot</v>
      </c>
      <c r="G1061" t="s">
        <v>1052</v>
      </c>
      <c r="I1061" s="6">
        <v>3.3642517337804319</v>
      </c>
      <c r="K1061" s="8"/>
    </row>
    <row r="1062" spans="1:11" ht="15" x14ac:dyDescent="0.25">
      <c r="A1062" s="3" t="str">
        <f>HYPERLINK("proteomic_fractions_linear_files/Yang_linear_img/70906460.jpg", "70906460")</f>
        <v>70906460</v>
      </c>
      <c r="C1062" s="3" t="str">
        <f>HYPERLINK("http://www.ncbi.nlm.nih.gov/protein/70906460","Ccnl1")</f>
        <v>Ccnl1</v>
      </c>
      <c r="E1062" t="str">
        <f>HYPERLINK("J:\Depot - mpkCCD Fractions\Main Web Page\Web Pages_old\proteomic_fractions_linear_files/Yang_linear_img/70906460.jpg","show blot")</f>
        <v>show blot</v>
      </c>
      <c r="G1062" t="s">
        <v>1053</v>
      </c>
      <c r="I1062" s="6">
        <v>2.8490268288315073</v>
      </c>
      <c r="K1062" s="8"/>
    </row>
    <row r="1063" spans="1:11" ht="15" x14ac:dyDescent="0.25">
      <c r="A1063" s="3" t="str">
        <f>HYPERLINK("proteomic_fractions_linear_files/Yang_linear_img/6753316.jpg", "6753316")</f>
        <v>6753316</v>
      </c>
      <c r="C1063" s="3" t="str">
        <f>HYPERLINK("http://www.ncbi.nlm.nih.gov/protein/6753316","Ccnt1")</f>
        <v>Ccnt1</v>
      </c>
      <c r="E1063" t="str">
        <f>HYPERLINK("J:\Depot - mpkCCD Fractions\Main Web Page\Web Pages_old\proteomic_fractions_linear_files/Yang_linear_img/6753316.jpg","show blot")</f>
        <v>show blot</v>
      </c>
      <c r="G1063" t="s">
        <v>1054</v>
      </c>
      <c r="I1063" s="6">
        <v>2.8893437289710531</v>
      </c>
      <c r="K1063" s="8"/>
    </row>
    <row r="1064" spans="1:11" ht="15" x14ac:dyDescent="0.25">
      <c r="A1064" s="3" t="str">
        <f>HYPERLINK("proteomic_fractions_linear_files/Yang_linear_img/31542003.jpg", "31542003")</f>
        <v>31542003</v>
      </c>
      <c r="C1064" s="3" t="str">
        <f>HYPERLINK("http://www.ncbi.nlm.nih.gov/protein/31542003","Ccny")</f>
        <v>Ccny</v>
      </c>
      <c r="E1064" t="str">
        <f>HYPERLINK("J:\Depot - mpkCCD Fractions\Main Web Page\Web Pages_old\proteomic_fractions_linear_files/Yang_linear_img/31542003.jpg","show blot")</f>
        <v>show blot</v>
      </c>
      <c r="G1064" t="s">
        <v>1055</v>
      </c>
      <c r="I1064" s="6">
        <v>2.9086911876372823</v>
      </c>
      <c r="K1064" s="8"/>
    </row>
    <row r="1065" spans="1:11" ht="15" x14ac:dyDescent="0.25">
      <c r="A1065" s="3" t="str">
        <f>HYPERLINK("proteomic_fractions_linear_files/Yang_linear_img/148237243.jpg", "148237243")</f>
        <v>148237243</v>
      </c>
      <c r="C1065" s="3" t="str">
        <f>HYPERLINK("http://www.ncbi.nlm.nih.gov/protein/148237243","Ccnyl1")</f>
        <v>Ccnyl1</v>
      </c>
      <c r="E1065" t="str">
        <f>HYPERLINK("J:\Depot - mpkCCD Fractions\Main Web Page\Web Pages_old\proteomic_fractions_linear_files/Yang_linear_img/148237243.jpg","show blot")</f>
        <v>show blot</v>
      </c>
      <c r="G1065" t="s">
        <v>1056</v>
      </c>
      <c r="I1065" s="6">
        <v>2.2258411795044171</v>
      </c>
      <c r="K1065" s="8"/>
    </row>
    <row r="1066" spans="1:11" ht="15" x14ac:dyDescent="0.25">
      <c r="A1066" s="3" t="str">
        <f>HYPERLINK("proteomic_fractions_linear_files/Yang_linear_img/8393066.jpg", "8393066")</f>
        <v>8393066</v>
      </c>
      <c r="C1066" s="3" t="str">
        <f>HYPERLINK("http://www.ncbi.nlm.nih.gov/protein/8393066","Ccs")</f>
        <v>Ccs</v>
      </c>
      <c r="E1066" t="str">
        <f>HYPERLINK("J:\Depot - mpkCCD Fractions\Main Web Page\Web Pages_old\proteomic_fractions_linear_files/Yang_linear_img/8393066.jpg","show blot")</f>
        <v>show blot</v>
      </c>
      <c r="G1066" t="s">
        <v>1057</v>
      </c>
      <c r="I1066" s="6">
        <v>5.2749916307694349</v>
      </c>
      <c r="K1066" s="8"/>
    </row>
    <row r="1067" spans="1:11" ht="15" x14ac:dyDescent="0.25">
      <c r="A1067" s="3" t="str">
        <f>HYPERLINK("proteomic_fractions_linear_files/Yang_linear_img/126521835.jpg", "126521835")</f>
        <v>126521835</v>
      </c>
      <c r="C1067" s="3" t="str">
        <f>HYPERLINK("http://www.ncbi.nlm.nih.gov/protein/126521835","Cct2")</f>
        <v>Cct2</v>
      </c>
      <c r="E1067" t="str">
        <f>HYPERLINK("J:\Depot - mpkCCD Fractions\Main Web Page\Web Pages_old\proteomic_fractions_linear_files/Yang_linear_img/126521835.jpg","show blot")</f>
        <v>show blot</v>
      </c>
      <c r="G1067" t="s">
        <v>1058</v>
      </c>
      <c r="I1067" s="6">
        <v>6.3953903758661674</v>
      </c>
      <c r="K1067" s="8"/>
    </row>
    <row r="1068" spans="1:11" ht="15" x14ac:dyDescent="0.25">
      <c r="A1068" s="3" t="str">
        <f>HYPERLINK("proteomic_fractions_linear_files/Yang_linear_img/6753320.jpg", "6753320")</f>
        <v>6753320</v>
      </c>
      <c r="C1068" s="3" t="str">
        <f>HYPERLINK("http://www.ncbi.nlm.nih.gov/protein/6753320","Cct3")</f>
        <v>Cct3</v>
      </c>
      <c r="E1068" t="str">
        <f>HYPERLINK("J:\Depot - mpkCCD Fractions\Main Web Page\Web Pages_old\proteomic_fractions_linear_files/Yang_linear_img/6753320.jpg","show blot")</f>
        <v>show blot</v>
      </c>
      <c r="G1068" t="s">
        <v>1059</v>
      </c>
      <c r="I1068" s="6">
        <v>6.7544375646026307</v>
      </c>
      <c r="K1068" s="8"/>
    </row>
    <row r="1069" spans="1:11" ht="15" x14ac:dyDescent="0.25">
      <c r="A1069" s="3" t="str">
        <f>HYPERLINK("proteomic_fractions_linear_files/Yang_linear_img/6753322.jpg", "6753322")</f>
        <v>6753322</v>
      </c>
      <c r="C1069" s="3" t="str">
        <f>HYPERLINK("http://www.ncbi.nlm.nih.gov/protein/6753322","Cct4")</f>
        <v>Cct4</v>
      </c>
      <c r="E1069" t="str">
        <f>HYPERLINK("J:\Depot - mpkCCD Fractions\Main Web Page\Web Pages_old\proteomic_fractions_linear_files/Yang_linear_img/6753322.jpg","show blot")</f>
        <v>show blot</v>
      </c>
      <c r="G1069" t="s">
        <v>1060</v>
      </c>
      <c r="I1069" s="6">
        <v>6.5339128378947873</v>
      </c>
      <c r="K1069" s="8"/>
    </row>
    <row r="1070" spans="1:11" ht="15" x14ac:dyDescent="0.25">
      <c r="A1070" s="3" t="str">
        <f>HYPERLINK("proteomic_fractions_linear_files/Yang_linear_img/6671702.jpg", "6671702")</f>
        <v>6671702</v>
      </c>
      <c r="C1070" s="3" t="str">
        <f>HYPERLINK("http://www.ncbi.nlm.nih.gov/protein/6671702","Cct5")</f>
        <v>Cct5</v>
      </c>
      <c r="E1070" t="str">
        <f>HYPERLINK("J:\Depot - mpkCCD Fractions\Main Web Page\Web Pages_old\proteomic_fractions_linear_files/Yang_linear_img/6671702.jpg","show blot")</f>
        <v>show blot</v>
      </c>
      <c r="G1070" t="s">
        <v>1061</v>
      </c>
      <c r="I1070" s="6">
        <v>6.5937861433076579</v>
      </c>
      <c r="K1070" s="8"/>
    </row>
    <row r="1071" spans="1:11" ht="15" x14ac:dyDescent="0.25">
      <c r="A1071" s="3" t="str">
        <f>HYPERLINK("proteomic_fractions_linear_files/Yang_linear_img/6753324.jpg", "6753324")</f>
        <v>6753324</v>
      </c>
      <c r="C1071" s="3" t="str">
        <f>HYPERLINK("http://www.ncbi.nlm.nih.gov/protein/6753324","Cct6a")</f>
        <v>Cct6a</v>
      </c>
      <c r="E1071" t="str">
        <f>HYPERLINK("J:\Depot - mpkCCD Fractions\Main Web Page\Web Pages_old\proteomic_fractions_linear_files/Yang_linear_img/6753324.jpg","show blot")</f>
        <v>show blot</v>
      </c>
      <c r="G1071" t="s">
        <v>1062</v>
      </c>
      <c r="I1071" s="6">
        <v>6.5542468008245143</v>
      </c>
      <c r="K1071" s="8"/>
    </row>
    <row r="1072" spans="1:11" ht="15" x14ac:dyDescent="0.25">
      <c r="A1072" s="3" t="str">
        <f>HYPERLINK("proteomic_fractions_linear_files/Yang_linear_img/226693361.jpg", "226693361")</f>
        <v>226693361</v>
      </c>
      <c r="C1072" s="3" t="str">
        <f>HYPERLINK("http://www.ncbi.nlm.nih.gov/protein/226693361","Cct6b")</f>
        <v>Cct6b</v>
      </c>
      <c r="E1072" t="str">
        <f>HYPERLINK("J:\Depot - mpkCCD Fractions\Main Web Page\Web Pages_old\proteomic_fractions_linear_files/Yang_linear_img/226693361.jpg","show blot")</f>
        <v>show blot</v>
      </c>
      <c r="G1072" t="s">
        <v>1063</v>
      </c>
      <c r="I1072" s="6">
        <v>5.6293273509632478</v>
      </c>
      <c r="K1072" s="8"/>
    </row>
    <row r="1073" spans="1:11" ht="15" x14ac:dyDescent="0.25">
      <c r="A1073" s="3" t="str">
        <f>HYPERLINK("proteomic_fractions_linear_files/Yang_linear_img/238814391.jpg", "238814391")</f>
        <v>238814391</v>
      </c>
      <c r="C1073" s="3" t="str">
        <f>HYPERLINK("http://www.ncbi.nlm.nih.gov/protein/238814391","Cct7")</f>
        <v>Cct7</v>
      </c>
      <c r="E1073" t="str">
        <f>HYPERLINK("J:\Depot - mpkCCD Fractions\Main Web Page\Web Pages_old\proteomic_fractions_linear_files/Yang_linear_img/238814391.jpg","show blot")</f>
        <v>show blot</v>
      </c>
      <c r="G1073" t="s">
        <v>1064</v>
      </c>
      <c r="I1073" s="6">
        <v>6.5142113211279868</v>
      </c>
      <c r="K1073" s="8"/>
    </row>
    <row r="1074" spans="1:11" ht="15" x14ac:dyDescent="0.25">
      <c r="A1074" s="3" t="str">
        <f>HYPERLINK("proteomic_fractions_linear_files/Yang_linear_img/126723461.jpg", "126723461")</f>
        <v>126723461</v>
      </c>
      <c r="C1074" s="3" t="str">
        <f>HYPERLINK("http://www.ncbi.nlm.nih.gov/protein/126723461","Cct8")</f>
        <v>Cct8</v>
      </c>
      <c r="E1074" t="str">
        <f>HYPERLINK("J:\Depot - mpkCCD Fractions\Main Web Page\Web Pages_old\proteomic_fractions_linear_files/Yang_linear_img/126723461.jpg","show blot")</f>
        <v>show blot</v>
      </c>
      <c r="G1074" t="s">
        <v>1065</v>
      </c>
      <c r="I1074" s="6">
        <v>6.9101744179736961</v>
      </c>
      <c r="K1074" s="8"/>
    </row>
    <row r="1075" spans="1:11" ht="15" x14ac:dyDescent="0.25">
      <c r="A1075" s="3" t="str">
        <f>HYPERLINK("proteomic_fractions_linear_files/Yang_linear_img/29244114.jpg", "29244114")</f>
        <v>29244114</v>
      </c>
      <c r="C1075" s="3" t="str">
        <f>HYPERLINK("http://www.ncbi.nlm.nih.gov/protein/29244114","Ccz1")</f>
        <v>Ccz1</v>
      </c>
      <c r="E1075" t="str">
        <f>HYPERLINK("J:\Depot - mpkCCD Fractions\Main Web Page\Web Pages_old\proteomic_fractions_linear_files/Yang_linear_img/29244114.jpg","show blot")</f>
        <v>show blot</v>
      </c>
      <c r="G1075" t="s">
        <v>1066</v>
      </c>
      <c r="I1075" s="6">
        <v>3.5798139533617914</v>
      </c>
      <c r="K1075" s="8"/>
    </row>
    <row r="1076" spans="1:11" ht="15" x14ac:dyDescent="0.25">
      <c r="A1076" s="3" t="str">
        <f>HYPERLINK("proteomic_fractions_linear_files/Yang_linear_img/6753332.jpg", "6753332")</f>
        <v>6753332</v>
      </c>
      <c r="C1076" s="3" t="str">
        <f>HYPERLINK("http://www.ncbi.nlm.nih.gov/protein/6753332","Cd14")</f>
        <v>Cd14</v>
      </c>
      <c r="E1076" t="str">
        <f>HYPERLINK("J:\Depot - mpkCCD Fractions\Main Web Page\Web Pages_old\proteomic_fractions_linear_files/Yang_linear_img/6753332.jpg","show blot")</f>
        <v>show blot</v>
      </c>
      <c r="G1076" t="s">
        <v>1067</v>
      </c>
      <c r="I1076" s="6">
        <v>1.9758911364017928</v>
      </c>
      <c r="K1076" s="8"/>
    </row>
    <row r="1077" spans="1:11" ht="15" x14ac:dyDescent="0.25">
      <c r="A1077" s="3" t="str">
        <f>HYPERLINK("proteomic_fractions_linear_files/Yang_linear_img/161353452.jpg", "161353452")</f>
        <v>161353452</v>
      </c>
      <c r="C1077" s="3" t="str">
        <f>HYPERLINK("http://www.ncbi.nlm.nih.gov/protein/161353452","Cd151")</f>
        <v>Cd151</v>
      </c>
      <c r="E1077" t="str">
        <f>HYPERLINK("J:\Depot - mpkCCD Fractions\Main Web Page\Web Pages_old\proteomic_fractions_linear_files/Yang_linear_img/161353452.jpg","show blot")</f>
        <v>show blot</v>
      </c>
      <c r="G1077" t="s">
        <v>1068</v>
      </c>
      <c r="I1077" s="6">
        <v>4.3184845513626051</v>
      </c>
      <c r="K1077" s="8"/>
    </row>
    <row r="1078" spans="1:11" ht="15" x14ac:dyDescent="0.25">
      <c r="A1078" s="3" t="str">
        <f>HYPERLINK("proteomic_fractions_linear_files/Yang_linear_img/125987599.jpg", "125987599")</f>
        <v>125987599</v>
      </c>
      <c r="C1078" s="3" t="str">
        <f>HYPERLINK("http://www.ncbi.nlm.nih.gov/protein/125987599","Cd2ap")</f>
        <v>Cd2ap</v>
      </c>
      <c r="E1078" t="str">
        <f>HYPERLINK("J:\Depot - mpkCCD Fractions\Main Web Page\Web Pages_old\proteomic_fractions_linear_files/Yang_linear_img/125987599.jpg","show blot")</f>
        <v>show blot</v>
      </c>
      <c r="G1078" t="s">
        <v>1069</v>
      </c>
      <c r="I1078" s="6">
        <v>5.4854909256941955</v>
      </c>
      <c r="K1078" s="8"/>
    </row>
    <row r="1079" spans="1:11" ht="15" x14ac:dyDescent="0.25">
      <c r="A1079" s="3" t="str">
        <f>HYPERLINK("proteomic_fractions_linear_files/Yang_linear_img/17505208.jpg", "17505208")</f>
        <v>17505208</v>
      </c>
      <c r="C1079" s="3" t="str">
        <f>HYPERLINK("http://www.ncbi.nlm.nih.gov/protein/17505208","Cd2bp2")</f>
        <v>Cd2bp2</v>
      </c>
      <c r="E1079" t="str">
        <f>HYPERLINK("J:\Depot - mpkCCD Fractions\Main Web Page\Web Pages_old\proteomic_fractions_linear_files/Yang_linear_img/17505208.jpg","show blot")</f>
        <v>show blot</v>
      </c>
      <c r="G1079" t="s">
        <v>1070</v>
      </c>
      <c r="I1079" s="6">
        <v>3.8131790635179414</v>
      </c>
      <c r="K1079" s="8"/>
    </row>
    <row r="1080" spans="1:11" ht="15" x14ac:dyDescent="0.25">
      <c r="A1080" s="3" t="str">
        <f>HYPERLINK("proteomic_fractions_linear_files/Yang_linear_img/295293144.jpg", "295293144")</f>
        <v>295293144</v>
      </c>
      <c r="C1080" s="3" t="str">
        <f>HYPERLINK("http://www.ncbi.nlm.nih.gov/protein/295293144","Cd44")</f>
        <v>Cd44</v>
      </c>
      <c r="E1080" t="str">
        <f>HYPERLINK("J:\Depot - mpkCCD Fractions\Main Web Page\Web Pages_old\proteomic_fractions_linear_files/Yang_linear_img/295293144.jpg","show blot")</f>
        <v>show blot</v>
      </c>
      <c r="G1080" t="s">
        <v>1071</v>
      </c>
      <c r="I1080" s="6">
        <v>3.2094657126223667</v>
      </c>
      <c r="K1080" s="8"/>
    </row>
    <row r="1081" spans="1:11" ht="15" x14ac:dyDescent="0.25">
      <c r="A1081" s="3" t="str">
        <f>HYPERLINK("proteomic_fractions_linear_files/Yang_linear_img/295293146.jpg", "295293146")</f>
        <v>295293146</v>
      </c>
      <c r="C1081" s="3" t="str">
        <f>HYPERLINK("http://www.ncbi.nlm.nih.gov/protein/295293146","Cd44")</f>
        <v>Cd44</v>
      </c>
      <c r="E1081" t="str">
        <f>HYPERLINK("J:\Depot - mpkCCD Fractions\Main Web Page\Web Pages_old\proteomic_fractions_linear_files/Yang_linear_img/295293146.jpg","show blot")</f>
        <v>show blot</v>
      </c>
      <c r="G1081" t="s">
        <v>1072</v>
      </c>
      <c r="I1081" s="6">
        <v>3.2094657126223667</v>
      </c>
      <c r="K1081" s="8"/>
    </row>
    <row r="1082" spans="1:11" ht="15" x14ac:dyDescent="0.25">
      <c r="A1082" s="3" t="str">
        <f>HYPERLINK("proteomic_fractions_linear_files/Yang_linear_img/295293148.jpg", "295293148")</f>
        <v>295293148</v>
      </c>
      <c r="C1082" s="3" t="str">
        <f>HYPERLINK("http://www.ncbi.nlm.nih.gov/protein/295293148","Cd44")</f>
        <v>Cd44</v>
      </c>
      <c r="E1082" t="str">
        <f>HYPERLINK("J:\Depot - mpkCCD Fractions\Main Web Page\Web Pages_old\proteomic_fractions_linear_files/Yang_linear_img/295293148.jpg","show blot")</f>
        <v>show blot</v>
      </c>
      <c r="G1082" t="s">
        <v>1073</v>
      </c>
      <c r="I1082" s="6">
        <v>3.2094657126223667</v>
      </c>
      <c r="K1082" s="8"/>
    </row>
    <row r="1083" spans="1:11" ht="15" x14ac:dyDescent="0.25">
      <c r="A1083" s="3" t="str">
        <f>HYPERLINK("proteomic_fractions_linear_files/Yang_linear_img/85540466.jpg", "85540466")</f>
        <v>85540466</v>
      </c>
      <c r="C1083" s="3" t="str">
        <f>HYPERLINK("http://www.ncbi.nlm.nih.gov/protein/85540466","Cd44")</f>
        <v>Cd44</v>
      </c>
      <c r="E1083" t="str">
        <f>HYPERLINK("J:\Depot - mpkCCD Fractions\Main Web Page\Web Pages_old\proteomic_fractions_linear_files/Yang_linear_img/85540466.jpg","show blot")</f>
        <v>show blot</v>
      </c>
      <c r="G1083" t="s">
        <v>1074</v>
      </c>
      <c r="I1083" s="6">
        <v>3.2094657126223667</v>
      </c>
      <c r="K1083" s="8"/>
    </row>
    <row r="1084" spans="1:11" ht="15" x14ac:dyDescent="0.25">
      <c r="A1084" s="3" t="str">
        <f>HYPERLINK("proteomic_fractions_linear_files/Yang_linear_img/85540468.jpg", "85540468")</f>
        <v>85540468</v>
      </c>
      <c r="C1084" s="3" t="str">
        <f>HYPERLINK("http://www.ncbi.nlm.nih.gov/protein/85540468","Cd44")</f>
        <v>Cd44</v>
      </c>
      <c r="E1084" t="str">
        <f>HYPERLINK("J:\Depot - mpkCCD Fractions\Main Web Page\Web Pages_old\proteomic_fractions_linear_files/Yang_linear_img/85540468.jpg","show blot")</f>
        <v>show blot</v>
      </c>
      <c r="G1084" t="s">
        <v>1075</v>
      </c>
      <c r="I1084" s="6">
        <v>3.2094657126223667</v>
      </c>
      <c r="K1084" s="8"/>
    </row>
    <row r="1085" spans="1:11" ht="15" x14ac:dyDescent="0.25">
      <c r="A1085" s="3" t="str">
        <f>HYPERLINK("proteomic_fractions_linear_files/Yang_linear_img/85540471.jpg", "85540471")</f>
        <v>85540471</v>
      </c>
      <c r="C1085" s="3" t="str">
        <f>HYPERLINK("http://www.ncbi.nlm.nih.gov/protein/85540471","Cd44")</f>
        <v>Cd44</v>
      </c>
      <c r="E1085" t="str">
        <f>HYPERLINK("J:\Depot - mpkCCD Fractions\Main Web Page\Web Pages_old\proteomic_fractions_linear_files/Yang_linear_img/85540471.jpg","show blot")</f>
        <v>show blot</v>
      </c>
      <c r="G1085" t="s">
        <v>1076</v>
      </c>
      <c r="I1085" s="6">
        <v>3.2094657126223667</v>
      </c>
      <c r="K1085" s="8"/>
    </row>
    <row r="1086" spans="1:11" ht="15" x14ac:dyDescent="0.25">
      <c r="A1086" s="3" t="str">
        <f>HYPERLINK("proteomic_fractions_linear_files/Yang_linear_img/6754382.jpg", "6754382")</f>
        <v>6754382</v>
      </c>
      <c r="C1086" s="3" t="str">
        <f>HYPERLINK("http://www.ncbi.nlm.nih.gov/protein/6754382","Cd47")</f>
        <v>Cd47</v>
      </c>
      <c r="E1086" t="str">
        <f>HYPERLINK("J:\Depot - mpkCCD Fractions\Main Web Page\Web Pages_old\proteomic_fractions_linear_files/Yang_linear_img/6754382.jpg","show blot")</f>
        <v>show blot</v>
      </c>
      <c r="G1086" t="s">
        <v>1077</v>
      </c>
      <c r="I1086" s="6">
        <v>5.0120440292204265</v>
      </c>
      <c r="K1086" s="8"/>
    </row>
    <row r="1087" spans="1:11" ht="15" x14ac:dyDescent="0.25">
      <c r="A1087" s="3" t="str">
        <f>HYPERLINK("proteomic_fractions_linear_files/Yang_linear_img/6671714.jpg", "6671714")</f>
        <v>6671714</v>
      </c>
      <c r="C1087" s="3" t="str">
        <f>HYPERLINK("http://www.ncbi.nlm.nih.gov/protein/6671714","Cd59a")</f>
        <v>Cd59a</v>
      </c>
      <c r="E1087" t="str">
        <f>HYPERLINK("J:\Depot - mpkCCD Fractions\Main Web Page\Web Pages_old\proteomic_fractions_linear_files/Yang_linear_img/6671714.jpg","show blot")</f>
        <v>show blot</v>
      </c>
      <c r="G1087" t="s">
        <v>1078</v>
      </c>
      <c r="I1087" s="6">
        <v>3.3318265883300753</v>
      </c>
      <c r="K1087" s="8"/>
    </row>
    <row r="1088" spans="1:11" ht="15" x14ac:dyDescent="0.25">
      <c r="A1088" s="3" t="str">
        <f>HYPERLINK("proteomic_fractions_linear_files/Yang_linear_img/6680888.jpg", "6680888")</f>
        <v>6680888</v>
      </c>
      <c r="C1088" s="3" t="str">
        <f>HYPERLINK("http://www.ncbi.nlm.nih.gov/protein/6680888","Cd63")</f>
        <v>Cd63</v>
      </c>
      <c r="E1088" t="str">
        <f>HYPERLINK("J:\Depot - mpkCCD Fractions\Main Web Page\Web Pages_old\proteomic_fractions_linear_files/Yang_linear_img/6680888.jpg","show blot")</f>
        <v>show blot</v>
      </c>
      <c r="G1088" t="s">
        <v>1079</v>
      </c>
      <c r="I1088" s="6">
        <v>6.1110160950737251</v>
      </c>
      <c r="K1088" s="8"/>
    </row>
    <row r="1089" spans="1:11" ht="15" x14ac:dyDescent="0.25">
      <c r="A1089" s="3" t="str">
        <f>HYPERLINK("proteomic_fractions_linear_files/Yang_linear_img/19526794.jpg", "19526794")</f>
        <v>19526794</v>
      </c>
      <c r="C1089" s="3" t="str">
        <f>HYPERLINK("http://www.ncbi.nlm.nih.gov/protein/19526794","Cd81")</f>
        <v>Cd81</v>
      </c>
      <c r="E1089" t="str">
        <f>HYPERLINK("J:\Depot - mpkCCD Fractions\Main Web Page\Web Pages_old\proteomic_fractions_linear_files/Yang_linear_img/19526794.jpg","show blot")</f>
        <v>show blot</v>
      </c>
      <c r="G1089" t="s">
        <v>1080</v>
      </c>
      <c r="I1089" s="6">
        <v>3.8012308211393959</v>
      </c>
      <c r="K1089" s="8"/>
    </row>
    <row r="1090" spans="1:11" ht="15" x14ac:dyDescent="0.25">
      <c r="A1090" s="3" t="str">
        <f>HYPERLINK("proteomic_fractions_linear_files/Yang_linear_img/6671718.jpg", "6671718")</f>
        <v>6671718</v>
      </c>
      <c r="C1090" s="3" t="str">
        <f>HYPERLINK("http://www.ncbi.nlm.nih.gov/protein/6671718","Cd82")</f>
        <v>Cd82</v>
      </c>
      <c r="E1090" t="str">
        <f>HYPERLINK("J:\Depot - mpkCCD Fractions\Main Web Page\Web Pages_old\proteomic_fractions_linear_files/Yang_linear_img/6671718.jpg","show blot")</f>
        <v>show blot</v>
      </c>
      <c r="G1090" t="s">
        <v>1081</v>
      </c>
      <c r="I1090" s="6">
        <v>5.8146437927812302</v>
      </c>
      <c r="K1090" s="8"/>
    </row>
    <row r="1091" spans="1:11" ht="15" x14ac:dyDescent="0.25">
      <c r="A1091" s="3" t="str">
        <f>HYPERLINK("proteomic_fractions_linear_files/Yang_linear_img/6680894.jpg", "6680894")</f>
        <v>6680894</v>
      </c>
      <c r="C1091" s="3" t="str">
        <f>HYPERLINK("http://www.ncbi.nlm.nih.gov/protein/6680894","Cd9")</f>
        <v>Cd9</v>
      </c>
      <c r="E1091" t="str">
        <f>HYPERLINK("J:\Depot - mpkCCD Fractions\Main Web Page\Web Pages_old\proteomic_fractions_linear_files/Yang_linear_img/6680894.jpg","show blot")</f>
        <v>show blot</v>
      </c>
      <c r="G1091" t="s">
        <v>1082</v>
      </c>
      <c r="I1091" s="6">
        <v>4.5769640870386397</v>
      </c>
      <c r="K1091" s="8"/>
    </row>
    <row r="1092" spans="1:11" ht="15" x14ac:dyDescent="0.25">
      <c r="A1092" s="3" t="str">
        <f>HYPERLINK("proteomic_fractions_linear_files/Yang_linear_img/58037289.jpg", "58037289")</f>
        <v>58037289</v>
      </c>
      <c r="C1092" s="3" t="str">
        <f>HYPERLINK("http://www.ncbi.nlm.nih.gov/protein/58037289","Cda")</f>
        <v>Cda</v>
      </c>
      <c r="E1092" t="str">
        <f>HYPERLINK("J:\Depot - mpkCCD Fractions\Main Web Page\Web Pages_old\proteomic_fractions_linear_files/Yang_linear_img/58037289.jpg","show blot")</f>
        <v>show blot</v>
      </c>
      <c r="G1092" t="s">
        <v>1083</v>
      </c>
      <c r="I1092" s="6">
        <v>4.5964849698768981</v>
      </c>
      <c r="K1092" s="8"/>
    </row>
    <row r="1093" spans="1:11" ht="15" x14ac:dyDescent="0.25">
      <c r="A1093" s="3" t="str">
        <f>HYPERLINK("proteomic_fractions_linear_files/Yang_linear_img/19527052.jpg", "19527052")</f>
        <v>19527052</v>
      </c>
      <c r="C1093" s="3" t="str">
        <f>HYPERLINK("http://www.ncbi.nlm.nih.gov/protein/19527052","Cdc123")</f>
        <v>Cdc123</v>
      </c>
      <c r="E1093" t="str">
        <f>HYPERLINK("J:\Depot - mpkCCD Fractions\Main Web Page\Web Pages_old\proteomic_fractions_linear_files/Yang_linear_img/19527052.jpg","show blot")</f>
        <v>show blot</v>
      </c>
      <c r="G1093" t="s">
        <v>1084</v>
      </c>
      <c r="I1093" s="6">
        <v>4.6269932009614303</v>
      </c>
      <c r="K1093" s="8"/>
    </row>
    <row r="1094" spans="1:11" ht="15" x14ac:dyDescent="0.25">
      <c r="A1094" s="3" t="str">
        <f>HYPERLINK("proteomic_fractions_linear_files/Yang_linear_img/68448515.jpg", "68448515")</f>
        <v>68448515</v>
      </c>
      <c r="C1094" s="3" t="str">
        <f>HYPERLINK("http://www.ncbi.nlm.nih.gov/protein/68448515","Cdc16")</f>
        <v>Cdc16</v>
      </c>
      <c r="E1094" t="str">
        <f>HYPERLINK("J:\Depot - mpkCCD Fractions\Main Web Page\Web Pages_old\proteomic_fractions_linear_files/Yang_linear_img/68448515.jpg","show blot")</f>
        <v>show blot</v>
      </c>
      <c r="G1094" t="s">
        <v>1085</v>
      </c>
      <c r="I1094" s="6">
        <v>4.2763402921375366</v>
      </c>
      <c r="K1094" s="8"/>
    </row>
    <row r="1095" spans="1:11" ht="15" x14ac:dyDescent="0.25">
      <c r="A1095" s="3" t="str">
        <f>HYPERLINK("proteomic_fractions_linear_files/Yang_linear_img/30387632.jpg", "30387632")</f>
        <v>30387632</v>
      </c>
      <c r="C1095" s="3" t="str">
        <f>HYPERLINK("http://www.ncbi.nlm.nih.gov/protein/30387632","Cdc23")</f>
        <v>Cdc23</v>
      </c>
      <c r="E1095" t="str">
        <f>HYPERLINK("J:\Depot - mpkCCD Fractions\Main Web Page\Web Pages_old\proteomic_fractions_linear_files/Yang_linear_img/30387632.jpg","show blot")</f>
        <v>show blot</v>
      </c>
      <c r="G1095" t="s">
        <v>1086</v>
      </c>
      <c r="I1095" s="6">
        <v>4.6709686812548927</v>
      </c>
      <c r="K1095" s="8"/>
    </row>
    <row r="1096" spans="1:11" ht="15" x14ac:dyDescent="0.25">
      <c r="A1096" s="3" t="str">
        <f>HYPERLINK("proteomic_fractions_linear_files/Yang_linear_img/12963487.jpg", "12963487")</f>
        <v>12963487</v>
      </c>
      <c r="C1096" s="3" t="str">
        <f>HYPERLINK("http://www.ncbi.nlm.nih.gov/protein/12963487","Cdc25b")</f>
        <v>Cdc25b</v>
      </c>
      <c r="E1096" t="str">
        <f>HYPERLINK("J:\Depot - mpkCCD Fractions\Main Web Page\Web Pages_old\proteomic_fractions_linear_files/Yang_linear_img/12963487.jpg","show blot")</f>
        <v>show blot</v>
      </c>
      <c r="G1096" t="s">
        <v>1087</v>
      </c>
      <c r="I1096" s="6">
        <v>3.2082502298258979</v>
      </c>
      <c r="K1096" s="8"/>
    </row>
    <row r="1097" spans="1:11" ht="15" x14ac:dyDescent="0.25">
      <c r="A1097" s="3" t="str">
        <f>HYPERLINK("proteomic_fractions_linear_files/Yang_linear_img/161621261.jpg", "161621261")</f>
        <v>161621261</v>
      </c>
      <c r="C1097" s="3" t="str">
        <f>HYPERLINK("http://www.ncbi.nlm.nih.gov/protein/161621261","Cdc25b")</f>
        <v>Cdc25b</v>
      </c>
      <c r="E1097" t="str">
        <f>HYPERLINK("J:\Depot - mpkCCD Fractions\Main Web Page\Web Pages_old\proteomic_fractions_linear_files/Yang_linear_img/161621261.jpg","show blot")</f>
        <v>show blot</v>
      </c>
      <c r="G1097" t="s">
        <v>1088</v>
      </c>
      <c r="I1097" s="6">
        <v>3.2082502298258979</v>
      </c>
      <c r="K1097" s="8"/>
    </row>
    <row r="1098" spans="1:11" ht="15" x14ac:dyDescent="0.25">
      <c r="A1098" s="3" t="str">
        <f>HYPERLINK("proteomic_fractions_linear_files/Yang_linear_img/21314828.jpg", "21314828")</f>
        <v>21314828</v>
      </c>
      <c r="C1098" s="3" t="str">
        <f>HYPERLINK("http://www.ncbi.nlm.nih.gov/protein/21314828","Cdc26")</f>
        <v>Cdc26</v>
      </c>
      <c r="E1098" t="str">
        <f>HYPERLINK("J:\Depot - mpkCCD Fractions\Main Web Page\Web Pages_old\proteomic_fractions_linear_files/Yang_linear_img/21314828.jpg","show blot")</f>
        <v>show blot</v>
      </c>
      <c r="G1098" t="s">
        <v>1089</v>
      </c>
      <c r="I1098" s="6">
        <v>4.4487994370311315</v>
      </c>
      <c r="K1098" s="8"/>
    </row>
    <row r="1099" spans="1:11" ht="15" x14ac:dyDescent="0.25">
      <c r="A1099" s="3" t="str">
        <f>HYPERLINK("proteomic_fractions_linear_files/Yang_linear_img/29243988.jpg", "29243988")</f>
        <v>29243988</v>
      </c>
      <c r="C1099" s="3" t="str">
        <f>HYPERLINK("http://www.ncbi.nlm.nih.gov/protein/29243988","Cdc34")</f>
        <v>Cdc34</v>
      </c>
      <c r="E1099" t="str">
        <f>HYPERLINK("J:\Depot - mpkCCD Fractions\Main Web Page\Web Pages_old\proteomic_fractions_linear_files/Yang_linear_img/29243988.jpg","show blot")</f>
        <v>show blot</v>
      </c>
      <c r="G1099" t="s">
        <v>1090</v>
      </c>
      <c r="I1099" s="6">
        <v>4.6295911816813389</v>
      </c>
      <c r="K1099" s="8"/>
    </row>
    <row r="1100" spans="1:11" ht="15" x14ac:dyDescent="0.25">
      <c r="A1100" s="3" t="str">
        <f>HYPERLINK("proteomic_fractions_linear_files/Yang_linear_img/7949018.jpg", "7949018")</f>
        <v>7949018</v>
      </c>
      <c r="C1100" s="3" t="str">
        <f>HYPERLINK("http://www.ncbi.nlm.nih.gov/protein/7949018","Cdc37")</f>
        <v>Cdc37</v>
      </c>
      <c r="E1100" t="str">
        <f>HYPERLINK("J:\Depot - mpkCCD Fractions\Main Web Page\Web Pages_old\proteomic_fractions_linear_files/Yang_linear_img/7949018.jpg","show blot")</f>
        <v>show blot</v>
      </c>
      <c r="G1100" t="s">
        <v>1091</v>
      </c>
      <c r="I1100" s="6">
        <v>6.0271464978643472</v>
      </c>
      <c r="K1100" s="8"/>
    </row>
    <row r="1101" spans="1:11" ht="15" x14ac:dyDescent="0.25">
      <c r="A1101" s="3" t="str">
        <f>HYPERLINK("proteomic_fractions_linear_files/Yang_linear_img/198278501.jpg", "198278501")</f>
        <v>198278501</v>
      </c>
      <c r="C1101" s="3" t="str">
        <f>HYPERLINK("http://www.ncbi.nlm.nih.gov/protein/198278501","Cdc40")</f>
        <v>Cdc40</v>
      </c>
      <c r="E1101" t="str">
        <f>HYPERLINK("J:\Depot - mpkCCD Fractions\Main Web Page\Web Pages_old\proteomic_fractions_linear_files/Yang_linear_img/198278501.jpg","show blot")</f>
        <v>show blot</v>
      </c>
      <c r="G1101" t="s">
        <v>1092</v>
      </c>
      <c r="I1101" s="6">
        <v>2.1708031172708937</v>
      </c>
      <c r="K1101" s="8"/>
    </row>
    <row r="1102" spans="1:11" ht="15" x14ac:dyDescent="0.25">
      <c r="A1102" s="3" t="str">
        <f>HYPERLINK("proteomic_fractions_linear_files/Yang_linear_img/344313177.jpg", "344313177")</f>
        <v>344313177</v>
      </c>
      <c r="C1102" s="3" t="str">
        <f>HYPERLINK("http://www.ncbi.nlm.nih.gov/protein/344313177","Cdc42")</f>
        <v>Cdc42</v>
      </c>
      <c r="E1102" t="str">
        <f>HYPERLINK("J:\Depot - mpkCCD Fractions\Main Web Page\Web Pages_old\proteomic_fractions_linear_files/Yang_linear_img/344313177.jpg","show blot")</f>
        <v>show blot</v>
      </c>
      <c r="G1102" t="s">
        <v>1093</v>
      </c>
      <c r="I1102" s="6">
        <v>6.3255117167684176</v>
      </c>
      <c r="K1102" s="8"/>
    </row>
    <row r="1103" spans="1:11" ht="15" x14ac:dyDescent="0.25">
      <c r="A1103" s="3" t="str">
        <f>HYPERLINK("proteomic_fractions_linear_files/Yang_linear_img/6753364.jpg", "6753364")</f>
        <v>6753364</v>
      </c>
      <c r="C1103" s="3" t="str">
        <f>HYPERLINK("http://www.ncbi.nlm.nih.gov/protein/6753364","Cdc42")</f>
        <v>Cdc42</v>
      </c>
      <c r="E1103" t="str">
        <f>HYPERLINK("J:\Depot - mpkCCD Fractions\Main Web Page\Web Pages_old\proteomic_fractions_linear_files/Yang_linear_img/6753364.jpg","show blot")</f>
        <v>show blot</v>
      </c>
      <c r="G1103" t="s">
        <v>1094</v>
      </c>
      <c r="I1103" s="6">
        <v>6.3255117167684176</v>
      </c>
      <c r="K1103" s="8"/>
    </row>
    <row r="1104" spans="1:11" ht="15" x14ac:dyDescent="0.25">
      <c r="A1104" s="3" t="str">
        <f>HYPERLINK("proteomic_fractions_linear_files/Yang_linear_img/254692972.jpg", "254692972")</f>
        <v>254692972</v>
      </c>
      <c r="C1104" s="3" t="str">
        <f>HYPERLINK("http://www.ncbi.nlm.nih.gov/protein/254692972","Cdc42bpa")</f>
        <v>Cdc42bpa</v>
      </c>
      <c r="E1104" t="str">
        <f>HYPERLINK("J:\Depot - mpkCCD Fractions\Main Web Page\Web Pages_old\proteomic_fractions_linear_files/Yang_linear_img/254692972.jpg","show blot")</f>
        <v>show blot</v>
      </c>
      <c r="G1104" t="s">
        <v>1095</v>
      </c>
      <c r="I1104" s="6">
        <v>3.9145063040549641</v>
      </c>
      <c r="K1104" s="8"/>
    </row>
    <row r="1105" spans="1:11" ht="15" x14ac:dyDescent="0.25">
      <c r="A1105" s="3" t="str">
        <f>HYPERLINK("proteomic_fractions_linear_files/Yang_linear_img/283135190.jpg", "283135190")</f>
        <v>283135190</v>
      </c>
      <c r="C1105" s="3" t="str">
        <f>HYPERLINK("http://www.ncbi.nlm.nih.gov/protein/283135190","Cdc42bpb")</f>
        <v>Cdc42bpb</v>
      </c>
      <c r="E1105" t="str">
        <f>HYPERLINK("J:\Depot - mpkCCD Fractions\Main Web Page\Web Pages_old\proteomic_fractions_linear_files/Yang_linear_img/283135190.jpg","show blot")</f>
        <v>show blot</v>
      </c>
      <c r="G1105" t="s">
        <v>1096</v>
      </c>
      <c r="I1105" s="6">
        <v>5.2082056502125411</v>
      </c>
      <c r="K1105" s="8"/>
    </row>
    <row r="1106" spans="1:11" ht="15" x14ac:dyDescent="0.25">
      <c r="A1106" s="3" t="str">
        <f>HYPERLINK("proteomic_fractions_linear_files/Yang_linear_img/254675191.jpg", "254675191")</f>
        <v>254675191</v>
      </c>
      <c r="C1106" s="3" t="str">
        <f>HYPERLINK("http://www.ncbi.nlm.nih.gov/protein/254675191","Cdc42bpg")</f>
        <v>Cdc42bpg</v>
      </c>
      <c r="E1106" t="str">
        <f>HYPERLINK("J:\Depot - mpkCCD Fractions\Main Web Page\Web Pages_old\proteomic_fractions_linear_files/Yang_linear_img/254675191.jpg","show blot")</f>
        <v>show blot</v>
      </c>
      <c r="G1106" t="s">
        <v>1097</v>
      </c>
      <c r="I1106" s="6">
        <v>4.08550644361208</v>
      </c>
      <c r="K1106" s="8"/>
    </row>
    <row r="1107" spans="1:11" ht="15" x14ac:dyDescent="0.25">
      <c r="A1107" s="3" t="str">
        <f>HYPERLINK("proteomic_fractions_linear_files/Yang_linear_img/9910142.jpg", "9910142")</f>
        <v>9910142</v>
      </c>
      <c r="C1107" s="3" t="str">
        <f>HYPERLINK("http://www.ncbi.nlm.nih.gov/protein/9910142","Cdc42ep4")</f>
        <v>Cdc42ep4</v>
      </c>
      <c r="E1107" t="str">
        <f>HYPERLINK("J:\Depot - mpkCCD Fractions\Main Web Page\Web Pages_old\proteomic_fractions_linear_files/Yang_linear_img/9910142.jpg","show blot")</f>
        <v>show blot</v>
      </c>
      <c r="G1107" t="s">
        <v>1098</v>
      </c>
      <c r="I1107" s="6">
        <v>3.4875578970518397</v>
      </c>
      <c r="K1107" s="8"/>
    </row>
    <row r="1108" spans="1:11" ht="15" x14ac:dyDescent="0.25">
      <c r="A1108" s="3" t="str">
        <f>HYPERLINK("proteomic_fractions_linear_files/Yang_linear_img/10946838.jpg", "10946838")</f>
        <v>10946838</v>
      </c>
      <c r="C1108" s="3" t="str">
        <f>HYPERLINK("http://www.ncbi.nlm.nih.gov/protein/10946838","Cdc42ep5")</f>
        <v>Cdc42ep5</v>
      </c>
      <c r="E1108" t="str">
        <f>HYPERLINK("J:\Depot - mpkCCD Fractions\Main Web Page\Web Pages_old\proteomic_fractions_linear_files/Yang_linear_img/10946838.jpg","show blot")</f>
        <v>show blot</v>
      </c>
      <c r="G1108" t="s">
        <v>1099</v>
      </c>
      <c r="I1108" s="6">
        <v>3.3429965445962293</v>
      </c>
      <c r="K1108" s="8"/>
    </row>
    <row r="1109" spans="1:11" ht="15" x14ac:dyDescent="0.25">
      <c r="A1109" s="3" t="str">
        <f>HYPERLINK("proteomic_fractions_linear_files/Yang_linear_img/84781706.jpg", "84781706")</f>
        <v>84781706</v>
      </c>
      <c r="C1109" s="3" t="str">
        <f>HYPERLINK("http://www.ncbi.nlm.nih.gov/protein/84781706","Cdc42se1")</f>
        <v>Cdc42se1</v>
      </c>
      <c r="E1109" t="str">
        <f>HYPERLINK("J:\Depot - mpkCCD Fractions\Main Web Page\Web Pages_old\proteomic_fractions_linear_files/Yang_linear_img/84781706.jpg","show blot")</f>
        <v>show blot</v>
      </c>
      <c r="G1109" t="s">
        <v>1100</v>
      </c>
      <c r="I1109" s="6">
        <v>3.2777391368347746</v>
      </c>
      <c r="K1109" s="8"/>
    </row>
    <row r="1110" spans="1:11" ht="15" x14ac:dyDescent="0.25">
      <c r="A1110" s="3" t="str">
        <f>HYPERLINK("proteomic_fractions_linear_files/Yang_linear_img/22779899.jpg", "22779899")</f>
        <v>22779899</v>
      </c>
      <c r="C1110" s="3" t="str">
        <f>HYPERLINK("http://www.ncbi.nlm.nih.gov/protein/22779899","Cdc5l")</f>
        <v>Cdc5l</v>
      </c>
      <c r="E1110" t="str">
        <f>HYPERLINK("J:\Depot - mpkCCD Fractions\Main Web Page\Web Pages_old\proteomic_fractions_linear_files/Yang_linear_img/22779899.jpg","show blot")</f>
        <v>show blot</v>
      </c>
      <c r="G1110" t="s">
        <v>1101</v>
      </c>
      <c r="I1110" s="6">
        <v>4.7907697043650144</v>
      </c>
      <c r="K1110" s="8"/>
    </row>
    <row r="1111" spans="1:11" ht="15" x14ac:dyDescent="0.25">
      <c r="A1111" s="3" t="str">
        <f>HYPERLINK("proteomic_fractions_linear_files/Yang_linear_img/22122445.jpg", "22122445")</f>
        <v>22122445</v>
      </c>
      <c r="C1111" s="3" t="str">
        <f>HYPERLINK("http://www.ncbi.nlm.nih.gov/protein/22122445","Cdc73")</f>
        <v>Cdc73</v>
      </c>
      <c r="E1111" t="str">
        <f>HYPERLINK("J:\Depot - mpkCCD Fractions\Main Web Page\Web Pages_old\proteomic_fractions_linear_files/Yang_linear_img/22122445.jpg","show blot")</f>
        <v>show blot</v>
      </c>
      <c r="G1111" t="s">
        <v>1102</v>
      </c>
      <c r="I1111" s="6">
        <v>3.696463594190309</v>
      </c>
      <c r="K1111" s="8"/>
    </row>
    <row r="1112" spans="1:11" ht="15" x14ac:dyDescent="0.25">
      <c r="A1112" s="3" t="str">
        <f>HYPERLINK("proteomic_fractions_linear_files/Yang_linear_img/61098143.jpg", "61098143")</f>
        <v>61098143</v>
      </c>
      <c r="C1112" s="3" t="str">
        <f>HYPERLINK("http://www.ncbi.nlm.nih.gov/protein/61098143","Cdcp1")</f>
        <v>Cdcp1</v>
      </c>
      <c r="E1112" t="str">
        <f>HYPERLINK("J:\Depot - mpkCCD Fractions\Main Web Page\Web Pages_old\proteomic_fractions_linear_files/Yang_linear_img/61098143.jpg","show blot")</f>
        <v>show blot</v>
      </c>
      <c r="G1112" t="s">
        <v>1103</v>
      </c>
      <c r="I1112" s="6">
        <v>2.6614653321393082</v>
      </c>
      <c r="K1112" s="8"/>
    </row>
    <row r="1113" spans="1:11" ht="15" x14ac:dyDescent="0.25">
      <c r="A1113" s="3" t="str">
        <f>HYPERLINK("proteomic_fractions_linear_files/Yang_linear_img/6753374.jpg", "6753374")</f>
        <v>6753374</v>
      </c>
      <c r="C1113" s="3" t="str">
        <f>HYPERLINK("http://www.ncbi.nlm.nih.gov/protein/6753374","Cdh1")</f>
        <v>Cdh1</v>
      </c>
      <c r="E1113" t="str">
        <f>HYPERLINK("J:\Depot - mpkCCD Fractions\Main Web Page\Web Pages_old\proteomic_fractions_linear_files/Yang_linear_img/6753374.jpg","show blot")</f>
        <v>show blot</v>
      </c>
      <c r="G1113" t="s">
        <v>1104</v>
      </c>
      <c r="I1113" s="6">
        <v>5.2563049707080376</v>
      </c>
      <c r="K1113" s="8"/>
    </row>
    <row r="1114" spans="1:11" ht="15" x14ac:dyDescent="0.25">
      <c r="A1114" s="3" t="str">
        <f>HYPERLINK("proteomic_fractions_linear_files/Yang_linear_img/357933652.jpg", "357933652")</f>
        <v>357933652</v>
      </c>
      <c r="C1114" s="3" t="str">
        <f>HYPERLINK("http://www.ncbi.nlm.nih.gov/protein/357933652","Cdh16")</f>
        <v>Cdh16</v>
      </c>
      <c r="E1114" t="str">
        <f>HYPERLINK("J:\Depot - mpkCCD Fractions\Main Web Page\Web Pages_old\proteomic_fractions_linear_files/Yang_linear_img/357933652.jpg","show blot")</f>
        <v>show blot</v>
      </c>
      <c r="G1114" t="s">
        <v>1105</v>
      </c>
      <c r="I1114" s="6">
        <v>5.6862296711708034</v>
      </c>
      <c r="K1114" s="8"/>
    </row>
    <row r="1115" spans="1:11" ht="15" x14ac:dyDescent="0.25">
      <c r="A1115" s="3" t="str">
        <f>HYPERLINK("proteomic_fractions_linear_files/Yang_linear_img/357933654.jpg", "357933654")</f>
        <v>357933654</v>
      </c>
      <c r="C1115" s="3" t="str">
        <f>HYPERLINK("http://www.ncbi.nlm.nih.gov/protein/357933654","Cdh16")</f>
        <v>Cdh16</v>
      </c>
      <c r="E1115" t="str">
        <f>HYPERLINK("J:\Depot - mpkCCD Fractions\Main Web Page\Web Pages_old\proteomic_fractions_linear_files/Yang_linear_img/357933654.jpg","show blot")</f>
        <v>show blot</v>
      </c>
      <c r="G1115" t="s">
        <v>1106</v>
      </c>
      <c r="I1115" s="6">
        <v>5.6862296711708034</v>
      </c>
      <c r="K1115" s="8"/>
    </row>
    <row r="1116" spans="1:11" ht="15" x14ac:dyDescent="0.25">
      <c r="A1116" s="3" t="str">
        <f>HYPERLINK("proteomic_fractions_linear_files/Yang_linear_img/6680900.jpg", "6680900")</f>
        <v>6680900</v>
      </c>
      <c r="C1116" s="3" t="str">
        <f>HYPERLINK("http://www.ncbi.nlm.nih.gov/protein/6680900","Cdh16")</f>
        <v>Cdh16</v>
      </c>
      <c r="E1116" t="str">
        <f>HYPERLINK("J:\Depot - mpkCCD Fractions\Main Web Page\Web Pages_old\proteomic_fractions_linear_files/Yang_linear_img/6680900.jpg","show blot")</f>
        <v>show blot</v>
      </c>
      <c r="G1116" t="s">
        <v>1107</v>
      </c>
      <c r="I1116" s="6">
        <v>5.6862296711708034</v>
      </c>
      <c r="K1116" s="8"/>
    </row>
    <row r="1117" spans="1:11" ht="15" x14ac:dyDescent="0.25">
      <c r="A1117" s="3" t="str">
        <f>HYPERLINK("proteomic_fractions_linear_files/Yang_linear_img/124517680.jpg", "124517680")</f>
        <v>124517680</v>
      </c>
      <c r="C1117" s="3" t="str">
        <f>HYPERLINK("http://www.ncbi.nlm.nih.gov/protein/124517680","Cdh23")</f>
        <v>Cdh23</v>
      </c>
      <c r="E1117" t="str">
        <f>HYPERLINK("J:\Depot - mpkCCD Fractions\Main Web Page\Web Pages_old\proteomic_fractions_linear_files/Yang_linear_img/124517680.jpg","show blot")</f>
        <v>show blot</v>
      </c>
      <c r="G1117" t="s">
        <v>1108</v>
      </c>
      <c r="I1117" s="6">
        <v>2.7998267711431852</v>
      </c>
      <c r="K1117" s="8"/>
    </row>
    <row r="1118" spans="1:11" ht="15" x14ac:dyDescent="0.25">
      <c r="A1118" s="3" t="str">
        <f>HYPERLINK("proteomic_fractions_linear_files/Yang_linear_img/358001060.jpg", "358001060")</f>
        <v>358001060</v>
      </c>
      <c r="C1118" s="3" t="str">
        <f>HYPERLINK("http://www.ncbi.nlm.nih.gov/protein/358001060","Cdh23")</f>
        <v>Cdh23</v>
      </c>
      <c r="E1118" t="str">
        <f>HYPERLINK("J:\Depot - mpkCCD Fractions\Main Web Page\Web Pages_old\proteomic_fractions_linear_files/Yang_linear_img/358001060.jpg","show blot")</f>
        <v>show blot</v>
      </c>
      <c r="G1118" t="s">
        <v>1109</v>
      </c>
      <c r="I1118" s="6">
        <v>2.7998267711431852</v>
      </c>
      <c r="K1118" s="8"/>
    </row>
    <row r="1119" spans="1:11" ht="15" x14ac:dyDescent="0.25">
      <c r="A1119" s="3" t="str">
        <f>HYPERLINK("proteomic_fractions_linear_files/Yang_linear_img/45496816.jpg", "45496816")</f>
        <v>45496816</v>
      </c>
      <c r="C1119" s="3" t="str">
        <f>HYPERLINK("http://www.ncbi.nlm.nih.gov/protein/45496816","Cdh3")</f>
        <v>Cdh3</v>
      </c>
      <c r="E1119" t="str">
        <f>HYPERLINK("J:\Depot - mpkCCD Fractions\Main Web Page\Web Pages_old\proteomic_fractions_linear_files/Yang_linear_img/45496816.jpg","show blot")</f>
        <v>show blot</v>
      </c>
      <c r="G1119" t="s">
        <v>1110</v>
      </c>
      <c r="I1119" s="6">
        <v>3.6947875223573576</v>
      </c>
      <c r="K1119" s="8"/>
    </row>
    <row r="1120" spans="1:11" ht="15" x14ac:dyDescent="0.25">
      <c r="A1120" s="3" t="str">
        <f>HYPERLINK("proteomic_fractions_linear_files/Yang_linear_img/83715978.jpg", "83715978")</f>
        <v>83715978</v>
      </c>
      <c r="C1120" s="3" t="str">
        <f>HYPERLINK("http://www.ncbi.nlm.nih.gov/protein/83715978","Cdh3")</f>
        <v>Cdh3</v>
      </c>
      <c r="E1120" t="str">
        <f>HYPERLINK("J:\Depot - mpkCCD Fractions\Main Web Page\Web Pages_old\proteomic_fractions_linear_files/Yang_linear_img/83715978.jpg","show blot")</f>
        <v>show blot</v>
      </c>
      <c r="G1120" t="s">
        <v>1111</v>
      </c>
      <c r="I1120" s="6">
        <v>3.6947875223573576</v>
      </c>
      <c r="K1120" s="8"/>
    </row>
    <row r="1121" spans="1:11" ht="15" x14ac:dyDescent="0.25">
      <c r="A1121" s="3" t="str">
        <f>HYPERLINK("proteomic_fractions_linear_files/Yang_linear_img/28076897.jpg", "28076897")</f>
        <v>28076897</v>
      </c>
      <c r="C1121" s="3" t="str">
        <f>HYPERLINK("http://www.ncbi.nlm.nih.gov/protein/28076897","Cdipt")</f>
        <v>Cdipt</v>
      </c>
      <c r="E1121" t="str">
        <f>HYPERLINK("J:\Depot - mpkCCD Fractions\Main Web Page\Web Pages_old\proteomic_fractions_linear_files/Yang_linear_img/28076897.jpg","show blot")</f>
        <v>show blot</v>
      </c>
      <c r="G1121" t="s">
        <v>1112</v>
      </c>
      <c r="I1121" s="6">
        <v>5.5174980859621598</v>
      </c>
      <c r="K1121" s="8"/>
    </row>
    <row r="1122" spans="1:11" ht="15" x14ac:dyDescent="0.25">
      <c r="A1122" s="3" t="str">
        <f>HYPERLINK("proteomic_fractions_linear_files/Yang_linear_img/31542366.jpg", "31542366")</f>
        <v>31542366</v>
      </c>
      <c r="C1122" s="3" t="str">
        <f>HYPERLINK("http://www.ncbi.nlm.nih.gov/protein/31542366","Cdk1")</f>
        <v>Cdk1</v>
      </c>
      <c r="E1122" t="str">
        <f>HYPERLINK("J:\Depot - mpkCCD Fractions\Main Web Page\Web Pages_old\proteomic_fractions_linear_files/Yang_linear_img/31542366.jpg","show blot")</f>
        <v>show blot</v>
      </c>
      <c r="G1122" t="s">
        <v>1113</v>
      </c>
      <c r="I1122" s="6">
        <v>6.0880302956240637</v>
      </c>
      <c r="K1122" s="8"/>
    </row>
    <row r="1123" spans="1:11" ht="15" x14ac:dyDescent="0.25">
      <c r="A1123" s="3" t="str">
        <f>HYPERLINK("proteomic_fractions_linear_files/Yang_linear_img/33695123.jpg", "33695123")</f>
        <v>33695123</v>
      </c>
      <c r="C1123" s="3" t="str">
        <f>HYPERLINK("http://www.ncbi.nlm.nih.gov/protein/33695123","Cdk11b")</f>
        <v>Cdk11b</v>
      </c>
      <c r="E1123" t="str">
        <f>HYPERLINK("J:\Depot - mpkCCD Fractions\Main Web Page\Web Pages_old\proteomic_fractions_linear_files/Yang_linear_img/33695123.jpg","show blot")</f>
        <v>show blot</v>
      </c>
      <c r="G1123" t="s">
        <v>1114</v>
      </c>
      <c r="I1123" s="6">
        <v>4.0367184888992247</v>
      </c>
      <c r="K1123" s="8"/>
    </row>
    <row r="1124" spans="1:11" ht="15" x14ac:dyDescent="0.25">
      <c r="A1124" s="3" t="str">
        <f>HYPERLINK("proteomic_fractions_linear_files/Yang_linear_img/157816935.jpg", "157816935")</f>
        <v>157816935</v>
      </c>
      <c r="C1124" s="3" t="str">
        <f>HYPERLINK("http://www.ncbi.nlm.nih.gov/protein/157816935","Cdk12")</f>
        <v>Cdk12</v>
      </c>
      <c r="E1124" t="str">
        <f>HYPERLINK("J:\Depot - mpkCCD Fractions\Main Web Page\Web Pages_old\proteomic_fractions_linear_files/Yang_linear_img/157816935.jpg","show blot")</f>
        <v>show blot</v>
      </c>
      <c r="G1124" t="s">
        <v>1115</v>
      </c>
      <c r="I1124" s="6">
        <v>4.8149860769726871</v>
      </c>
      <c r="K1124" s="8"/>
    </row>
    <row r="1125" spans="1:11" ht="15" x14ac:dyDescent="0.25">
      <c r="A1125" s="3" t="str">
        <f>HYPERLINK("proteomic_fractions_linear_files/Yang_linear_img/157816961.jpg", "157816961")</f>
        <v>157816961</v>
      </c>
      <c r="C1125" s="3" t="str">
        <f>HYPERLINK("http://www.ncbi.nlm.nih.gov/protein/157816961","Cdk12")</f>
        <v>Cdk12</v>
      </c>
      <c r="E1125" t="str">
        <f>HYPERLINK("J:\Depot - mpkCCD Fractions\Main Web Page\Web Pages_old\proteomic_fractions_linear_files/Yang_linear_img/157816961.jpg","show blot")</f>
        <v>show blot</v>
      </c>
      <c r="G1125" t="s">
        <v>1116</v>
      </c>
      <c r="I1125" s="6">
        <v>4.8149860769726871</v>
      </c>
      <c r="K1125" s="8"/>
    </row>
    <row r="1126" spans="1:11" ht="15" x14ac:dyDescent="0.25">
      <c r="A1126" s="3" t="str">
        <f>HYPERLINK("proteomic_fractions_linear_files/Yang_linear_img/157824204.jpg", "157824204")</f>
        <v>157824204</v>
      </c>
      <c r="C1126" s="3" t="str">
        <f>HYPERLINK("http://www.ncbi.nlm.nih.gov/protein/157824204","Cdk12")</f>
        <v>Cdk12</v>
      </c>
      <c r="E1126" t="str">
        <f>HYPERLINK("J:\Depot - mpkCCD Fractions\Main Web Page\Web Pages_old\proteomic_fractions_linear_files/Yang_linear_img/157824204.jpg","show blot")</f>
        <v>show blot</v>
      </c>
      <c r="G1126" t="s">
        <v>1117</v>
      </c>
      <c r="I1126" s="6">
        <v>4.8149860769726871</v>
      </c>
      <c r="K1126" s="8"/>
    </row>
    <row r="1127" spans="1:11" ht="15" x14ac:dyDescent="0.25">
      <c r="A1127" s="3" t="str">
        <f>HYPERLINK("proteomic_fractions_linear_files/Yang_linear_img/124486698.jpg", "124486698")</f>
        <v>124486698</v>
      </c>
      <c r="C1127" s="3" t="str">
        <f>HYPERLINK("http://www.ncbi.nlm.nih.gov/protein/124486698","Cdk13")</f>
        <v>Cdk13</v>
      </c>
      <c r="E1127" t="str">
        <f>HYPERLINK("J:\Depot - mpkCCD Fractions\Main Web Page\Web Pages_old\proteomic_fractions_linear_files/Yang_linear_img/124486698.jpg","show blot")</f>
        <v>show blot</v>
      </c>
      <c r="G1127" t="s">
        <v>1118</v>
      </c>
      <c r="I1127" s="6">
        <v>4.7664149716899251</v>
      </c>
      <c r="K1127" s="8"/>
    </row>
    <row r="1128" spans="1:11" ht="15" x14ac:dyDescent="0.25">
      <c r="A1128" s="3" t="str">
        <f>HYPERLINK("proteomic_fractions_linear_files/Yang_linear_img/189409171.jpg", "189409171")</f>
        <v>189409171</v>
      </c>
      <c r="C1128" s="3" t="str">
        <f>HYPERLINK("http://www.ncbi.nlm.nih.gov/protein/189409171","Cdk13")</f>
        <v>Cdk13</v>
      </c>
      <c r="E1128" t="str">
        <f>HYPERLINK("J:\Depot - mpkCCD Fractions\Main Web Page\Web Pages_old\proteomic_fractions_linear_files/Yang_linear_img/189409171.jpg","show blot")</f>
        <v>show blot</v>
      </c>
      <c r="G1128" t="s">
        <v>1119</v>
      </c>
      <c r="I1128" s="6">
        <v>4.7664149716899251</v>
      </c>
      <c r="K1128" s="8"/>
    </row>
    <row r="1129" spans="1:11" ht="15" x14ac:dyDescent="0.25">
      <c r="A1129" s="3" t="str">
        <f>HYPERLINK("proteomic_fractions_linear_files/Yang_linear_img/161086911.jpg", "161086911")</f>
        <v>161086911</v>
      </c>
      <c r="C1129" s="3" t="str">
        <f>HYPERLINK("http://www.ncbi.nlm.nih.gov/protein/161086911","Cdk14")</f>
        <v>Cdk14</v>
      </c>
      <c r="E1129" t="str">
        <f>HYPERLINK("J:\Depot - mpkCCD Fractions\Main Web Page\Web Pages_old\proteomic_fractions_linear_files/Yang_linear_img/161086911.jpg","show blot")</f>
        <v>show blot</v>
      </c>
      <c r="G1129" t="s">
        <v>1120</v>
      </c>
      <c r="I1129" s="6">
        <v>5.2368382430501361</v>
      </c>
      <c r="K1129" s="8"/>
    </row>
    <row r="1130" spans="1:11" ht="15" x14ac:dyDescent="0.25">
      <c r="A1130" s="3" t="str">
        <f>HYPERLINK("proteomic_fractions_linear_files/Yang_linear_img/241666398.jpg", "241666398")</f>
        <v>241666398</v>
      </c>
      <c r="C1130" s="3" t="str">
        <f>HYPERLINK("http://www.ncbi.nlm.nih.gov/protein/241666398","Cdk15")</f>
        <v>Cdk15</v>
      </c>
      <c r="E1130" t="str">
        <f>HYPERLINK("J:\Depot - mpkCCD Fractions\Main Web Page\Web Pages_old\proteomic_fractions_linear_files/Yang_linear_img/241666398.jpg","show blot")</f>
        <v>show blot</v>
      </c>
      <c r="G1130" t="s">
        <v>1121</v>
      </c>
      <c r="I1130" s="6">
        <v>5.2988405550985016</v>
      </c>
      <c r="K1130" s="8"/>
    </row>
    <row r="1131" spans="1:11" ht="15" x14ac:dyDescent="0.25">
      <c r="A1131" s="3" t="str">
        <f>HYPERLINK("proteomic_fractions_linear_files/Yang_linear_img/7242173.jpg", "7242173")</f>
        <v>7242173</v>
      </c>
      <c r="C1131" s="3" t="str">
        <f>HYPERLINK("http://www.ncbi.nlm.nih.gov/protein/7242173","Cdk16")</f>
        <v>Cdk16</v>
      </c>
      <c r="E1131" t="str">
        <f>HYPERLINK("J:\Depot - mpkCCD Fractions\Main Web Page\Web Pages_old\proteomic_fractions_linear_files/Yang_linear_img/7242173.jpg","show blot")</f>
        <v>show blot</v>
      </c>
      <c r="G1131" t="s">
        <v>1122</v>
      </c>
      <c r="I1131" s="6">
        <v>5.222984079924462</v>
      </c>
      <c r="K1131" s="8"/>
    </row>
    <row r="1132" spans="1:11" ht="15" x14ac:dyDescent="0.25">
      <c r="A1132" s="3" t="str">
        <f>HYPERLINK("proteomic_fractions_linear_files/Yang_linear_img/160333476.jpg", "160333476")</f>
        <v>160333476</v>
      </c>
      <c r="C1132" s="3" t="str">
        <f>HYPERLINK("http://www.ncbi.nlm.nih.gov/protein/160333476","Cdk17")</f>
        <v>Cdk17</v>
      </c>
      <c r="E1132" t="str">
        <f>HYPERLINK("J:\Depot - mpkCCD Fractions\Main Web Page\Web Pages_old\proteomic_fractions_linear_files/Yang_linear_img/160333476.jpg","show blot")</f>
        <v>show blot</v>
      </c>
      <c r="G1132" t="s">
        <v>1123</v>
      </c>
      <c r="I1132" s="6">
        <v>5.2400613134313341</v>
      </c>
      <c r="K1132" s="8"/>
    </row>
    <row r="1133" spans="1:11" ht="15" x14ac:dyDescent="0.25">
      <c r="A1133" s="3" t="str">
        <f>HYPERLINK("proteomic_fractions_linear_files/Yang_linear_img/6679233.jpg", "6679233")</f>
        <v>6679233</v>
      </c>
      <c r="C1133" s="3" t="str">
        <f>HYPERLINK("http://www.ncbi.nlm.nih.gov/protein/6679233","Cdk18")</f>
        <v>Cdk18</v>
      </c>
      <c r="E1133" t="str">
        <f>HYPERLINK("J:\Depot - mpkCCD Fractions\Main Web Page\Web Pages_old\proteomic_fractions_linear_files/Yang_linear_img/6679233.jpg","show blot")</f>
        <v>show blot</v>
      </c>
      <c r="G1133" t="s">
        <v>1124</v>
      </c>
      <c r="I1133" s="6">
        <v>5.346653399551621</v>
      </c>
      <c r="K1133" s="8"/>
    </row>
    <row r="1134" spans="1:11" ht="15" x14ac:dyDescent="0.25">
      <c r="A1134" s="3" t="str">
        <f>HYPERLINK("proteomic_fractions_linear_files/Yang_linear_img/34556205.jpg", "34556205")</f>
        <v>34556205</v>
      </c>
      <c r="C1134" s="3" t="str">
        <f>HYPERLINK("http://www.ncbi.nlm.nih.gov/protein/34556205","Cdk2")</f>
        <v>Cdk2</v>
      </c>
      <c r="E1134" t="str">
        <f>HYPERLINK("J:\Depot - mpkCCD Fractions\Main Web Page\Web Pages_old\proteomic_fractions_linear_files/Yang_linear_img/34556205.jpg","show blot")</f>
        <v>show blot</v>
      </c>
      <c r="G1134" t="s">
        <v>1125</v>
      </c>
      <c r="I1134" s="6">
        <v>5.8046355186074408</v>
      </c>
      <c r="K1134" s="8"/>
    </row>
    <row r="1135" spans="1:11" ht="15" x14ac:dyDescent="0.25">
      <c r="A1135" s="3" t="str">
        <f>HYPERLINK("proteomic_fractions_linear_files/Yang_linear_img/7949020.jpg", "7949020")</f>
        <v>7949020</v>
      </c>
      <c r="C1135" s="3" t="str">
        <f>HYPERLINK("http://www.ncbi.nlm.nih.gov/protein/7949020","Cdk2")</f>
        <v>Cdk2</v>
      </c>
      <c r="E1135" t="str">
        <f>HYPERLINK("J:\Depot - mpkCCD Fractions\Main Web Page\Web Pages_old\proteomic_fractions_linear_files/Yang_linear_img/7949020.jpg","show blot")</f>
        <v>show blot</v>
      </c>
      <c r="G1135" t="s">
        <v>1126</v>
      </c>
      <c r="I1135" s="6">
        <v>5.8046355186074408</v>
      </c>
      <c r="K1135" s="8"/>
    </row>
    <row r="1136" spans="1:11" ht="15" x14ac:dyDescent="0.25">
      <c r="A1136" s="3" t="str">
        <f>HYPERLINK("proteomic_fractions_linear_files/Yang_linear_img/16716469.jpg", "16716469")</f>
        <v>16716469</v>
      </c>
      <c r="C1136" s="3" t="str">
        <f>HYPERLINK("http://www.ncbi.nlm.nih.gov/protein/16716469","Cdk20")</f>
        <v>Cdk20</v>
      </c>
      <c r="E1136" t="str">
        <f>HYPERLINK("J:\Depot - mpkCCD Fractions\Main Web Page\Web Pages_old\proteomic_fractions_linear_files/Yang_linear_img/16716469.jpg","show blot")</f>
        <v>show blot</v>
      </c>
      <c r="G1136" t="s">
        <v>1127</v>
      </c>
      <c r="I1136" s="6">
        <v>5.3813305160341143</v>
      </c>
      <c r="K1136" s="8"/>
    </row>
    <row r="1137" spans="1:11" ht="15" x14ac:dyDescent="0.25">
      <c r="A1137" s="3" t="str">
        <f>HYPERLINK("proteomic_fractions_linear_files/Yang_linear_img/6753380.jpg", "6753380")</f>
        <v>6753380</v>
      </c>
      <c r="C1137" s="3" t="str">
        <f>HYPERLINK("http://www.ncbi.nlm.nih.gov/protein/6753380","Cdk4")</f>
        <v>Cdk4</v>
      </c>
      <c r="E1137" t="str">
        <f>HYPERLINK("J:\Depot - mpkCCD Fractions\Main Web Page\Web Pages_old\proteomic_fractions_linear_files/Yang_linear_img/6753380.jpg","show blot")</f>
        <v>show blot</v>
      </c>
      <c r="G1137" t="s">
        <v>1128</v>
      </c>
      <c r="I1137" s="6">
        <v>5.6740943539639845</v>
      </c>
      <c r="K1137" s="8"/>
    </row>
    <row r="1138" spans="1:11" ht="15" x14ac:dyDescent="0.25">
      <c r="A1138" s="3" t="str">
        <f>HYPERLINK("proteomic_fractions_linear_files/Yang_linear_img/6680908.jpg", "6680908")</f>
        <v>6680908</v>
      </c>
      <c r="C1138" s="3" t="str">
        <f>HYPERLINK("http://www.ncbi.nlm.nih.gov/protein/6680908","Cdk5")</f>
        <v>Cdk5</v>
      </c>
      <c r="E1138" t="str">
        <f>HYPERLINK("J:\Depot - mpkCCD Fractions\Main Web Page\Web Pages_old\proteomic_fractions_linear_files/Yang_linear_img/6680908.jpg","show blot")</f>
        <v>show blot</v>
      </c>
      <c r="G1138" t="s">
        <v>1129</v>
      </c>
      <c r="I1138" s="6">
        <v>5.5645387863576001</v>
      </c>
      <c r="K1138" s="8"/>
    </row>
    <row r="1139" spans="1:11" ht="15" x14ac:dyDescent="0.25">
      <c r="A1139" s="3" t="str">
        <f>HYPERLINK("proteomic_fractions_linear_files/Yang_linear_img/50657347.jpg", "50657347")</f>
        <v>50657347</v>
      </c>
      <c r="C1139" s="3" t="str">
        <f>HYPERLINK("http://www.ncbi.nlm.nih.gov/protein/50657347","Cdk5rap2")</f>
        <v>Cdk5rap2</v>
      </c>
      <c r="E1139" t="str">
        <f>HYPERLINK("J:\Depot - mpkCCD Fractions\Main Web Page\Web Pages_old\proteomic_fractions_linear_files/Yang_linear_img/50657347.jpg","show blot")</f>
        <v>show blot</v>
      </c>
      <c r="G1139" t="s">
        <v>1130</v>
      </c>
      <c r="I1139" s="6">
        <v>1.6118573065669093</v>
      </c>
      <c r="K1139" s="8"/>
    </row>
    <row r="1140" spans="1:11" ht="15" x14ac:dyDescent="0.25">
      <c r="A1140" s="3" t="str">
        <f>HYPERLINK("proteomic_fractions_linear_files/Yang_linear_img/13384788.jpg", "13384788")</f>
        <v>13384788</v>
      </c>
      <c r="C1140" s="3" t="str">
        <f>HYPERLINK("http://www.ncbi.nlm.nih.gov/protein/13384788","Cdk5rap3")</f>
        <v>Cdk5rap3</v>
      </c>
      <c r="E1140" t="str">
        <f>HYPERLINK("J:\Depot - mpkCCD Fractions\Main Web Page\Web Pages_old\proteomic_fractions_linear_files/Yang_linear_img/13384788.jpg","show blot")</f>
        <v>show blot</v>
      </c>
      <c r="G1140" t="s">
        <v>1131</v>
      </c>
      <c r="I1140" s="6">
        <v>3.3837153550213563</v>
      </c>
      <c r="K1140" s="8"/>
    </row>
    <row r="1141" spans="1:11" ht="15" x14ac:dyDescent="0.25">
      <c r="A1141" s="3" t="str">
        <f>HYPERLINK("proteomic_fractions_linear_files/Yang_linear_img/14149637.jpg", "14149637")</f>
        <v>14149637</v>
      </c>
      <c r="C1141" s="3" t="str">
        <f>HYPERLINK("http://www.ncbi.nlm.nih.gov/protein/14149637","Cdk6")</f>
        <v>Cdk6</v>
      </c>
      <c r="E1141" t="str">
        <f>HYPERLINK("J:\Depot - mpkCCD Fractions\Main Web Page\Web Pages_old\proteomic_fractions_linear_files/Yang_linear_img/14149637.jpg","show blot")</f>
        <v>show blot</v>
      </c>
      <c r="G1141" t="s">
        <v>1132</v>
      </c>
      <c r="I1141" s="6">
        <v>5.4953633448690411</v>
      </c>
      <c r="K1141" s="8"/>
    </row>
    <row r="1142" spans="1:11" ht="15" x14ac:dyDescent="0.25">
      <c r="A1142" s="3" t="str">
        <f>HYPERLINK("proteomic_fractions_linear_files/Yang_linear_img/160333726.jpg", "160333726")</f>
        <v>160333726</v>
      </c>
      <c r="C1142" s="3" t="str">
        <f>HYPERLINK("http://www.ncbi.nlm.nih.gov/protein/160333726","Cdk7")</f>
        <v>Cdk7</v>
      </c>
      <c r="E1142" t="str">
        <f>HYPERLINK("J:\Depot - mpkCCD Fractions\Main Web Page\Web Pages_old\proteomic_fractions_linear_files/Yang_linear_img/160333726.jpg","show blot")</f>
        <v>show blot</v>
      </c>
      <c r="G1142" t="s">
        <v>1133</v>
      </c>
      <c r="I1142" s="6">
        <v>4.4384308480761421</v>
      </c>
      <c r="K1142" s="8"/>
    </row>
    <row r="1143" spans="1:11" ht="15" x14ac:dyDescent="0.25">
      <c r="A1143" s="3" t="str">
        <f>HYPERLINK("proteomic_fractions_linear_files/Yang_linear_img/18699998.jpg", "18699998")</f>
        <v>18699998</v>
      </c>
      <c r="C1143" s="3" t="str">
        <f>HYPERLINK("http://www.ncbi.nlm.nih.gov/protein/18699998","Cdk9")</f>
        <v>Cdk9</v>
      </c>
      <c r="E1143" t="str">
        <f>HYPERLINK("J:\Depot - mpkCCD Fractions\Main Web Page\Web Pages_old\proteomic_fractions_linear_files/Yang_linear_img/18699998.jpg","show blot")</f>
        <v>show blot</v>
      </c>
      <c r="G1143" t="s">
        <v>1134</v>
      </c>
      <c r="I1143" s="6">
        <v>5.6037296304358923</v>
      </c>
      <c r="K1143" s="8"/>
    </row>
    <row r="1144" spans="1:11" ht="15" x14ac:dyDescent="0.25">
      <c r="A1144" s="3" t="str">
        <f>HYPERLINK("proteomic_fractions_linear_files/Yang_linear_img/21617853.jpg", "21617853")</f>
        <v>21617853</v>
      </c>
      <c r="C1144" s="3" t="str">
        <f>HYPERLINK("http://www.ncbi.nlm.nih.gov/protein/21617853","Cdkal1")</f>
        <v>Cdkal1</v>
      </c>
      <c r="E1144" t="str">
        <f>HYPERLINK("J:\Depot - mpkCCD Fractions\Main Web Page\Web Pages_old\proteomic_fractions_linear_files/Yang_linear_img/21617853.jpg","show blot")</f>
        <v>show blot</v>
      </c>
      <c r="G1144" t="s">
        <v>1135</v>
      </c>
      <c r="I1144" s="6">
        <v>3.4630574576813684</v>
      </c>
      <c r="K1144" s="8"/>
    </row>
    <row r="1145" spans="1:11" ht="15" x14ac:dyDescent="0.25">
      <c r="A1145" s="3" t="str">
        <f>HYPERLINK("proteomic_fractions_linear_files/Yang_linear_img/34304105.jpg", "34304105")</f>
        <v>34304105</v>
      </c>
      <c r="C1145" s="3" t="str">
        <f>HYPERLINK("http://www.ncbi.nlm.nih.gov/protein/34304105","Cdkl1")</f>
        <v>Cdkl1</v>
      </c>
      <c r="E1145" t="str">
        <f>HYPERLINK("J:\Depot - mpkCCD Fractions\Main Web Page\Web Pages_old\proteomic_fractions_linear_files/Yang_linear_img/34304105.jpg","show blot")</f>
        <v>show blot</v>
      </c>
      <c r="G1145" t="s">
        <v>1136</v>
      </c>
      <c r="I1145" s="6">
        <v>4.2954601653464026</v>
      </c>
      <c r="K1145" s="8"/>
    </row>
    <row r="1146" spans="1:11" ht="15" x14ac:dyDescent="0.25">
      <c r="A1146" s="3" t="str">
        <f>HYPERLINK("proteomic_fractions_linear_files/Yang_linear_img/31542372.jpg", "31542372")</f>
        <v>31542372</v>
      </c>
      <c r="C1146" s="3" t="str">
        <f>HYPERLINK("http://www.ncbi.nlm.nih.gov/protein/31542372","Cdkn1b")</f>
        <v>Cdkn1b</v>
      </c>
      <c r="E1146" t="str">
        <f>HYPERLINK("J:\Depot - mpkCCD Fractions\Main Web Page\Web Pages_old\proteomic_fractions_linear_files/Yang_linear_img/31542372.jpg","show blot")</f>
        <v>show blot</v>
      </c>
      <c r="G1146" t="s">
        <v>1137</v>
      </c>
      <c r="I1146" s="6">
        <v>5.1341267036164044</v>
      </c>
      <c r="K1146" s="8"/>
    </row>
    <row r="1147" spans="1:11" ht="15" x14ac:dyDescent="0.25">
      <c r="A1147" s="3" t="str">
        <f>HYPERLINK("proteomic_fractions_linear_files/Yang_linear_img/6753390.jpg", "6753390")</f>
        <v>6753390</v>
      </c>
      <c r="C1147" s="3" t="str">
        <f>HYPERLINK("http://www.ncbi.nlm.nih.gov/protein/6753390","Cdkn2a")</f>
        <v>Cdkn2a</v>
      </c>
      <c r="E1147" t="str">
        <f>HYPERLINK("J:\Depot - mpkCCD Fractions\Main Web Page\Web Pages_old\proteomic_fractions_linear_files/Yang_linear_img/6753390.jpg","show blot")</f>
        <v>show blot</v>
      </c>
      <c r="G1147" t="s">
        <v>1138</v>
      </c>
      <c r="I1147" s="6">
        <v>4.1622368486466286</v>
      </c>
      <c r="K1147" s="8"/>
    </row>
    <row r="1148" spans="1:11" ht="15" x14ac:dyDescent="0.25">
      <c r="A1148" s="3" t="str">
        <f>HYPERLINK("proteomic_fractions_linear_files/Yang_linear_img/27369527.jpg", "27369527")</f>
        <v>27369527</v>
      </c>
      <c r="C1148" s="3" t="str">
        <f>HYPERLINK("http://www.ncbi.nlm.nih.gov/protein/27369527","Cdkn2aip")</f>
        <v>Cdkn2aip</v>
      </c>
      <c r="E1148" t="str">
        <f>HYPERLINK("J:\Depot - mpkCCD Fractions\Main Web Page\Web Pages_old\proteomic_fractions_linear_files/Yang_linear_img/27369527.jpg","show blot")</f>
        <v>show blot</v>
      </c>
      <c r="G1148" t="s">
        <v>1139</v>
      </c>
      <c r="I1148" s="6">
        <v>3.3828554627248417</v>
      </c>
      <c r="K1148" s="8"/>
    </row>
    <row r="1149" spans="1:11" ht="15" x14ac:dyDescent="0.25">
      <c r="A1149" s="3" t="str">
        <f>HYPERLINK("proteomic_fractions_linear_files/Yang_linear_img/21313402.jpg", "21313402")</f>
        <v>21313402</v>
      </c>
      <c r="C1149" s="3" t="str">
        <f>HYPERLINK("http://www.ncbi.nlm.nih.gov/protein/21313402","Cdkn2aipnl")</f>
        <v>Cdkn2aipnl</v>
      </c>
      <c r="E1149" t="str">
        <f>HYPERLINK("J:\Depot - mpkCCD Fractions\Main Web Page\Web Pages_old\proteomic_fractions_linear_files/Yang_linear_img/21313402.jpg","show blot")</f>
        <v>show blot</v>
      </c>
      <c r="G1149" t="s">
        <v>1140</v>
      </c>
      <c r="I1149" s="6">
        <v>3.6861058297646538</v>
      </c>
      <c r="K1149" s="8"/>
    </row>
    <row r="1150" spans="1:11" ht="15" x14ac:dyDescent="0.25">
      <c r="A1150" s="3" t="str">
        <f>HYPERLINK("proteomic_fractions_linear_files/Yang_linear_img/6671728.jpg", "6671728")</f>
        <v>6671728</v>
      </c>
      <c r="C1150" s="3" t="str">
        <f>HYPERLINK("http://www.ncbi.nlm.nih.gov/protein/6671728","Cdkn2b")</f>
        <v>Cdkn2b</v>
      </c>
      <c r="E1150" t="str">
        <f>HYPERLINK("J:\Depot - mpkCCD Fractions\Main Web Page\Web Pages_old\proteomic_fractions_linear_files/Yang_linear_img/6671728.jpg","show blot")</f>
        <v>show blot</v>
      </c>
      <c r="G1150" t="s">
        <v>1141</v>
      </c>
      <c r="I1150" s="6">
        <v>4.8594579102295281</v>
      </c>
      <c r="K1150" s="8"/>
    </row>
    <row r="1151" spans="1:11" ht="15" x14ac:dyDescent="0.25">
      <c r="A1151" s="3" t="str">
        <f>HYPERLINK("proteomic_fractions_linear_files/Yang_linear_img/6680910.jpg", "6680910")</f>
        <v>6680910</v>
      </c>
      <c r="C1151" s="3" t="str">
        <f>HYPERLINK("http://www.ncbi.nlm.nih.gov/protein/6680910","Cdkn2c")</f>
        <v>Cdkn2c</v>
      </c>
      <c r="E1151" t="str">
        <f>HYPERLINK("J:\Depot - mpkCCD Fractions\Main Web Page\Web Pages_old\proteomic_fractions_linear_files/Yang_linear_img/6680910.jpg","show blot")</f>
        <v>show blot</v>
      </c>
      <c r="G1151" t="s">
        <v>1142</v>
      </c>
      <c r="I1151" s="6">
        <v>5.2573984735517305</v>
      </c>
      <c r="K1151" s="8"/>
    </row>
    <row r="1152" spans="1:11" ht="15" x14ac:dyDescent="0.25">
      <c r="A1152" s="3" t="str">
        <f>HYPERLINK("proteomic_fractions_linear_files/Yang_linear_img/14719434.jpg", "14719434")</f>
        <v>14719434</v>
      </c>
      <c r="C1152" s="3" t="str">
        <f>HYPERLINK("http://www.ncbi.nlm.nih.gov/protein/14719434","Cdo1")</f>
        <v>Cdo1</v>
      </c>
      <c r="E1152" t="str">
        <f>HYPERLINK("J:\Depot - mpkCCD Fractions\Main Web Page\Web Pages_old\proteomic_fractions_linear_files/Yang_linear_img/14719434.jpg","show blot")</f>
        <v>show blot</v>
      </c>
      <c r="G1152" t="s">
        <v>1143</v>
      </c>
      <c r="I1152" s="6">
        <v>5.8775959027014926</v>
      </c>
      <c r="K1152" s="8"/>
    </row>
    <row r="1153" spans="1:11" ht="15" x14ac:dyDescent="0.25">
      <c r="A1153" s="3" t="str">
        <f>HYPERLINK("proteomic_fractions_linear_files/Yang_linear_img/257467494.jpg", "257467494")</f>
        <v>257467494</v>
      </c>
      <c r="C1153" s="3" t="str">
        <f>HYPERLINK("http://www.ncbi.nlm.nih.gov/protein/257467494","Cdpf1")</f>
        <v>Cdpf1</v>
      </c>
      <c r="E1153" t="str">
        <f>HYPERLINK("J:\Depot - mpkCCD Fractions\Main Web Page\Web Pages_old\proteomic_fractions_linear_files/Yang_linear_img/257467494.jpg","show blot")</f>
        <v>show blot</v>
      </c>
      <c r="G1153" t="s">
        <v>1144</v>
      </c>
      <c r="I1153" s="6">
        <v>3.3751812279676305</v>
      </c>
      <c r="K1153" s="8"/>
    </row>
    <row r="1154" spans="1:11" ht="15" x14ac:dyDescent="0.25">
      <c r="A1154" s="3" t="str">
        <f>HYPERLINK("proteomic_fractions_linear_files/Yang_linear_img/20149726.jpg", "20149726")</f>
        <v>20149726</v>
      </c>
      <c r="C1154" s="3" t="str">
        <f>HYPERLINK("http://www.ncbi.nlm.nih.gov/protein/20149726","Cds2")</f>
        <v>Cds2</v>
      </c>
      <c r="E1154" t="str">
        <f>HYPERLINK("J:\Depot - mpkCCD Fractions\Main Web Page\Web Pages_old\proteomic_fractions_linear_files/Yang_linear_img/20149726.jpg","show blot")</f>
        <v>show blot</v>
      </c>
      <c r="G1154" t="s">
        <v>1145</v>
      </c>
      <c r="I1154" s="6">
        <v>3.6999374607959723</v>
      </c>
      <c r="K1154" s="8"/>
    </row>
    <row r="1155" spans="1:11" ht="15" x14ac:dyDescent="0.25">
      <c r="A1155" s="3" t="str">
        <f>HYPERLINK("proteomic_fractions_linear_files/Yang_linear_img/31982546.jpg", "31982546")</f>
        <v>31982546</v>
      </c>
      <c r="C1155" s="3" t="str">
        <f>HYPERLINK("http://www.ncbi.nlm.nih.gov/protein/31982546","Cdt1")</f>
        <v>Cdt1</v>
      </c>
      <c r="E1155" t="str">
        <f>HYPERLINK("J:\Depot - mpkCCD Fractions\Main Web Page\Web Pages_old\proteomic_fractions_linear_files/Yang_linear_img/31982546.jpg","show blot")</f>
        <v>show blot</v>
      </c>
      <c r="G1155" t="s">
        <v>1146</v>
      </c>
      <c r="I1155" s="6">
        <v>2.9556067182575001</v>
      </c>
      <c r="K1155" s="8"/>
    </row>
    <row r="1156" spans="1:11" ht="15" x14ac:dyDescent="0.25">
      <c r="A1156" s="3" t="str">
        <f>HYPERLINK("proteomic_fractions_linear_files/Yang_linear_img/197313683.jpg", "197313683")</f>
        <v>197313683</v>
      </c>
      <c r="C1156" s="3" t="str">
        <f>HYPERLINK("http://www.ncbi.nlm.nih.gov/protein/197313683","Cdv3")</f>
        <v>Cdv3</v>
      </c>
      <c r="E1156" t="str">
        <f>HYPERLINK("J:\Depot - mpkCCD Fractions\Main Web Page\Web Pages_old\proteomic_fractions_linear_files/Yang_linear_img/197313683.jpg","show blot")</f>
        <v>show blot</v>
      </c>
      <c r="G1156" t="s">
        <v>1147</v>
      </c>
      <c r="I1156" s="6">
        <v>5.6105629322853865</v>
      </c>
      <c r="K1156" s="8"/>
    </row>
    <row r="1157" spans="1:11" ht="15" x14ac:dyDescent="0.25">
      <c r="A1157" s="3" t="str">
        <f>HYPERLINK("proteomic_fractions_linear_files/Yang_linear_img/197313685.jpg", "197313685")</f>
        <v>197313685</v>
      </c>
      <c r="C1157" s="3" t="str">
        <f>HYPERLINK("http://www.ncbi.nlm.nih.gov/protein/197313685","Cdv3")</f>
        <v>Cdv3</v>
      </c>
      <c r="E1157" t="str">
        <f>HYPERLINK("J:\Depot - mpkCCD Fractions\Main Web Page\Web Pages_old\proteomic_fractions_linear_files/Yang_linear_img/197313685.jpg","show blot")</f>
        <v>show blot</v>
      </c>
      <c r="G1157" t="s">
        <v>1148</v>
      </c>
      <c r="I1157" s="6">
        <v>5.6105629322853865</v>
      </c>
      <c r="K1157" s="8"/>
    </row>
    <row r="1158" spans="1:11" ht="15" x14ac:dyDescent="0.25">
      <c r="A1158" s="3" t="str">
        <f>HYPERLINK("proteomic_fractions_linear_files/Yang_linear_img/28202071.jpg", "28202071")</f>
        <v>28202071</v>
      </c>
      <c r="C1158" s="3" t="str">
        <f>HYPERLINK("http://www.ncbi.nlm.nih.gov/protein/28202071","Cdv3")</f>
        <v>Cdv3</v>
      </c>
      <c r="E1158" t="str">
        <f>HYPERLINK("J:\Depot - mpkCCD Fractions\Main Web Page\Web Pages_old\proteomic_fractions_linear_files/Yang_linear_img/28202071.jpg","show blot")</f>
        <v>show blot</v>
      </c>
      <c r="G1158" t="s">
        <v>1149</v>
      </c>
      <c r="I1158" s="6">
        <v>5.6105629322853865</v>
      </c>
      <c r="K1158" s="8"/>
    </row>
    <row r="1159" spans="1:11" ht="15" x14ac:dyDescent="0.25">
      <c r="A1159" s="3" t="str">
        <f>HYPERLINK("proteomic_fractions_linear_files/Yang_linear_img/28461294.jpg", "28461294")</f>
        <v>28461294</v>
      </c>
      <c r="C1159" s="3" t="str">
        <f>HYPERLINK("http://www.ncbi.nlm.nih.gov/protein/28461294","Cdv3")</f>
        <v>Cdv3</v>
      </c>
      <c r="E1159" t="str">
        <f>HYPERLINK("J:\Depot - mpkCCD Fractions\Main Web Page\Web Pages_old\proteomic_fractions_linear_files/Yang_linear_img/28461294.jpg","show blot")</f>
        <v>show blot</v>
      </c>
      <c r="G1159" t="s">
        <v>1150</v>
      </c>
      <c r="I1159" s="6">
        <v>5.6105629322853865</v>
      </c>
      <c r="K1159" s="8"/>
    </row>
    <row r="1160" spans="1:11" ht="15" x14ac:dyDescent="0.25">
      <c r="A1160" s="3" t="str">
        <f>HYPERLINK("proteomic_fractions_linear_files/Yang_linear_img/21450187.jpg", "21450187")</f>
        <v>21450187</v>
      </c>
      <c r="C1160" s="3" t="str">
        <f>HYPERLINK("http://www.ncbi.nlm.nih.gov/protein/21450187","Cecr5")</f>
        <v>Cecr5</v>
      </c>
      <c r="E1160" t="str">
        <f>HYPERLINK("J:\Depot - mpkCCD Fractions\Main Web Page\Web Pages_old\proteomic_fractions_linear_files/Yang_linear_img/21450187.jpg","show blot")</f>
        <v>show blot</v>
      </c>
      <c r="G1160" t="s">
        <v>1151</v>
      </c>
      <c r="I1160" s="6">
        <v>3.5582832801867847</v>
      </c>
      <c r="K1160" s="8"/>
    </row>
    <row r="1161" spans="1:11" ht="15" x14ac:dyDescent="0.25">
      <c r="A1161" s="3" t="str">
        <f>HYPERLINK("proteomic_fractions_linear_files/Yang_linear_img/349585220.jpg", "349585220")</f>
        <v>349585220</v>
      </c>
      <c r="C1161" s="3" t="str">
        <f>HYPERLINK("http://www.ncbi.nlm.nih.gov/protein/349585220","Celf1")</f>
        <v>Celf1</v>
      </c>
      <c r="E1161" t="str">
        <f>HYPERLINK("J:\Depot - mpkCCD Fractions\Main Web Page\Web Pages_old\proteomic_fractions_linear_files/Yang_linear_img/349585220.jpg","show blot")</f>
        <v>show blot</v>
      </c>
      <c r="G1161" t="s">
        <v>1152</v>
      </c>
      <c r="I1161" s="6">
        <v>4.8358656218969882</v>
      </c>
      <c r="K1161" s="8"/>
    </row>
    <row r="1162" spans="1:11" ht="15" x14ac:dyDescent="0.25">
      <c r="A1162" s="3" t="str">
        <f>HYPERLINK("proteomic_fractions_linear_files/Yang_linear_img/38570086.jpg", "38570086")</f>
        <v>38570086</v>
      </c>
      <c r="C1162" s="3" t="str">
        <f>HYPERLINK("http://www.ncbi.nlm.nih.gov/protein/38570086","Celf1")</f>
        <v>Celf1</v>
      </c>
      <c r="E1162" t="str">
        <f>HYPERLINK("J:\Depot - mpkCCD Fractions\Main Web Page\Web Pages_old\proteomic_fractions_linear_files/Yang_linear_img/38570086.jpg","show blot")</f>
        <v>show blot</v>
      </c>
      <c r="G1162" t="s">
        <v>1153</v>
      </c>
      <c r="I1162" s="6">
        <v>4.8358656218969882</v>
      </c>
      <c r="K1162" s="8"/>
    </row>
    <row r="1163" spans="1:11" ht="15" x14ac:dyDescent="0.25">
      <c r="A1163" s="3" t="str">
        <f>HYPERLINK("proteomic_fractions_linear_files/Yang_linear_img/124286791.jpg", "124286791")</f>
        <v>124286791</v>
      </c>
      <c r="C1163" s="3" t="str">
        <f>HYPERLINK("http://www.ncbi.nlm.nih.gov/protein/124286791","Celf2")</f>
        <v>Celf2</v>
      </c>
      <c r="E1163" t="str">
        <f>HYPERLINK("J:\Depot - mpkCCD Fractions\Main Web Page\Web Pages_old\proteomic_fractions_linear_files/Yang_linear_img/124286791.jpg","show blot")</f>
        <v>show blot</v>
      </c>
      <c r="G1163" t="s">
        <v>1154</v>
      </c>
      <c r="I1163" s="6">
        <v>4.3447356432276143</v>
      </c>
      <c r="K1163" s="8"/>
    </row>
    <row r="1164" spans="1:11" ht="15" x14ac:dyDescent="0.25">
      <c r="A1164" s="3" t="str">
        <f>HYPERLINK("proteomic_fractions_linear_files/Yang_linear_img/159032033.jpg", "159032033")</f>
        <v>159032033</v>
      </c>
      <c r="C1164" s="3" t="str">
        <f>HYPERLINK("http://www.ncbi.nlm.nih.gov/protein/159032033","Celf2")</f>
        <v>Celf2</v>
      </c>
      <c r="E1164" t="str">
        <f>HYPERLINK("J:\Depot - mpkCCD Fractions\Main Web Page\Web Pages_old\proteomic_fractions_linear_files/Yang_linear_img/159032033.jpg","show blot")</f>
        <v>show blot</v>
      </c>
      <c r="G1164" t="s">
        <v>1155</v>
      </c>
      <c r="I1164" s="6">
        <v>4.3447356432276143</v>
      </c>
      <c r="K1164" s="8"/>
    </row>
    <row r="1165" spans="1:11" ht="15" x14ac:dyDescent="0.25">
      <c r="A1165" s="3" t="str">
        <f>HYPERLINK("proteomic_fractions_linear_files/Yang_linear_img/159032035.jpg", "159032035")</f>
        <v>159032035</v>
      </c>
      <c r="C1165" s="3" t="str">
        <f>HYPERLINK("http://www.ncbi.nlm.nih.gov/protein/159032035","Celf2")</f>
        <v>Celf2</v>
      </c>
      <c r="E1165" t="str">
        <f>HYPERLINK("J:\Depot - mpkCCD Fractions\Main Web Page\Web Pages_old\proteomic_fractions_linear_files/Yang_linear_img/159032035.jpg","show blot")</f>
        <v>show blot</v>
      </c>
      <c r="G1165" t="s">
        <v>1156</v>
      </c>
      <c r="I1165" s="6">
        <v>4.3447356432276143</v>
      </c>
      <c r="K1165" s="8"/>
    </row>
    <row r="1166" spans="1:11" ht="15" x14ac:dyDescent="0.25">
      <c r="A1166" s="3" t="str">
        <f>HYPERLINK("proteomic_fractions_linear_files/Yang_linear_img/159032037.jpg", "159032037")</f>
        <v>159032037</v>
      </c>
      <c r="C1166" s="3" t="str">
        <f>HYPERLINK("http://www.ncbi.nlm.nih.gov/protein/159032037","Celf2")</f>
        <v>Celf2</v>
      </c>
      <c r="E1166" t="str">
        <f>HYPERLINK("J:\Depot - mpkCCD Fractions\Main Web Page\Web Pages_old\proteomic_fractions_linear_files/Yang_linear_img/159032037.jpg","show blot")</f>
        <v>show blot</v>
      </c>
      <c r="G1166" t="s">
        <v>1157</v>
      </c>
      <c r="I1166" s="6">
        <v>4.3447356432276143</v>
      </c>
      <c r="K1166" s="8"/>
    </row>
    <row r="1167" spans="1:11" ht="15" x14ac:dyDescent="0.25">
      <c r="A1167" s="3" t="str">
        <f>HYPERLINK("proteomic_fractions_linear_files/Yang_linear_img/159032039.jpg", "159032039")</f>
        <v>159032039</v>
      </c>
      <c r="C1167" s="3" t="str">
        <f>HYPERLINK("http://www.ncbi.nlm.nih.gov/protein/159032039","Celf2")</f>
        <v>Celf2</v>
      </c>
      <c r="E1167" t="str">
        <f>HYPERLINK("J:\Depot - mpkCCD Fractions\Main Web Page\Web Pages_old\proteomic_fractions_linear_files/Yang_linear_img/159032039.jpg","show blot")</f>
        <v>show blot</v>
      </c>
      <c r="G1167" t="s">
        <v>1158</v>
      </c>
      <c r="I1167" s="6">
        <v>4.3447356432276143</v>
      </c>
      <c r="K1167" s="8"/>
    </row>
    <row r="1168" spans="1:11" ht="15" x14ac:dyDescent="0.25">
      <c r="A1168" s="3" t="str">
        <f>HYPERLINK("proteomic_fractions_linear_files/Yang_linear_img/237757269.jpg", "237757269")</f>
        <v>237757269</v>
      </c>
      <c r="C1168" s="3" t="str">
        <f>HYPERLINK("http://www.ncbi.nlm.nih.gov/protein/237757269","Celf2")</f>
        <v>Celf2</v>
      </c>
      <c r="E1168" t="str">
        <f>HYPERLINK("J:\Depot - mpkCCD Fractions\Main Web Page\Web Pages_old\proteomic_fractions_linear_files/Yang_linear_img/237757269.jpg","show blot")</f>
        <v>show blot</v>
      </c>
      <c r="G1168" t="s">
        <v>1159</v>
      </c>
      <c r="I1168" s="6">
        <v>4.3447356432276143</v>
      </c>
      <c r="K1168" s="8"/>
    </row>
    <row r="1169" spans="1:11" ht="15" x14ac:dyDescent="0.25">
      <c r="A1169" s="3" t="str">
        <f>HYPERLINK("proteomic_fractions_linear_files/Yang_linear_img/237757271;159032031.jpg", "237757271;159032031")</f>
        <v>237757271;159032031</v>
      </c>
      <c r="C1169" s="3" t="str">
        <f>HYPERLINK("http://www.ncbi.nlm.nih.gov/protein/237757271;159032031","Celf2")</f>
        <v>Celf2</v>
      </c>
      <c r="E1169" t="str">
        <f>HYPERLINK("J:\Depot - mpkCCD Fractions\Main Web Page\Web Pages_old\proteomic_fractions_linear_files/Yang_linear_img/237757271;159032031.jpg","show blot")</f>
        <v>show blot</v>
      </c>
      <c r="G1169" t="s">
        <v>1160</v>
      </c>
      <c r="I1169" s="6">
        <v>4.3447356432276143</v>
      </c>
      <c r="K1169" s="8"/>
    </row>
    <row r="1170" spans="1:11" ht="15" x14ac:dyDescent="0.25">
      <c r="A1170" s="3" t="str">
        <f>HYPERLINK("proteomic_fractions_linear_files/Yang_linear_img/114050895.jpg", "114050895")</f>
        <v>114050895</v>
      </c>
      <c r="C1170" s="3" t="str">
        <f>HYPERLINK("http://www.ncbi.nlm.nih.gov/protein/114050895","Celsr2")</f>
        <v>Celsr2</v>
      </c>
      <c r="E1170" t="str">
        <f>HYPERLINK("J:\Depot - mpkCCD Fractions\Main Web Page\Web Pages_old\proteomic_fractions_linear_files/Yang_linear_img/114050895.jpg","show blot")</f>
        <v>show blot</v>
      </c>
      <c r="G1170" t="s">
        <v>1161</v>
      </c>
      <c r="I1170" s="6">
        <v>2.505466391553715</v>
      </c>
      <c r="K1170" s="8"/>
    </row>
    <row r="1171" spans="1:11" ht="15" x14ac:dyDescent="0.25">
      <c r="A1171" s="3" t="str">
        <f>HYPERLINK("proteomic_fractions_linear_files/Yang_linear_img/114050897.jpg", "114050897")</f>
        <v>114050897</v>
      </c>
      <c r="C1171" s="3" t="str">
        <f>HYPERLINK("http://www.ncbi.nlm.nih.gov/protein/114050897","Celsr2")</f>
        <v>Celsr2</v>
      </c>
      <c r="E1171" t="str">
        <f>HYPERLINK("J:\Depot - mpkCCD Fractions\Main Web Page\Web Pages_old\proteomic_fractions_linear_files/Yang_linear_img/114050897.jpg","show blot")</f>
        <v>show blot</v>
      </c>
      <c r="G1171" t="s">
        <v>1162</v>
      </c>
      <c r="I1171" s="6">
        <v>2.505466391553715</v>
      </c>
      <c r="K1171" s="8"/>
    </row>
    <row r="1172" spans="1:11" ht="15" x14ac:dyDescent="0.25">
      <c r="A1172" s="3" t="str">
        <f>HYPERLINK("proteomic_fractions_linear_files/Yang_linear_img/115648101.jpg", "115648101")</f>
        <v>115648101</v>
      </c>
      <c r="C1172" s="3" t="str">
        <f>HYPERLINK("http://www.ncbi.nlm.nih.gov/protein/115648101","Cenpe")</f>
        <v>Cenpe</v>
      </c>
      <c r="E1172" t="str">
        <f>HYPERLINK("J:\Depot - mpkCCD Fractions\Main Web Page\Web Pages_old\proteomic_fractions_linear_files/Yang_linear_img/115648101.jpg","show blot")</f>
        <v>show blot</v>
      </c>
      <c r="G1172" t="s">
        <v>1163</v>
      </c>
      <c r="I1172" s="6">
        <v>2.6452217039841135</v>
      </c>
      <c r="K1172" s="8"/>
    </row>
    <row r="1173" spans="1:11" ht="15" x14ac:dyDescent="0.25">
      <c r="A1173" s="3" t="str">
        <f>HYPERLINK("proteomic_fractions_linear_files/Yang_linear_img/11230784.jpg", "11230784")</f>
        <v>11230784</v>
      </c>
      <c r="C1173" s="3" t="str">
        <f>HYPERLINK("http://www.ncbi.nlm.nih.gov/protein/11230784","Cenph")</f>
        <v>Cenph</v>
      </c>
      <c r="E1173" t="str">
        <f>HYPERLINK("J:\Depot - mpkCCD Fractions\Main Web Page\Web Pages_old\proteomic_fractions_linear_files/Yang_linear_img/11230784.jpg","show blot")</f>
        <v>show blot</v>
      </c>
      <c r="G1173" t="s">
        <v>1164</v>
      </c>
      <c r="I1173" s="6">
        <v>5.2290839485133098</v>
      </c>
      <c r="K1173" s="8"/>
    </row>
    <row r="1174" spans="1:11" ht="15" x14ac:dyDescent="0.25">
      <c r="A1174" s="3" t="str">
        <f>HYPERLINK("proteomic_fractions_linear_files/Yang_linear_img/122939139.jpg", "122939139")</f>
        <v>122939139</v>
      </c>
      <c r="C1174" s="3" t="str">
        <f>HYPERLINK("http://www.ncbi.nlm.nih.gov/protein/122939139","Cenpm")</f>
        <v>Cenpm</v>
      </c>
      <c r="E1174" t="str">
        <f>HYPERLINK("J:\Depot - mpkCCD Fractions\Main Web Page\Web Pages_old\proteomic_fractions_linear_files/Yang_linear_img/122939139.jpg","show blot")</f>
        <v>show blot</v>
      </c>
      <c r="G1174" t="s">
        <v>1165</v>
      </c>
      <c r="I1174" s="6">
        <v>3.1360991122547657</v>
      </c>
      <c r="K1174" s="8"/>
    </row>
    <row r="1175" spans="1:11" ht="15" x14ac:dyDescent="0.25">
      <c r="A1175" s="3" t="str">
        <f>HYPERLINK("proteomic_fractions_linear_files/Yang_linear_img/13385104.jpg", "13385104")</f>
        <v>13385104</v>
      </c>
      <c r="C1175" s="3" t="str">
        <f>HYPERLINK("http://www.ncbi.nlm.nih.gov/protein/13385104","Cenpm")</f>
        <v>Cenpm</v>
      </c>
      <c r="E1175" t="str">
        <f>HYPERLINK("J:\Depot - mpkCCD Fractions\Main Web Page\Web Pages_old\proteomic_fractions_linear_files/Yang_linear_img/13385104.jpg","show blot")</f>
        <v>show blot</v>
      </c>
      <c r="G1175" t="s">
        <v>1166</v>
      </c>
      <c r="I1175" s="6">
        <v>3.1360991122547657</v>
      </c>
      <c r="K1175" s="8"/>
    </row>
    <row r="1176" spans="1:11" ht="15" x14ac:dyDescent="0.25">
      <c r="A1176" s="3" t="str">
        <f>HYPERLINK("proteomic_fractions_linear_files/Yang_linear_img/189458800.jpg", "189458800")</f>
        <v>189458800</v>
      </c>
      <c r="C1176" s="3" t="str">
        <f>HYPERLINK("http://www.ncbi.nlm.nih.gov/protein/189458800","Cep250")</f>
        <v>Cep250</v>
      </c>
      <c r="E1176" t="str">
        <f>HYPERLINK("J:\Depot - mpkCCD Fractions\Main Web Page\Web Pages_old\proteomic_fractions_linear_files/Yang_linear_img/189458800.jpg","show blot")</f>
        <v>show blot</v>
      </c>
      <c r="G1176" t="s">
        <v>1167</v>
      </c>
      <c r="I1176" s="6">
        <v>0.66749806964927005</v>
      </c>
      <c r="K1176" s="8"/>
    </row>
    <row r="1177" spans="1:11" ht="15" x14ac:dyDescent="0.25">
      <c r="A1177" s="3" t="str">
        <f>HYPERLINK("proteomic_fractions_linear_files/Yang_linear_img/194018503.jpg", "194018503")</f>
        <v>194018503</v>
      </c>
      <c r="C1177" s="3" t="str">
        <f>HYPERLINK("http://www.ncbi.nlm.nih.gov/protein/194018503","Cep250")</f>
        <v>Cep250</v>
      </c>
      <c r="E1177" t="str">
        <f>HYPERLINK("J:\Depot - mpkCCD Fractions\Main Web Page\Web Pages_old\proteomic_fractions_linear_files/Yang_linear_img/194018503.jpg","show blot")</f>
        <v>show blot</v>
      </c>
      <c r="G1177" t="s">
        <v>1168</v>
      </c>
      <c r="I1177" s="6">
        <v>0.66749806964927005</v>
      </c>
      <c r="K1177" s="8"/>
    </row>
    <row r="1178" spans="1:11" ht="15" x14ac:dyDescent="0.25">
      <c r="A1178" s="3" t="str">
        <f>HYPERLINK("proteomic_fractions_linear_files/Yang_linear_img/194097345.jpg", "194097345")</f>
        <v>194097345</v>
      </c>
      <c r="C1178" s="3" t="str">
        <f>HYPERLINK("http://www.ncbi.nlm.nih.gov/protein/194097345","Cep250")</f>
        <v>Cep250</v>
      </c>
      <c r="E1178" t="str">
        <f>HYPERLINK("J:\Depot - mpkCCD Fractions\Main Web Page\Web Pages_old\proteomic_fractions_linear_files/Yang_linear_img/194097345.jpg","show blot")</f>
        <v>show blot</v>
      </c>
      <c r="G1178" t="s">
        <v>1169</v>
      </c>
      <c r="I1178" s="6">
        <v>0.66749806964927005</v>
      </c>
      <c r="K1178" s="8"/>
    </row>
    <row r="1179" spans="1:11" ht="15" x14ac:dyDescent="0.25">
      <c r="A1179" s="3" t="str">
        <f>HYPERLINK("proteomic_fractions_linear_files/Yang_linear_img/163965444.jpg", "163965444")</f>
        <v>163965444</v>
      </c>
      <c r="C1179" s="3" t="str">
        <f>HYPERLINK("http://www.ncbi.nlm.nih.gov/protein/163965444","Cep290")</f>
        <v>Cep290</v>
      </c>
      <c r="E1179" t="str">
        <f>HYPERLINK("J:\Depot - mpkCCD Fractions\Main Web Page\Web Pages_old\proteomic_fractions_linear_files/Yang_linear_img/163965444.jpg","show blot")</f>
        <v>show blot</v>
      </c>
      <c r="G1179" t="s">
        <v>1170</v>
      </c>
      <c r="I1179" s="6">
        <v>0.61822848902284966</v>
      </c>
      <c r="K1179" s="8"/>
    </row>
    <row r="1180" spans="1:11" ht="15" x14ac:dyDescent="0.25">
      <c r="A1180" s="3" t="str">
        <f>HYPERLINK("proteomic_fractions_linear_files/Yang_linear_img/255982600.jpg", "255982600")</f>
        <v>255982600</v>
      </c>
      <c r="C1180" s="3" t="str">
        <f>HYPERLINK("http://www.ncbi.nlm.nih.gov/protein/255982600","Cep350")</f>
        <v>Cep350</v>
      </c>
      <c r="E1180" t="str">
        <f>HYPERLINK("J:\Depot - mpkCCD Fractions\Main Web Page\Web Pages_old\proteomic_fractions_linear_files/Yang_linear_img/255982600.jpg","show blot")</f>
        <v>show blot</v>
      </c>
      <c r="G1180" t="s">
        <v>1171</v>
      </c>
      <c r="I1180" s="6">
        <v>2.762746605203608</v>
      </c>
      <c r="K1180" s="8"/>
    </row>
    <row r="1181" spans="1:11" ht="15" x14ac:dyDescent="0.25">
      <c r="A1181" s="3" t="str">
        <f>HYPERLINK("proteomic_fractions_linear_files/Yang_linear_img/14030773.jpg", "14030773")</f>
        <v>14030773</v>
      </c>
      <c r="C1181" s="3" t="str">
        <f>HYPERLINK("http://www.ncbi.nlm.nih.gov/protein/14030773","Cep41")</f>
        <v>Cep41</v>
      </c>
      <c r="E1181" t="str">
        <f>HYPERLINK("J:\Depot - mpkCCD Fractions\Main Web Page\Web Pages_old\proteomic_fractions_linear_files/Yang_linear_img/14030773.jpg","show blot")</f>
        <v>show blot</v>
      </c>
      <c r="G1181" t="s">
        <v>1172</v>
      </c>
      <c r="I1181" s="6">
        <v>2.8200251483134329</v>
      </c>
      <c r="K1181" s="8"/>
    </row>
    <row r="1182" spans="1:11" ht="15" x14ac:dyDescent="0.25">
      <c r="A1182" s="3" t="str">
        <f>HYPERLINK("proteomic_fractions_linear_files/Yang_linear_img/256355030.jpg", "256355030")</f>
        <v>256355030</v>
      </c>
      <c r="C1182" s="3" t="str">
        <f>HYPERLINK("http://www.ncbi.nlm.nih.gov/protein/256355030","Cep55")</f>
        <v>Cep55</v>
      </c>
      <c r="E1182" t="str">
        <f>HYPERLINK("J:\Depot - mpkCCD Fractions\Main Web Page\Web Pages_old\proteomic_fractions_linear_files/Yang_linear_img/256355030.jpg","show blot")</f>
        <v>show blot</v>
      </c>
      <c r="G1182" t="s">
        <v>1173</v>
      </c>
      <c r="I1182" s="6">
        <v>2.8919299897395843</v>
      </c>
      <c r="K1182" s="8"/>
    </row>
    <row r="1183" spans="1:11" ht="15" x14ac:dyDescent="0.25">
      <c r="A1183" s="3" t="str">
        <f>HYPERLINK("proteomic_fractions_linear_files/Yang_linear_img/256355032.jpg", "256355032")</f>
        <v>256355032</v>
      </c>
      <c r="C1183" s="3" t="str">
        <f>HYPERLINK("http://www.ncbi.nlm.nih.gov/protein/256355032","Cep55")</f>
        <v>Cep55</v>
      </c>
      <c r="E1183" t="str">
        <f>HYPERLINK("J:\Depot - mpkCCD Fractions\Main Web Page\Web Pages_old\proteomic_fractions_linear_files/Yang_linear_img/256355032.jpg","show blot")</f>
        <v>show blot</v>
      </c>
      <c r="G1183" t="s">
        <v>1174</v>
      </c>
      <c r="I1183" s="6">
        <v>2.8919299897395843</v>
      </c>
      <c r="K1183" s="8"/>
    </row>
    <row r="1184" spans="1:11" ht="15" x14ac:dyDescent="0.25">
      <c r="A1184" s="3" t="str">
        <f>HYPERLINK("proteomic_fractions_linear_files/Yang_linear_img/262331530.jpg", "262331530")</f>
        <v>262331530</v>
      </c>
      <c r="C1184" s="3" t="str">
        <f>HYPERLINK("http://www.ncbi.nlm.nih.gov/protein/262331530","Cep95")</f>
        <v>Cep95</v>
      </c>
      <c r="E1184" t="str">
        <f>HYPERLINK("J:\Depot - mpkCCD Fractions\Main Web Page\Web Pages_old\proteomic_fractions_linear_files/Yang_linear_img/262331530.jpg","show blot")</f>
        <v>show blot</v>
      </c>
      <c r="G1184" t="s">
        <v>1175</v>
      </c>
      <c r="I1184" s="6">
        <v>1.1215850946007122</v>
      </c>
      <c r="K1184" s="8"/>
    </row>
    <row r="1185" spans="1:11" ht="15" x14ac:dyDescent="0.25">
      <c r="A1185" s="3" t="str">
        <f>HYPERLINK("proteomic_fractions_linear_files/Yang_linear_img/262331533.jpg", "262331533")</f>
        <v>262331533</v>
      </c>
      <c r="C1185" s="3" t="str">
        <f>HYPERLINK("http://www.ncbi.nlm.nih.gov/protein/262331533","Cep95")</f>
        <v>Cep95</v>
      </c>
      <c r="E1185" t="str">
        <f>HYPERLINK("J:\Depot - mpkCCD Fractions\Main Web Page\Web Pages_old\proteomic_fractions_linear_files/Yang_linear_img/262331533.jpg","show blot")</f>
        <v>show blot</v>
      </c>
      <c r="G1185" t="s">
        <v>1176</v>
      </c>
      <c r="I1185" s="6">
        <v>1.1215850946007122</v>
      </c>
      <c r="K1185" s="8"/>
    </row>
    <row r="1186" spans="1:11" ht="15" x14ac:dyDescent="0.25">
      <c r="A1186" s="3" t="str">
        <f>HYPERLINK("proteomic_fractions_linear_files/Yang_linear_img/21312662.jpg", "21312662")</f>
        <v>21312662</v>
      </c>
      <c r="C1186" s="3" t="str">
        <f>HYPERLINK("http://www.ncbi.nlm.nih.gov/protein/21312662","Cep97")</f>
        <v>Cep97</v>
      </c>
      <c r="E1186" t="str">
        <f>HYPERLINK("J:\Depot - mpkCCD Fractions\Main Web Page\Web Pages_old\proteomic_fractions_linear_files/Yang_linear_img/21312662.jpg","show blot")</f>
        <v>show blot</v>
      </c>
      <c r="G1186" t="s">
        <v>1177</v>
      </c>
      <c r="I1186" s="6">
        <v>2.3195154487467065</v>
      </c>
      <c r="K1186" s="8"/>
    </row>
    <row r="1187" spans="1:11" ht="15" x14ac:dyDescent="0.25">
      <c r="A1187" s="3" t="str">
        <f>HYPERLINK("proteomic_fractions_linear_files/Yang_linear_img/31559983.jpg", "31559983")</f>
        <v>31559983</v>
      </c>
      <c r="C1187" s="3" t="str">
        <f>HYPERLINK("http://www.ncbi.nlm.nih.gov/protein/31559983","Cept1")</f>
        <v>Cept1</v>
      </c>
      <c r="E1187" t="str">
        <f>HYPERLINK("J:\Depot - mpkCCD Fractions\Main Web Page\Web Pages_old\proteomic_fractions_linear_files/Yang_linear_img/31559983.jpg","show blot")</f>
        <v>show blot</v>
      </c>
      <c r="G1187" t="s">
        <v>1178</v>
      </c>
      <c r="I1187" s="6">
        <v>3.578111462868129</v>
      </c>
      <c r="K1187" s="8"/>
    </row>
    <row r="1188" spans="1:11" ht="15" x14ac:dyDescent="0.25">
      <c r="A1188" s="3" t="str">
        <f>HYPERLINK("proteomic_fractions_linear_files/Yang_linear_img/22095015.jpg", "22095015")</f>
        <v>22095015</v>
      </c>
      <c r="C1188" s="3" t="str">
        <f>HYPERLINK("http://www.ncbi.nlm.nih.gov/protein/22095015","Cers2")</f>
        <v>Cers2</v>
      </c>
      <c r="E1188" t="str">
        <f>HYPERLINK("J:\Depot - mpkCCD Fractions\Main Web Page\Web Pages_old\proteomic_fractions_linear_files/Yang_linear_img/22095015.jpg","show blot")</f>
        <v>show blot</v>
      </c>
      <c r="G1188" t="s">
        <v>1179</v>
      </c>
      <c r="I1188" s="6">
        <v>4.036553568390806</v>
      </c>
      <c r="K1188" s="8"/>
    </row>
    <row r="1189" spans="1:11" ht="15" x14ac:dyDescent="0.25">
      <c r="A1189" s="3" t="str">
        <f>HYPERLINK("proteomic_fractions_linear_files/Yang_linear_img/117553604.jpg", "117553604")</f>
        <v>117553604</v>
      </c>
      <c r="C1189" s="3" t="str">
        <f>HYPERLINK("http://www.ncbi.nlm.nih.gov/protein/117553604","Ces1d")</f>
        <v>Ces1d</v>
      </c>
      <c r="E1189" t="str">
        <f>HYPERLINK("J:\Depot - mpkCCD Fractions\Main Web Page\Web Pages_old\proteomic_fractions_linear_files/Yang_linear_img/117553604.jpg","show blot")</f>
        <v>show blot</v>
      </c>
      <c r="G1189" t="s">
        <v>1180</v>
      </c>
      <c r="I1189" s="6">
        <v>2.030796592666094</v>
      </c>
      <c r="K1189" s="8"/>
    </row>
    <row r="1190" spans="1:11" ht="15" x14ac:dyDescent="0.25">
      <c r="A1190" s="3" t="str">
        <f>HYPERLINK("proteomic_fractions_linear_files/Yang_linear_img/76253942.jpg", "76253942")</f>
        <v>76253942</v>
      </c>
      <c r="C1190" s="3" t="str">
        <f>HYPERLINK("http://www.ncbi.nlm.nih.gov/protein/76253942","Cetn1")</f>
        <v>Cetn1</v>
      </c>
      <c r="E1190" t="str">
        <f>HYPERLINK("J:\Depot - mpkCCD Fractions\Main Web Page\Web Pages_old\proteomic_fractions_linear_files/Yang_linear_img/76253942.jpg","show blot")</f>
        <v>show blot</v>
      </c>
      <c r="G1190" t="s">
        <v>1181</v>
      </c>
      <c r="I1190" s="6">
        <v>3.7100226676967685</v>
      </c>
      <c r="K1190" s="8"/>
    </row>
    <row r="1191" spans="1:11" ht="15" x14ac:dyDescent="0.25">
      <c r="A1191" s="3" t="str">
        <f>HYPERLINK("proteomic_fractions_linear_files/Yang_linear_img/10257421.jpg", "10257421")</f>
        <v>10257421</v>
      </c>
      <c r="C1191" s="3" t="str">
        <f>HYPERLINK("http://www.ncbi.nlm.nih.gov/protein/10257421","Cetn2")</f>
        <v>Cetn2</v>
      </c>
      <c r="E1191" t="str">
        <f>HYPERLINK("J:\Depot - mpkCCD Fractions\Main Web Page\Web Pages_old\proteomic_fractions_linear_files/Yang_linear_img/10257421.jpg","show blot")</f>
        <v>show blot</v>
      </c>
      <c r="G1191" t="s">
        <v>1182</v>
      </c>
      <c r="I1191" s="6">
        <v>4.2266370150559087</v>
      </c>
      <c r="K1191" s="8"/>
    </row>
    <row r="1192" spans="1:11" ht="15" x14ac:dyDescent="0.25">
      <c r="A1192" s="3" t="str">
        <f>HYPERLINK("proteomic_fractions_linear_files/Yang_linear_img/6680922.jpg", "6680922")</f>
        <v>6680922</v>
      </c>
      <c r="C1192" s="3" t="str">
        <f>HYPERLINK("http://www.ncbi.nlm.nih.gov/protein/6680922","Cetn3")</f>
        <v>Cetn3</v>
      </c>
      <c r="E1192" t="str">
        <f>HYPERLINK("J:\Depot - mpkCCD Fractions\Main Web Page\Web Pages_old\proteomic_fractions_linear_files/Yang_linear_img/6680922.jpg","show blot")</f>
        <v>show blot</v>
      </c>
      <c r="G1192" t="s">
        <v>1183</v>
      </c>
      <c r="I1192" s="6">
        <v>4.1102656855010169</v>
      </c>
      <c r="K1192" s="8"/>
    </row>
    <row r="1193" spans="1:11" ht="15" x14ac:dyDescent="0.25">
      <c r="A1193" s="3" t="str">
        <f>HYPERLINK("proteomic_fractions_linear_files/Yang_linear_img/6753412.jpg", "6753412")</f>
        <v>6753412</v>
      </c>
      <c r="C1193" s="3" t="str">
        <f>HYPERLINK("http://www.ncbi.nlm.nih.gov/protein/6753412","Cfdp1")</f>
        <v>Cfdp1</v>
      </c>
      <c r="E1193" t="str">
        <f>HYPERLINK("J:\Depot - mpkCCD Fractions\Main Web Page\Web Pages_old\proteomic_fractions_linear_files/Yang_linear_img/6753412.jpg","show blot")</f>
        <v>show blot</v>
      </c>
      <c r="G1193" t="s">
        <v>1184</v>
      </c>
      <c r="I1193" s="6">
        <v>5.2580331996291649</v>
      </c>
      <c r="K1193" s="8"/>
    </row>
    <row r="1194" spans="1:11" ht="15" x14ac:dyDescent="0.25">
      <c r="A1194" s="3" t="str">
        <f>HYPERLINK("proteomic_fractions_linear_files/Yang_linear_img/6680924.jpg", "6680924")</f>
        <v>6680924</v>
      </c>
      <c r="C1194" s="3" t="str">
        <f>HYPERLINK("http://www.ncbi.nlm.nih.gov/protein/6680924","Cfl1")</f>
        <v>Cfl1</v>
      </c>
      <c r="E1194" t="str">
        <f>HYPERLINK("J:\Depot - mpkCCD Fractions\Main Web Page\Web Pages_old\proteomic_fractions_linear_files/Yang_linear_img/6680924.jpg","show blot")</f>
        <v>show blot</v>
      </c>
      <c r="G1194" t="s">
        <v>1185</v>
      </c>
      <c r="I1194" s="6">
        <v>6.9681706969009412</v>
      </c>
      <c r="K1194" s="8"/>
    </row>
    <row r="1195" spans="1:11" ht="15" x14ac:dyDescent="0.25">
      <c r="A1195" s="3" t="str">
        <f>HYPERLINK("proteomic_fractions_linear_files/Yang_linear_img/6671746.jpg", "6671746")</f>
        <v>6671746</v>
      </c>
      <c r="C1195" s="3" t="str">
        <f>HYPERLINK("http://www.ncbi.nlm.nih.gov/protein/6671746","Cfl2")</f>
        <v>Cfl2</v>
      </c>
      <c r="E1195" t="str">
        <f>HYPERLINK("J:\Depot - mpkCCD Fractions\Main Web Page\Web Pages_old\proteomic_fractions_linear_files/Yang_linear_img/6671746.jpg","show blot")</f>
        <v>show blot</v>
      </c>
      <c r="G1195" t="s">
        <v>1186</v>
      </c>
      <c r="I1195" s="6">
        <v>6.5366218107659426</v>
      </c>
      <c r="K1195" s="8"/>
    </row>
    <row r="1196" spans="1:11" ht="15" x14ac:dyDescent="0.25">
      <c r="A1196" s="3" t="str">
        <f>HYPERLINK("proteomic_fractions_linear_files/Yang_linear_img/46559393.jpg", "46559393")</f>
        <v>46559393</v>
      </c>
      <c r="C1196" s="3" t="str">
        <f>HYPERLINK("http://www.ncbi.nlm.nih.gov/protein/46559393","Cflar")</f>
        <v>Cflar</v>
      </c>
      <c r="E1196" t="str">
        <f>HYPERLINK("J:\Depot - mpkCCD Fractions\Main Web Page\Web Pages_old\proteomic_fractions_linear_files/Yang_linear_img/46559393.jpg","show blot")</f>
        <v>show blot</v>
      </c>
      <c r="G1196" t="s">
        <v>1187</v>
      </c>
      <c r="I1196" s="6">
        <v>3.9206971900647472</v>
      </c>
      <c r="K1196" s="8"/>
    </row>
    <row r="1197" spans="1:11" ht="15" x14ac:dyDescent="0.25">
      <c r="A1197" s="3" t="str">
        <f>HYPERLINK("proteomic_fractions_linear_files/Yang_linear_img/86198303.jpg", "86198303")</f>
        <v>86198303</v>
      </c>
      <c r="C1197" s="3" t="str">
        <f>HYPERLINK("http://www.ncbi.nlm.nih.gov/protein/86198303","Cflar")</f>
        <v>Cflar</v>
      </c>
      <c r="E1197" t="str">
        <f>HYPERLINK("J:\Depot - mpkCCD Fractions\Main Web Page\Web Pages_old\proteomic_fractions_linear_files/Yang_linear_img/86198303.jpg","show blot")</f>
        <v>show blot</v>
      </c>
      <c r="G1197" t="s">
        <v>1188</v>
      </c>
      <c r="I1197" s="6">
        <v>3.9206971900647472</v>
      </c>
      <c r="K1197" s="8"/>
    </row>
    <row r="1198" spans="1:11" ht="15" x14ac:dyDescent="0.25">
      <c r="A1198" s="3" t="str">
        <f>HYPERLINK("proteomic_fractions_linear_files/Yang_linear_img/14141185.jpg", "14141185")</f>
        <v>14141185</v>
      </c>
      <c r="C1198" s="3" t="str">
        <f>HYPERLINK("http://www.ncbi.nlm.nih.gov/protein/14141185","Cftr")</f>
        <v>Cftr</v>
      </c>
      <c r="E1198" t="str">
        <f>HYPERLINK("J:\Depot - mpkCCD Fractions\Main Web Page\Web Pages_old\proteomic_fractions_linear_files/Yang_linear_img/14141185.jpg","show blot")</f>
        <v>show blot</v>
      </c>
      <c r="G1198" t="s">
        <v>1189</v>
      </c>
      <c r="I1198" s="6">
        <v>4.0985992006472101</v>
      </c>
      <c r="K1198" s="8"/>
    </row>
    <row r="1199" spans="1:11" ht="15" x14ac:dyDescent="0.25">
      <c r="A1199" s="3" t="str">
        <f>HYPERLINK("proteomic_fractions_linear_files/Yang_linear_img/30520001.jpg", "30520001")</f>
        <v>30520001</v>
      </c>
      <c r="C1199" s="3" t="str">
        <f>HYPERLINK("http://www.ncbi.nlm.nih.gov/protein/30520001","Cggbp1")</f>
        <v>Cggbp1</v>
      </c>
      <c r="E1199" t="str">
        <f>HYPERLINK("J:\Depot - mpkCCD Fractions\Main Web Page\Web Pages_old\proteomic_fractions_linear_files/Yang_linear_img/30520001.jpg","show blot")</f>
        <v>show blot</v>
      </c>
      <c r="G1199" t="s">
        <v>1190</v>
      </c>
      <c r="I1199" s="6">
        <v>4.5818519091258949</v>
      </c>
      <c r="K1199" s="8"/>
    </row>
    <row r="1200" spans="1:11" ht="15" x14ac:dyDescent="0.25">
      <c r="A1200" s="3" t="str">
        <f>HYPERLINK("proteomic_fractions_linear_files/Yang_linear_img/189458807.jpg", "189458807")</f>
        <v>189458807</v>
      </c>
      <c r="C1200" s="3" t="str">
        <f>HYPERLINK("http://www.ncbi.nlm.nih.gov/protein/189458807","Cgn")</f>
        <v>Cgn</v>
      </c>
      <c r="E1200" t="str">
        <f>HYPERLINK("J:\Depot - mpkCCD Fractions\Main Web Page\Web Pages_old\proteomic_fractions_linear_files/Yang_linear_img/189458807.jpg","show blot")</f>
        <v>show blot</v>
      </c>
      <c r="G1200" t="s">
        <v>1191</v>
      </c>
      <c r="I1200" s="6">
        <v>5.3010346447330878</v>
      </c>
      <c r="K1200" s="8"/>
    </row>
    <row r="1201" spans="1:11" ht="15" x14ac:dyDescent="0.25">
      <c r="A1201" s="3" t="str">
        <f>HYPERLINK("proteomic_fractions_linear_files/Yang_linear_img/13386024.jpg", "13386024")</f>
        <v>13386024</v>
      </c>
      <c r="C1201" s="3" t="str">
        <f>HYPERLINK("http://www.ncbi.nlm.nih.gov/protein/13386024","Chac2")</f>
        <v>Chac2</v>
      </c>
      <c r="E1201" t="str">
        <f>HYPERLINK("J:\Depot - mpkCCD Fractions\Main Web Page\Web Pages_old\proteomic_fractions_linear_files/Yang_linear_img/13386024.jpg","show blot")</f>
        <v>show blot</v>
      </c>
      <c r="G1201" t="s">
        <v>1192</v>
      </c>
      <c r="I1201" s="6">
        <v>3.9814858015508667</v>
      </c>
      <c r="K1201" s="8"/>
    </row>
    <row r="1202" spans="1:11" ht="15" x14ac:dyDescent="0.25">
      <c r="A1202" s="3" t="str">
        <f>HYPERLINK("proteomic_fractions_linear_files/Yang_linear_img/7304957.jpg", "7304957")</f>
        <v>7304957</v>
      </c>
      <c r="C1202" s="3" t="str">
        <f>HYPERLINK("http://www.ncbi.nlm.nih.gov/protein/7304957","Chaf1a")</f>
        <v>Chaf1a</v>
      </c>
      <c r="E1202" t="str">
        <f>HYPERLINK("J:\Depot - mpkCCD Fractions\Main Web Page\Web Pages_old\proteomic_fractions_linear_files/Yang_linear_img/7304957.jpg","show blot")</f>
        <v>show blot</v>
      </c>
      <c r="G1202" t="s">
        <v>1193</v>
      </c>
      <c r="I1202" s="6">
        <v>3.4057974006543565</v>
      </c>
      <c r="K1202" s="8"/>
    </row>
    <row r="1203" spans="1:11" ht="15" x14ac:dyDescent="0.25">
      <c r="A1203" s="3" t="str">
        <f>HYPERLINK("proteomic_fractions_linear_files/Yang_linear_img/21312470.jpg", "21312470")</f>
        <v>21312470</v>
      </c>
      <c r="C1203" s="3" t="str">
        <f>HYPERLINK("http://www.ncbi.nlm.nih.gov/protein/21312470","Chaf1b")</f>
        <v>Chaf1b</v>
      </c>
      <c r="E1203" t="str">
        <f>HYPERLINK("J:\Depot - mpkCCD Fractions\Main Web Page\Web Pages_old\proteomic_fractions_linear_files/Yang_linear_img/21312470.jpg","show blot")</f>
        <v>show blot</v>
      </c>
      <c r="G1203" t="s">
        <v>1194</v>
      </c>
      <c r="I1203" s="6">
        <v>4.5349890380547402</v>
      </c>
      <c r="K1203" s="8"/>
    </row>
    <row r="1204" spans="1:11" ht="15" x14ac:dyDescent="0.25">
      <c r="A1204" s="3" t="str">
        <f>HYPERLINK("proteomic_fractions_linear_files/Yang_linear_img/32469497.jpg", "32469497")</f>
        <v>32469497</v>
      </c>
      <c r="C1204" s="3" t="str">
        <f>HYPERLINK("http://www.ncbi.nlm.nih.gov/protein/32469497","Champ1")</f>
        <v>Champ1</v>
      </c>
      <c r="E1204" t="str">
        <f>HYPERLINK("J:\Depot - mpkCCD Fractions\Main Web Page\Web Pages_old\proteomic_fractions_linear_files/Yang_linear_img/32469497.jpg","show blot")</f>
        <v>show blot</v>
      </c>
      <c r="G1204" t="s">
        <v>1195</v>
      </c>
      <c r="I1204" s="6">
        <v>3.6932065998206984</v>
      </c>
      <c r="K1204" s="8"/>
    </row>
    <row r="1205" spans="1:11" ht="15" x14ac:dyDescent="0.25">
      <c r="A1205" s="3" t="str">
        <f>HYPERLINK("proteomic_fractions_linear_files/Yang_linear_img/13384734.jpg", "13384734")</f>
        <v>13384734</v>
      </c>
      <c r="C1205" s="3" t="str">
        <f>HYPERLINK("http://www.ncbi.nlm.nih.gov/protein/13384734","Chchd1")</f>
        <v>Chchd1</v>
      </c>
      <c r="E1205" t="str">
        <f>HYPERLINK("J:\Depot - mpkCCD Fractions\Main Web Page\Web Pages_old\proteomic_fractions_linear_files/Yang_linear_img/13384734.jpg","show blot")</f>
        <v>show blot</v>
      </c>
      <c r="G1205" t="s">
        <v>1196</v>
      </c>
      <c r="I1205" s="6">
        <v>4.4120775568904218</v>
      </c>
      <c r="K1205" s="8"/>
    </row>
    <row r="1206" spans="1:11" ht="15" x14ac:dyDescent="0.25">
      <c r="A1206" s="3" t="str">
        <f>HYPERLINK("proteomic_fractions_linear_files/Yang_linear_img/18079334.jpg", "18079334")</f>
        <v>18079334</v>
      </c>
      <c r="C1206" s="3" t="str">
        <f>HYPERLINK("http://www.ncbi.nlm.nih.gov/protein/18079334","Chchd2")</f>
        <v>Chchd2</v>
      </c>
      <c r="E1206" t="str">
        <f>HYPERLINK("J:\Depot - mpkCCD Fractions\Main Web Page\Web Pages_old\proteomic_fractions_linear_files/Yang_linear_img/18079334.jpg","show blot")</f>
        <v>show blot</v>
      </c>
      <c r="G1206" t="s">
        <v>1197</v>
      </c>
      <c r="I1206" s="6">
        <v>5.0193925048789243</v>
      </c>
      <c r="K1206" s="8"/>
    </row>
    <row r="1207" spans="1:11" ht="15" x14ac:dyDescent="0.25">
      <c r="A1207" s="3" t="str">
        <f>HYPERLINK("proteomic_fractions_linear_files/Yang_linear_img/21313618.jpg", "21313618")</f>
        <v>21313618</v>
      </c>
      <c r="C1207" s="3" t="str">
        <f>HYPERLINK("http://www.ncbi.nlm.nih.gov/protein/21313618","Chchd3")</f>
        <v>Chchd3</v>
      </c>
      <c r="E1207" t="str">
        <f>HYPERLINK("J:\Depot - mpkCCD Fractions\Main Web Page\Web Pages_old\proteomic_fractions_linear_files/Yang_linear_img/21313618.jpg","show blot")</f>
        <v>show blot</v>
      </c>
      <c r="G1207" t="s">
        <v>1198</v>
      </c>
      <c r="I1207" s="6">
        <v>5.8719432975826278</v>
      </c>
      <c r="K1207" s="8"/>
    </row>
    <row r="1208" spans="1:11" ht="15" x14ac:dyDescent="0.25">
      <c r="A1208" s="3" t="str">
        <f>HYPERLINK("proteomic_fractions_linear_files/Yang_linear_img/19527144.jpg", "19527144")</f>
        <v>19527144</v>
      </c>
      <c r="C1208" s="3" t="str">
        <f>HYPERLINK("http://www.ncbi.nlm.nih.gov/protein/19527144","Chchd4")</f>
        <v>Chchd4</v>
      </c>
      <c r="E1208" t="str">
        <f>HYPERLINK("J:\Depot - mpkCCD Fractions\Main Web Page\Web Pages_old\proteomic_fractions_linear_files/Yang_linear_img/19527144.jpg","show blot")</f>
        <v>show blot</v>
      </c>
      <c r="G1208" t="s">
        <v>1199</v>
      </c>
      <c r="I1208" s="6">
        <v>4.2911371459170793</v>
      </c>
      <c r="K1208" s="8"/>
    </row>
    <row r="1209" spans="1:11" ht="15" x14ac:dyDescent="0.25">
      <c r="A1209" s="3" t="str">
        <f>HYPERLINK("proteomic_fractions_linear_files/Yang_linear_img/28076873.jpg", "28076873")</f>
        <v>28076873</v>
      </c>
      <c r="C1209" s="3" t="str">
        <f>HYPERLINK("http://www.ncbi.nlm.nih.gov/protein/28076873","Chchd5")</f>
        <v>Chchd5</v>
      </c>
      <c r="E1209" t="str">
        <f>HYPERLINK("J:\Depot - mpkCCD Fractions\Main Web Page\Web Pages_old\proteomic_fractions_linear_files/Yang_linear_img/28076873.jpg","show blot")</f>
        <v>show blot</v>
      </c>
      <c r="G1209" t="s">
        <v>1200</v>
      </c>
      <c r="I1209" s="6">
        <v>3.7150433401814063</v>
      </c>
      <c r="K1209" s="8"/>
    </row>
    <row r="1210" spans="1:11" ht="15" x14ac:dyDescent="0.25">
      <c r="A1210" s="3" t="str">
        <f>HYPERLINK("proteomic_fractions_linear_files/Yang_linear_img/267844804.jpg", "267844804")</f>
        <v>267844804</v>
      </c>
      <c r="C1210" s="3" t="str">
        <f>HYPERLINK("http://www.ncbi.nlm.nih.gov/protein/267844804","Chchd6")</f>
        <v>Chchd6</v>
      </c>
      <c r="E1210" t="str">
        <f>HYPERLINK("J:\Depot - mpkCCD Fractions\Main Web Page\Web Pages_old\proteomic_fractions_linear_files/Yang_linear_img/267844804.jpg","show blot")</f>
        <v>show blot</v>
      </c>
      <c r="G1210" t="s">
        <v>1201</v>
      </c>
      <c r="I1210" s="6">
        <v>5.1519010384275266</v>
      </c>
      <c r="K1210" s="8"/>
    </row>
    <row r="1211" spans="1:11" ht="15" x14ac:dyDescent="0.25">
      <c r="A1211" s="3" t="str">
        <f>HYPERLINK("proteomic_fractions_linear_files/Yang_linear_img/267844806.jpg", "267844806")</f>
        <v>267844806</v>
      </c>
      <c r="C1211" s="3" t="str">
        <f>HYPERLINK("http://www.ncbi.nlm.nih.gov/protein/267844806","Chchd6")</f>
        <v>Chchd6</v>
      </c>
      <c r="E1211" t="str">
        <f>HYPERLINK("J:\Depot - mpkCCD Fractions\Main Web Page\Web Pages_old\proteomic_fractions_linear_files/Yang_linear_img/267844806.jpg","show blot")</f>
        <v>show blot</v>
      </c>
      <c r="G1211" t="s">
        <v>1202</v>
      </c>
      <c r="I1211" s="6">
        <v>5.1519010384275266</v>
      </c>
      <c r="K1211" s="8"/>
    </row>
    <row r="1212" spans="1:11" ht="15" x14ac:dyDescent="0.25">
      <c r="A1212" s="3" t="str">
        <f>HYPERLINK("proteomic_fractions_linear_files/Yang_linear_img/298358505;298358513.jpg", "298358505;298358513")</f>
        <v>298358505;298358513</v>
      </c>
      <c r="C1212" s="3" t="str">
        <f>HYPERLINK("http://www.ncbi.nlm.nih.gov/protein/298358505;298358513","Chchd7")</f>
        <v>Chchd7</v>
      </c>
      <c r="E1212" t="str">
        <f>HYPERLINK("J:\Depot - mpkCCD Fractions\Main Web Page\Web Pages_old\proteomic_fractions_linear_files/Yang_linear_img/298358505;298358513.jpg","show blot")</f>
        <v>show blot</v>
      </c>
      <c r="G1212" t="s">
        <v>1203</v>
      </c>
      <c r="I1212" s="6">
        <v>3.7972094397784932</v>
      </c>
      <c r="K1212" s="8"/>
    </row>
    <row r="1213" spans="1:11" ht="15" x14ac:dyDescent="0.25">
      <c r="A1213" s="3" t="str">
        <f>HYPERLINK("proteomic_fractions_linear_files/Yang_linear_img/357527416.jpg", "357527416")</f>
        <v>357527416</v>
      </c>
      <c r="C1213" s="3" t="str">
        <f>HYPERLINK("http://www.ncbi.nlm.nih.gov/protein/357527416","Chd3")</f>
        <v>Chd3</v>
      </c>
      <c r="E1213" t="str">
        <f>HYPERLINK("J:\Depot - mpkCCD Fractions\Main Web Page\Web Pages_old\proteomic_fractions_linear_files/Yang_linear_img/357527416.jpg","show blot")</f>
        <v>show blot</v>
      </c>
      <c r="G1213" t="s">
        <v>1204</v>
      </c>
      <c r="I1213" s="6">
        <v>4.5219248263224214</v>
      </c>
      <c r="K1213" s="8"/>
    </row>
    <row r="1214" spans="1:11" ht="15" x14ac:dyDescent="0.25">
      <c r="A1214" s="3" t="str">
        <f>HYPERLINK("proteomic_fractions_linear_files/Yang_linear_img/39204553.jpg", "39204553")</f>
        <v>39204553</v>
      </c>
      <c r="C1214" s="3" t="str">
        <f>HYPERLINK("http://www.ncbi.nlm.nih.gov/protein/39204553","Chd4")</f>
        <v>Chd4</v>
      </c>
      <c r="E1214" t="str">
        <f>HYPERLINK("J:\Depot - mpkCCD Fractions\Main Web Page\Web Pages_old\proteomic_fractions_linear_files/Yang_linear_img/39204553.jpg","show blot")</f>
        <v>show blot</v>
      </c>
      <c r="G1214" t="s">
        <v>1205</v>
      </c>
      <c r="I1214" s="6">
        <v>4.8742802431881156</v>
      </c>
      <c r="K1214" s="8"/>
    </row>
    <row r="1215" spans="1:11" ht="15" x14ac:dyDescent="0.25">
      <c r="A1215" s="3" t="str">
        <f>HYPERLINK("proteomic_fractions_linear_files/Yang_linear_img/124487025.jpg", "124487025")</f>
        <v>124487025</v>
      </c>
      <c r="C1215" s="3" t="str">
        <f>HYPERLINK("http://www.ncbi.nlm.nih.gov/protein/124487025","Chd5")</f>
        <v>Chd5</v>
      </c>
      <c r="E1215" t="str">
        <f>HYPERLINK("J:\Depot - mpkCCD Fractions\Main Web Page\Web Pages_old\proteomic_fractions_linear_files/Yang_linear_img/124487025.jpg","show blot")</f>
        <v>show blot</v>
      </c>
      <c r="G1215" t="s">
        <v>1206</v>
      </c>
      <c r="I1215" s="6">
        <v>4.5385366620899665</v>
      </c>
      <c r="K1215" s="8"/>
    </row>
    <row r="1216" spans="1:11" ht="15" x14ac:dyDescent="0.25">
      <c r="A1216" s="3" t="str">
        <f>HYPERLINK("proteomic_fractions_linear_files/Yang_linear_img/189458814.jpg", "189458814")</f>
        <v>189458814</v>
      </c>
      <c r="C1216" s="3" t="str">
        <f>HYPERLINK("http://www.ncbi.nlm.nih.gov/protein/189458814","Chd5")</f>
        <v>Chd5</v>
      </c>
      <c r="E1216" t="str">
        <f>HYPERLINK("J:\Depot - mpkCCD Fractions\Main Web Page\Web Pages_old\proteomic_fractions_linear_files/Yang_linear_img/189458814.jpg","show blot")</f>
        <v>show blot</v>
      </c>
      <c r="G1216" t="s">
        <v>1207</v>
      </c>
      <c r="I1216" s="6">
        <v>4.5385366620899665</v>
      </c>
      <c r="K1216" s="8"/>
    </row>
    <row r="1217" spans="1:11" ht="15" x14ac:dyDescent="0.25">
      <c r="A1217" s="3" t="str">
        <f>HYPERLINK("proteomic_fractions_linear_files/Yang_linear_img/30425036.jpg", "30425036")</f>
        <v>30425036</v>
      </c>
      <c r="C1217" s="3" t="str">
        <f>HYPERLINK("http://www.ncbi.nlm.nih.gov/protein/30425036","Chdh")</f>
        <v>Chdh</v>
      </c>
      <c r="E1217" t="str">
        <f>HYPERLINK("J:\Depot - mpkCCD Fractions\Main Web Page\Web Pages_old\proteomic_fractions_linear_files/Yang_linear_img/30425036.jpg","show blot")</f>
        <v>show blot</v>
      </c>
      <c r="G1217" t="s">
        <v>1208</v>
      </c>
      <c r="I1217" s="6">
        <v>5.5240366757655286</v>
      </c>
      <c r="K1217" s="8"/>
    </row>
    <row r="1218" spans="1:11" ht="15" x14ac:dyDescent="0.25">
      <c r="A1218" s="3" t="str">
        <f>HYPERLINK("proteomic_fractions_linear_files/Yang_linear_img/31542385.jpg", "31542385")</f>
        <v>31542385</v>
      </c>
      <c r="C1218" s="3" t="str">
        <f>HYPERLINK("http://www.ncbi.nlm.nih.gov/protein/31542385","Chek1")</f>
        <v>Chek1</v>
      </c>
      <c r="E1218" t="str">
        <f>HYPERLINK("J:\Depot - mpkCCD Fractions\Main Web Page\Web Pages_old\proteomic_fractions_linear_files/Yang_linear_img/31542385.jpg","show blot")</f>
        <v>show blot</v>
      </c>
      <c r="G1218" t="s">
        <v>1209</v>
      </c>
      <c r="I1218" s="6">
        <v>3.4151950261217614</v>
      </c>
      <c r="K1218" s="8"/>
    </row>
    <row r="1219" spans="1:11" ht="15" x14ac:dyDescent="0.25">
      <c r="A1219" s="3" t="str">
        <f>HYPERLINK("proteomic_fractions_linear_files/Yang_linear_img/119672912.jpg", "119672912")</f>
        <v>119672912</v>
      </c>
      <c r="C1219" s="3" t="str">
        <f>HYPERLINK("http://www.ncbi.nlm.nih.gov/protein/119672912","Cherp")</f>
        <v>Cherp</v>
      </c>
      <c r="E1219" t="str">
        <f>HYPERLINK("J:\Depot - mpkCCD Fractions\Main Web Page\Web Pages_old\proteomic_fractions_linear_files/Yang_linear_img/119672912.jpg","show blot")</f>
        <v>show blot</v>
      </c>
      <c r="G1219" t="s">
        <v>1210</v>
      </c>
      <c r="I1219" s="6">
        <v>3.4252008890753332</v>
      </c>
      <c r="K1219" s="8"/>
    </row>
    <row r="1220" spans="1:11" ht="15" x14ac:dyDescent="0.25">
      <c r="A1220" s="3" t="str">
        <f>HYPERLINK("proteomic_fractions_linear_files/Yang_linear_img/218083710.jpg", "218083710")</f>
        <v>218083710</v>
      </c>
      <c r="C1220" s="3" t="str">
        <f>HYPERLINK("http://www.ncbi.nlm.nih.gov/protein/218083710","Chid1")</f>
        <v>Chid1</v>
      </c>
      <c r="E1220" t="str">
        <f>HYPERLINK("J:\Depot - mpkCCD Fractions\Main Web Page\Web Pages_old\proteomic_fractions_linear_files/Yang_linear_img/218083710.jpg","show blot")</f>
        <v>show blot</v>
      </c>
      <c r="G1220" t="s">
        <v>1211</v>
      </c>
      <c r="I1220" s="6">
        <v>2.5833018461138564</v>
      </c>
      <c r="K1220" s="8"/>
    </row>
    <row r="1221" spans="1:11" ht="15" x14ac:dyDescent="0.25">
      <c r="A1221" s="3" t="str">
        <f>HYPERLINK("proteomic_fractions_linear_files/Yang_linear_img/31541939.jpg", "31541939")</f>
        <v>31541939</v>
      </c>
      <c r="C1221" s="3" t="str">
        <f>HYPERLINK("http://www.ncbi.nlm.nih.gov/protein/31541939","Chid1")</f>
        <v>Chid1</v>
      </c>
      <c r="E1221" t="str">
        <f>HYPERLINK("J:\Depot - mpkCCD Fractions\Main Web Page\Web Pages_old\proteomic_fractions_linear_files/Yang_linear_img/31541939.jpg","show blot")</f>
        <v>show blot</v>
      </c>
      <c r="G1221" t="s">
        <v>1212</v>
      </c>
      <c r="I1221" s="6">
        <v>2.5833018461138564</v>
      </c>
      <c r="K1221" s="8"/>
    </row>
    <row r="1222" spans="1:11" ht="15" x14ac:dyDescent="0.25">
      <c r="A1222" s="3" t="str">
        <f>HYPERLINK("proteomic_fractions_linear_files/Yang_linear_img/407970974.jpg", "407970974")</f>
        <v>407970974</v>
      </c>
      <c r="C1222" s="3" t="str">
        <f>HYPERLINK("http://www.ncbi.nlm.nih.gov/protein/407970974","Chka")</f>
        <v>Chka</v>
      </c>
      <c r="E1222" t="str">
        <f>HYPERLINK("J:\Depot - mpkCCD Fractions\Main Web Page\Web Pages_old\proteomic_fractions_linear_files/Yang_linear_img/407970974.jpg","show blot")</f>
        <v>show blot</v>
      </c>
      <c r="G1222" t="s">
        <v>1213</v>
      </c>
      <c r="I1222" s="6">
        <v>3.8012238893304531</v>
      </c>
      <c r="K1222" s="8"/>
    </row>
    <row r="1223" spans="1:11" ht="15" x14ac:dyDescent="0.25">
      <c r="A1223" s="3" t="str">
        <f>HYPERLINK("proteomic_fractions_linear_files/Yang_linear_img/70908364.jpg", "70908364")</f>
        <v>70908364</v>
      </c>
      <c r="C1223" s="3" t="str">
        <f>HYPERLINK("http://www.ncbi.nlm.nih.gov/protein/70908364","Chka")</f>
        <v>Chka</v>
      </c>
      <c r="E1223" t="str">
        <f>HYPERLINK("J:\Depot - mpkCCD Fractions\Main Web Page\Web Pages_old\proteomic_fractions_linear_files/Yang_linear_img/70908364.jpg","show blot")</f>
        <v>show blot</v>
      </c>
      <c r="G1223" t="s">
        <v>1214</v>
      </c>
      <c r="I1223" s="6">
        <v>3.8012238893304531</v>
      </c>
      <c r="K1223" s="8"/>
    </row>
    <row r="1224" spans="1:11" ht="15" x14ac:dyDescent="0.25">
      <c r="A1224" s="3" t="str">
        <f>HYPERLINK("proteomic_fractions_linear_files/Yang_linear_img/6671748.jpg", "6671748")</f>
        <v>6671748</v>
      </c>
      <c r="C1224" s="3" t="str">
        <f>HYPERLINK("http://www.ncbi.nlm.nih.gov/protein/6671748","Chkb")</f>
        <v>Chkb</v>
      </c>
      <c r="E1224" t="str">
        <f>HYPERLINK("J:\Depot - mpkCCD Fractions\Main Web Page\Web Pages_old\proteomic_fractions_linear_files/Yang_linear_img/6671748.jpg","show blot")</f>
        <v>show blot</v>
      </c>
      <c r="G1224" t="s">
        <v>1215</v>
      </c>
      <c r="I1224" s="6">
        <v>4.1629571614075394</v>
      </c>
      <c r="K1224" s="8"/>
    </row>
    <row r="1225" spans="1:11" ht="15" x14ac:dyDescent="0.25">
      <c r="A1225" s="3" t="str">
        <f>HYPERLINK("proteomic_fractions_linear_files/Yang_linear_img/110681714.jpg", "110681714")</f>
        <v>110681714</v>
      </c>
      <c r="C1225" s="3" t="str">
        <f>HYPERLINK("http://www.ncbi.nlm.nih.gov/protein/110681714","Chm")</f>
        <v>Chm</v>
      </c>
      <c r="E1225" t="str">
        <f>HYPERLINK("J:\Depot - mpkCCD Fractions\Main Web Page\Web Pages_old\proteomic_fractions_linear_files/Yang_linear_img/110681714.jpg","show blot")</f>
        <v>show blot</v>
      </c>
      <c r="G1225" t="s">
        <v>1216</v>
      </c>
      <c r="I1225" s="6">
        <v>3.7479226741289331</v>
      </c>
      <c r="K1225" s="8"/>
    </row>
    <row r="1226" spans="1:11" ht="15" x14ac:dyDescent="0.25">
      <c r="A1226" s="3" t="str">
        <f>HYPERLINK("proteomic_fractions_linear_files/Yang_linear_img/377834613.jpg", "377834613")</f>
        <v>377834613</v>
      </c>
      <c r="C1226" s="3" t="str">
        <f>HYPERLINK("http://www.ncbi.nlm.nih.gov/protein/377834613","Chm")</f>
        <v>Chm</v>
      </c>
      <c r="E1226" t="str">
        <f>HYPERLINK("J:\Depot - mpkCCD Fractions\Main Web Page\Web Pages_old\proteomic_fractions_linear_files/Yang_linear_img/377834613.jpg","show blot")</f>
        <v>show blot</v>
      </c>
      <c r="G1226" t="s">
        <v>1217</v>
      </c>
      <c r="I1226" s="6">
        <v>3.7479226741289331</v>
      </c>
      <c r="K1226" s="8"/>
    </row>
    <row r="1227" spans="1:11" ht="15" x14ac:dyDescent="0.25">
      <c r="A1227" s="3" t="str">
        <f>HYPERLINK("proteomic_fractions_linear_files/Yang_linear_img/21704220.jpg", "21704220")</f>
        <v>21704220</v>
      </c>
      <c r="C1227" s="3" t="str">
        <f>HYPERLINK("http://www.ncbi.nlm.nih.gov/protein/21704220","Chmp1a")</f>
        <v>Chmp1a</v>
      </c>
      <c r="E1227" t="str">
        <f>HYPERLINK("J:\Depot - mpkCCD Fractions\Main Web Page\Web Pages_old\proteomic_fractions_linear_files/Yang_linear_img/21704220.jpg","show blot")</f>
        <v>show blot</v>
      </c>
      <c r="G1227" t="s">
        <v>1218</v>
      </c>
      <c r="I1227" s="6">
        <v>4.1821452520972855</v>
      </c>
      <c r="K1227" s="8"/>
    </row>
    <row r="1228" spans="1:11" ht="15" x14ac:dyDescent="0.25">
      <c r="A1228" s="3" t="str">
        <f>HYPERLINK("proteomic_fractions_linear_files/Yang_linear_img/21312151.jpg", "21312151")</f>
        <v>21312151</v>
      </c>
      <c r="C1228" s="3" t="str">
        <f>HYPERLINK("http://www.ncbi.nlm.nih.gov/protein/21312151","Chmp2a")</f>
        <v>Chmp2a</v>
      </c>
      <c r="E1228" t="str">
        <f>HYPERLINK("J:\Depot - mpkCCD Fractions\Main Web Page\Web Pages_old\proteomic_fractions_linear_files/Yang_linear_img/21312151.jpg","show blot")</f>
        <v>show blot</v>
      </c>
      <c r="G1228" t="s">
        <v>1219</v>
      </c>
      <c r="I1228" s="6">
        <v>5.0825921524438469</v>
      </c>
      <c r="K1228" s="8"/>
    </row>
    <row r="1229" spans="1:11" ht="15" x14ac:dyDescent="0.25">
      <c r="A1229" s="3" t="str">
        <f>HYPERLINK("proteomic_fractions_linear_files/Yang_linear_img/30794432.jpg", "30794432")</f>
        <v>30794432</v>
      </c>
      <c r="C1229" s="3" t="str">
        <f>HYPERLINK("http://www.ncbi.nlm.nih.gov/protein/30794432","Chmp2b")</f>
        <v>Chmp2b</v>
      </c>
      <c r="E1229" t="str">
        <f>HYPERLINK("J:\Depot - mpkCCD Fractions\Main Web Page\Web Pages_old\proteomic_fractions_linear_files/Yang_linear_img/30794432.jpg","show blot")</f>
        <v>show blot</v>
      </c>
      <c r="G1229" t="s">
        <v>1220</v>
      </c>
      <c r="I1229" s="6">
        <v>5.0270265278506558</v>
      </c>
      <c r="K1229" s="8"/>
    </row>
    <row r="1230" spans="1:11" ht="15" x14ac:dyDescent="0.25">
      <c r="A1230" s="3" t="str">
        <f>HYPERLINK("proteomic_fractions_linear_files/Yang_linear_img/31541959.jpg", "31541959")</f>
        <v>31541959</v>
      </c>
      <c r="C1230" s="3" t="str">
        <f>HYPERLINK("http://www.ncbi.nlm.nih.gov/protein/31541959","Chmp3")</f>
        <v>Chmp3</v>
      </c>
      <c r="E1230" t="str">
        <f>HYPERLINK("J:\Depot - mpkCCD Fractions\Main Web Page\Web Pages_old\proteomic_fractions_linear_files/Yang_linear_img/31541959.jpg","show blot")</f>
        <v>show blot</v>
      </c>
      <c r="G1230" t="s">
        <v>1221</v>
      </c>
      <c r="I1230" s="6">
        <v>4.9764634203327347</v>
      </c>
      <c r="K1230" s="8"/>
    </row>
    <row r="1231" spans="1:11" ht="15" x14ac:dyDescent="0.25">
      <c r="A1231" s="3" t="str">
        <f>HYPERLINK("proteomic_fractions_linear_files/Yang_linear_img/28077049.jpg", "28077049")</f>
        <v>28077049</v>
      </c>
      <c r="C1231" s="3" t="str">
        <f>HYPERLINK("http://www.ncbi.nlm.nih.gov/protein/28077049","Chmp4b")</f>
        <v>Chmp4b</v>
      </c>
      <c r="E1231" t="str">
        <f>HYPERLINK("J:\Depot - mpkCCD Fractions\Main Web Page\Web Pages_old\proteomic_fractions_linear_files/Yang_linear_img/28077049.jpg","show blot")</f>
        <v>show blot</v>
      </c>
      <c r="G1231" t="s">
        <v>1222</v>
      </c>
      <c r="I1231" s="6">
        <v>5.6145336502437164</v>
      </c>
      <c r="K1231" s="8"/>
    </row>
    <row r="1232" spans="1:11" ht="15" x14ac:dyDescent="0.25">
      <c r="A1232" s="3" t="str">
        <f>HYPERLINK("proteomic_fractions_linear_files/Yang_linear_img/13386442.jpg", "13386442")</f>
        <v>13386442</v>
      </c>
      <c r="C1232" s="3" t="str">
        <f>HYPERLINK("http://www.ncbi.nlm.nih.gov/protein/13386442","Chmp5")</f>
        <v>Chmp5</v>
      </c>
      <c r="E1232" t="str">
        <f>HYPERLINK("J:\Depot - mpkCCD Fractions\Main Web Page\Web Pages_old\proteomic_fractions_linear_files/Yang_linear_img/13386442.jpg","show blot")</f>
        <v>show blot</v>
      </c>
      <c r="G1232" t="s">
        <v>1223</v>
      </c>
      <c r="I1232" s="6">
        <v>5.3595304384293323</v>
      </c>
      <c r="K1232" s="8"/>
    </row>
    <row r="1233" spans="1:11" ht="15" x14ac:dyDescent="0.25">
      <c r="A1233" s="3" t="str">
        <f>HYPERLINK("proteomic_fractions_linear_files/Yang_linear_img/147904547.jpg", "147904547")</f>
        <v>147904547</v>
      </c>
      <c r="C1233" s="3" t="str">
        <f>HYPERLINK("http://www.ncbi.nlm.nih.gov/protein/147904547","Chmp6")</f>
        <v>Chmp6</v>
      </c>
      <c r="E1233" t="str">
        <f>HYPERLINK("J:\Depot - mpkCCD Fractions\Main Web Page\Web Pages_old\proteomic_fractions_linear_files/Yang_linear_img/147904547.jpg","show blot")</f>
        <v>show blot</v>
      </c>
      <c r="G1233" t="s">
        <v>1224</v>
      </c>
      <c r="I1233" s="6">
        <v>5.1320103212515811</v>
      </c>
      <c r="K1233" s="8"/>
    </row>
    <row r="1234" spans="1:11" ht="15" x14ac:dyDescent="0.25">
      <c r="A1234" s="3" t="str">
        <f>HYPERLINK("proteomic_fractions_linear_files/Yang_linear_img/13385324.jpg", "13385324")</f>
        <v>13385324</v>
      </c>
      <c r="C1234" s="3" t="str">
        <f>HYPERLINK("http://www.ncbi.nlm.nih.gov/protein/13385324","Chordc1")</f>
        <v>Chordc1</v>
      </c>
      <c r="E1234" t="str">
        <f>HYPERLINK("J:\Depot - mpkCCD Fractions\Main Web Page\Web Pages_old\proteomic_fractions_linear_files/Yang_linear_img/13385324.jpg","show blot")</f>
        <v>show blot</v>
      </c>
      <c r="G1234" t="s">
        <v>1225</v>
      </c>
      <c r="I1234" s="6">
        <v>4.6199227853928511</v>
      </c>
      <c r="K1234" s="8"/>
    </row>
    <row r="1235" spans="1:11" ht="15" x14ac:dyDescent="0.25">
      <c r="A1235" s="3" t="str">
        <f>HYPERLINK("proteomic_fractions_linear_files/Yang_linear_img/9790225.jpg", "9790225")</f>
        <v>9790225</v>
      </c>
      <c r="C1235" s="3" t="str">
        <f>HYPERLINK("http://www.ncbi.nlm.nih.gov/protein/9790225","Chp1")</f>
        <v>Chp1</v>
      </c>
      <c r="E1235" t="str">
        <f>HYPERLINK("J:\Depot - mpkCCD Fractions\Main Web Page\Web Pages_old\proteomic_fractions_linear_files/Yang_linear_img/9790225.jpg","show blot")</f>
        <v>show blot</v>
      </c>
      <c r="G1235" t="s">
        <v>1226</v>
      </c>
      <c r="I1235" s="6">
        <v>5.3538841237707873</v>
      </c>
      <c r="K1235" s="8"/>
    </row>
    <row r="1236" spans="1:11" ht="15" x14ac:dyDescent="0.25">
      <c r="A1236" s="3" t="str">
        <f>HYPERLINK("proteomic_fractions_linear_files/Yang_linear_img/226442811.jpg", "226442811")</f>
        <v>226442811</v>
      </c>
      <c r="C1236" s="3" t="str">
        <f>HYPERLINK("http://www.ncbi.nlm.nih.gov/protein/226442811","Chpt1")</f>
        <v>Chpt1</v>
      </c>
      <c r="E1236" t="str">
        <f>HYPERLINK("J:\Depot - mpkCCD Fractions\Main Web Page\Web Pages_old\proteomic_fractions_linear_files/Yang_linear_img/226442811.jpg","show blot")</f>
        <v>show blot</v>
      </c>
      <c r="G1236" t="s">
        <v>1227</v>
      </c>
      <c r="I1236" s="6">
        <v>3.0226345399441192</v>
      </c>
      <c r="K1236" s="8"/>
    </row>
    <row r="1237" spans="1:11" ht="15" x14ac:dyDescent="0.25">
      <c r="A1237" s="3" t="str">
        <f>HYPERLINK("proteomic_fractions_linear_files/Yang_linear_img/226442815.jpg", "226442815")</f>
        <v>226442815</v>
      </c>
      <c r="C1237" s="3" t="str">
        <f>HYPERLINK("http://www.ncbi.nlm.nih.gov/protein/226442815","Chpt1")</f>
        <v>Chpt1</v>
      </c>
      <c r="E1237" t="str">
        <f>HYPERLINK("J:\Depot - mpkCCD Fractions\Main Web Page\Web Pages_old\proteomic_fractions_linear_files/Yang_linear_img/226442815.jpg","show blot")</f>
        <v>show blot</v>
      </c>
      <c r="G1237" t="s">
        <v>1228</v>
      </c>
      <c r="I1237" s="6">
        <v>3.0226345399441192</v>
      </c>
      <c r="K1237" s="8"/>
    </row>
    <row r="1238" spans="1:11" ht="15" x14ac:dyDescent="0.25">
      <c r="A1238" s="3" t="str">
        <f>HYPERLINK("proteomic_fractions_linear_files/Yang_linear_img/6752950.jpg", "6752950")</f>
        <v>6752950</v>
      </c>
      <c r="C1238" s="3" t="str">
        <f>HYPERLINK("http://www.ncbi.nlm.nih.gov/protein/6752950","Chrne")</f>
        <v>Chrne</v>
      </c>
      <c r="E1238" t="str">
        <f>HYPERLINK("J:\Depot - mpkCCD Fractions\Main Web Page\Web Pages_old\proteomic_fractions_linear_files/Yang_linear_img/6752950.jpg","show blot")</f>
        <v>show blot</v>
      </c>
      <c r="G1238" t="s">
        <v>1229</v>
      </c>
      <c r="I1238" s="6">
        <v>4.2661036451100607</v>
      </c>
      <c r="K1238" s="8"/>
    </row>
    <row r="1239" spans="1:11" ht="15" x14ac:dyDescent="0.25">
      <c r="A1239" s="3" t="str">
        <f>HYPERLINK("proteomic_fractions_linear_files/Yang_linear_img/157951666.jpg", "157951666")</f>
        <v>157951666</v>
      </c>
      <c r="C1239" s="3" t="str">
        <f>HYPERLINK("http://www.ncbi.nlm.nih.gov/protein/157951666","Chtf18")</f>
        <v>Chtf18</v>
      </c>
      <c r="E1239" t="str">
        <f>HYPERLINK("J:\Depot - mpkCCD Fractions\Main Web Page\Web Pages_old\proteomic_fractions_linear_files/Yang_linear_img/157951666.jpg","show blot")</f>
        <v>show blot</v>
      </c>
      <c r="G1239" t="s">
        <v>1230</v>
      </c>
      <c r="I1239" s="6">
        <v>4.1973650194660035</v>
      </c>
      <c r="K1239" s="8"/>
    </row>
    <row r="1240" spans="1:11" ht="15" x14ac:dyDescent="0.25">
      <c r="A1240" s="3" t="str">
        <f>HYPERLINK("proteomic_fractions_linear_files/Yang_linear_img/84000434.jpg", "84000434")</f>
        <v>84000434</v>
      </c>
      <c r="C1240" s="3" t="str">
        <f>HYPERLINK("http://www.ncbi.nlm.nih.gov/protein/84000434","Chtf8")</f>
        <v>Chtf8</v>
      </c>
      <c r="E1240" t="str">
        <f>HYPERLINK("J:\Depot - mpkCCD Fractions\Main Web Page\Web Pages_old\proteomic_fractions_linear_files/Yang_linear_img/84000434.jpg","show blot")</f>
        <v>show blot</v>
      </c>
      <c r="G1240" t="s">
        <v>1231</v>
      </c>
      <c r="I1240" s="6">
        <v>4.1464137630419877</v>
      </c>
      <c r="K1240" s="8"/>
    </row>
    <row r="1241" spans="1:11" ht="15" x14ac:dyDescent="0.25">
      <c r="A1241" s="3" t="str">
        <f>HYPERLINK("proteomic_fractions_linear_files/Yang_linear_img/31981251.jpg", "31981251")</f>
        <v>31981251</v>
      </c>
      <c r="C1241" s="3" t="str">
        <f>HYPERLINK("http://www.ncbi.nlm.nih.gov/protein/31981251","Chtop")</f>
        <v>Chtop</v>
      </c>
      <c r="E1241" t="str">
        <f>HYPERLINK("J:\Depot - mpkCCD Fractions\Main Web Page\Web Pages_old\proteomic_fractions_linear_files/Yang_linear_img/31981251.jpg","show blot")</f>
        <v>show blot</v>
      </c>
      <c r="G1241" t="s">
        <v>1232</v>
      </c>
      <c r="I1241" s="6">
        <v>5.15769473467219</v>
      </c>
      <c r="K1241" s="8"/>
    </row>
    <row r="1242" spans="1:11" ht="15" x14ac:dyDescent="0.25">
      <c r="A1242" s="3" t="str">
        <f>HYPERLINK("proteomic_fractions_linear_files/Yang_linear_img/124249115.jpg", "124249115")</f>
        <v>124249115</v>
      </c>
      <c r="C1242" s="3" t="str">
        <f>HYPERLINK("http://www.ncbi.nlm.nih.gov/protein/124249115","Churc1")</f>
        <v>Churc1</v>
      </c>
      <c r="E1242" t="str">
        <f>HYPERLINK("J:\Depot - mpkCCD Fractions\Main Web Page\Web Pages_old\proteomic_fractions_linear_files/Yang_linear_img/124249115.jpg","show blot")</f>
        <v>show blot</v>
      </c>
      <c r="G1242" t="s">
        <v>1233</v>
      </c>
      <c r="I1242" s="6">
        <v>3.977241219295593</v>
      </c>
      <c r="K1242" s="8"/>
    </row>
    <row r="1243" spans="1:11" ht="15" x14ac:dyDescent="0.25">
      <c r="A1243" s="3" t="str">
        <f>HYPERLINK("proteomic_fractions_linear_files/Yang_linear_img/31542399.jpg", "31542399")</f>
        <v>31542399</v>
      </c>
      <c r="C1243" s="3" t="str">
        <f>HYPERLINK("http://www.ncbi.nlm.nih.gov/protein/31542399","Ciao1")</f>
        <v>Ciao1</v>
      </c>
      <c r="E1243" t="str">
        <f>HYPERLINK("J:\Depot - mpkCCD Fractions\Main Web Page\Web Pages_old\proteomic_fractions_linear_files/Yang_linear_img/31542399.jpg","show blot")</f>
        <v>show blot</v>
      </c>
      <c r="G1243" t="s">
        <v>1234</v>
      </c>
      <c r="I1243" s="6">
        <v>5.168411557876496</v>
      </c>
      <c r="K1243" s="8"/>
    </row>
    <row r="1244" spans="1:11" ht="15" x14ac:dyDescent="0.25">
      <c r="A1244" s="3" t="str">
        <f>HYPERLINK("proteomic_fractions_linear_files/Yang_linear_img/19527376.jpg", "19527376")</f>
        <v>19527376</v>
      </c>
      <c r="C1244" s="3" t="str">
        <f>HYPERLINK("http://www.ncbi.nlm.nih.gov/protein/19527376","Ciapin1")</f>
        <v>Ciapin1</v>
      </c>
      <c r="E1244" t="str">
        <f>HYPERLINK("J:\Depot - mpkCCD Fractions\Main Web Page\Web Pages_old\proteomic_fractions_linear_files/Yang_linear_img/19527376.jpg","show blot")</f>
        <v>show blot</v>
      </c>
      <c r="G1244" t="s">
        <v>1235</v>
      </c>
      <c r="I1244" s="6">
        <v>5.1884816335488759</v>
      </c>
      <c r="K1244" s="8"/>
    </row>
    <row r="1245" spans="1:11" ht="15" x14ac:dyDescent="0.25">
      <c r="A1245" s="3" t="str">
        <f>HYPERLINK("proteomic_fractions_linear_files/Yang_linear_img/6680946.jpg", "6680946")</f>
        <v>6680946</v>
      </c>
      <c r="C1245" s="3" t="str">
        <f>HYPERLINK("http://www.ncbi.nlm.nih.gov/protein/6680946","Cirbp")</f>
        <v>Cirbp</v>
      </c>
      <c r="E1245" t="str">
        <f>HYPERLINK("J:\Depot - mpkCCD Fractions\Main Web Page\Web Pages_old\proteomic_fractions_linear_files/Yang_linear_img/6680946.jpg","show blot")</f>
        <v>show blot</v>
      </c>
      <c r="G1245" t="s">
        <v>1236</v>
      </c>
      <c r="I1245" s="6">
        <v>5.3876958747874859</v>
      </c>
      <c r="K1245" s="8"/>
    </row>
    <row r="1246" spans="1:11" ht="15" x14ac:dyDescent="0.25">
      <c r="A1246" s="3" t="str">
        <f>HYPERLINK("proteomic_fractions_linear_files/Yang_linear_img/19527228.jpg", "19527228")</f>
        <v>19527228</v>
      </c>
      <c r="C1246" s="3" t="str">
        <f>HYPERLINK("http://www.ncbi.nlm.nih.gov/protein/19527228","Cisd1")</f>
        <v>Cisd1</v>
      </c>
      <c r="E1246" t="str">
        <f>HYPERLINK("J:\Depot - mpkCCD Fractions\Main Web Page\Web Pages_old\proteomic_fractions_linear_files/Yang_linear_img/19527228.jpg","show blot")</f>
        <v>show blot</v>
      </c>
      <c r="G1246" t="s">
        <v>1237</v>
      </c>
      <c r="I1246" s="6">
        <v>6.4607690968231779</v>
      </c>
      <c r="K1246" s="8"/>
    </row>
    <row r="1247" spans="1:11" ht="15" x14ac:dyDescent="0.25">
      <c r="A1247" s="3" t="str">
        <f>HYPERLINK("proteomic_fractions_linear_files/Yang_linear_img/21728370.jpg", "21728370")</f>
        <v>21728370</v>
      </c>
      <c r="C1247" s="3" t="str">
        <f>HYPERLINK("http://www.ncbi.nlm.nih.gov/protein/21728370","Cisd2")</f>
        <v>Cisd2</v>
      </c>
      <c r="E1247" t="str">
        <f>HYPERLINK("J:\Depot - mpkCCD Fractions\Main Web Page\Web Pages_old\proteomic_fractions_linear_files/Yang_linear_img/21728370.jpg","show blot")</f>
        <v>show blot</v>
      </c>
      <c r="G1247" t="s">
        <v>1238</v>
      </c>
      <c r="I1247" s="6">
        <v>5.7929105993168264</v>
      </c>
      <c r="K1247" s="8"/>
    </row>
    <row r="1248" spans="1:11" ht="15" x14ac:dyDescent="0.25">
      <c r="A1248" s="3" t="str">
        <f>HYPERLINK("proteomic_fractions_linear_files/Yang_linear_img/168229148.jpg", "168229148")</f>
        <v>168229148</v>
      </c>
      <c r="C1248" s="3" t="str">
        <f>HYPERLINK("http://www.ncbi.nlm.nih.gov/protein/168229148","Cisd3")</f>
        <v>Cisd3</v>
      </c>
      <c r="E1248" t="str">
        <f>HYPERLINK("J:\Depot - mpkCCD Fractions\Main Web Page\Web Pages_old\proteomic_fractions_linear_files/Yang_linear_img/168229148.jpg","show blot")</f>
        <v>show blot</v>
      </c>
      <c r="G1248" t="s">
        <v>1239</v>
      </c>
      <c r="I1248" s="6">
        <v>3.871458249786909</v>
      </c>
      <c r="K1248" s="8"/>
    </row>
    <row r="1249" spans="1:11" ht="15" x14ac:dyDescent="0.25">
      <c r="A1249" s="3" t="str">
        <f>HYPERLINK("proteomic_fractions_linear_files/Yang_linear_img/62526118.jpg", "62526118")</f>
        <v>62526118</v>
      </c>
      <c r="C1249" s="3" t="str">
        <f>HYPERLINK("http://www.ncbi.nlm.nih.gov/protein/62526118","Ckap4")</f>
        <v>Ckap4</v>
      </c>
      <c r="E1249" t="str">
        <f>HYPERLINK("J:\Depot - mpkCCD Fractions\Main Web Page\Web Pages_old\proteomic_fractions_linear_files/Yang_linear_img/62526118.jpg","show blot")</f>
        <v>show blot</v>
      </c>
      <c r="G1249" t="s">
        <v>1240</v>
      </c>
      <c r="I1249" s="6">
        <v>4.1157538578876878</v>
      </c>
      <c r="K1249" s="8"/>
    </row>
    <row r="1250" spans="1:11" ht="15" x14ac:dyDescent="0.25">
      <c r="A1250" s="3" t="str">
        <f>HYPERLINK("proteomic_fractions_linear_files/Yang_linear_img/260166719.jpg", "260166719")</f>
        <v>260166719</v>
      </c>
      <c r="C1250" s="3" t="str">
        <f>HYPERLINK("http://www.ncbi.nlm.nih.gov/protein/260166719","Ckap5")</f>
        <v>Ckap5</v>
      </c>
      <c r="E1250" t="str">
        <f>HYPERLINK("J:\Depot - mpkCCD Fractions\Main Web Page\Web Pages_old\proteomic_fractions_linear_files/Yang_linear_img/260166719.jpg","show blot")</f>
        <v>show blot</v>
      </c>
      <c r="G1250" t="s">
        <v>1241</v>
      </c>
      <c r="I1250" s="6">
        <v>3.6826566163496053</v>
      </c>
      <c r="K1250" s="8"/>
    </row>
    <row r="1251" spans="1:11" ht="15" x14ac:dyDescent="0.25">
      <c r="A1251" s="3" t="str">
        <f>HYPERLINK("proteomic_fractions_linear_files/Yang_linear_img/260166721.jpg", "260166721")</f>
        <v>260166721</v>
      </c>
      <c r="C1251" s="3" t="str">
        <f>HYPERLINK("http://www.ncbi.nlm.nih.gov/protein/260166721","Ckap5")</f>
        <v>Ckap5</v>
      </c>
      <c r="E1251" t="str">
        <f>HYPERLINK("J:\Depot - mpkCCD Fractions\Main Web Page\Web Pages_old\proteomic_fractions_linear_files/Yang_linear_img/260166721.jpg","show blot")</f>
        <v>show blot</v>
      </c>
      <c r="G1251" t="s">
        <v>1242</v>
      </c>
      <c r="I1251" s="6">
        <v>3.6826566163496053</v>
      </c>
      <c r="K1251" s="8"/>
    </row>
    <row r="1252" spans="1:11" ht="15" x14ac:dyDescent="0.25">
      <c r="A1252" s="3" t="str">
        <f>HYPERLINK("proteomic_fractions_linear_files/Yang_linear_img/6753428.jpg", "6753428")</f>
        <v>6753428</v>
      </c>
      <c r="C1252" s="3" t="str">
        <f>HYPERLINK("http://www.ncbi.nlm.nih.gov/protein/6753428","Ckmt1")</f>
        <v>Ckmt1</v>
      </c>
      <c r="E1252" t="str">
        <f>HYPERLINK("J:\Depot - mpkCCD Fractions\Main Web Page\Web Pages_old\proteomic_fractions_linear_files/Yang_linear_img/6753428.jpg","show blot")</f>
        <v>show blot</v>
      </c>
      <c r="G1252" t="s">
        <v>1243</v>
      </c>
      <c r="I1252" s="6">
        <v>6.2350254972521482</v>
      </c>
      <c r="K1252" s="8"/>
    </row>
    <row r="1253" spans="1:11" ht="15" x14ac:dyDescent="0.25">
      <c r="A1253" s="3" t="str">
        <f>HYPERLINK("proteomic_fractions_linear_files/Yang_linear_img/38259206.jpg", "38259206")</f>
        <v>38259206</v>
      </c>
      <c r="C1253" s="3" t="str">
        <f>HYPERLINK("http://www.ncbi.nlm.nih.gov/protein/38259206","Ckmt2")</f>
        <v>Ckmt2</v>
      </c>
      <c r="E1253" t="str">
        <f>HYPERLINK("J:\Depot - mpkCCD Fractions\Main Web Page\Web Pages_old\proteomic_fractions_linear_files/Yang_linear_img/38259206.jpg","show blot")</f>
        <v>show blot</v>
      </c>
      <c r="G1253" t="s">
        <v>1244</v>
      </c>
      <c r="I1253" s="6">
        <v>6.2284396991708437</v>
      </c>
      <c r="K1253" s="8"/>
    </row>
    <row r="1254" spans="1:11" ht="15" x14ac:dyDescent="0.25">
      <c r="A1254" s="3" t="str">
        <f>HYPERLINK("proteomic_fractions_linear_files/Yang_linear_img/8393135.jpg", "8393135")</f>
        <v>8393135</v>
      </c>
      <c r="C1254" s="3" t="str">
        <f>HYPERLINK("http://www.ncbi.nlm.nih.gov/protein/8393135","Cks1b")</f>
        <v>Cks1b</v>
      </c>
      <c r="E1254" t="str">
        <f>HYPERLINK("J:\Depot - mpkCCD Fractions\Main Web Page\Web Pages_old\proteomic_fractions_linear_files/Yang_linear_img/8393135.jpg","show blot")</f>
        <v>show blot</v>
      </c>
      <c r="G1254" t="s">
        <v>1245</v>
      </c>
      <c r="I1254" s="6">
        <v>4.0331926246247427</v>
      </c>
      <c r="K1254" s="8"/>
    </row>
    <row r="1255" spans="1:11" ht="15" x14ac:dyDescent="0.25">
      <c r="A1255" s="3" t="str">
        <f>HYPERLINK("proteomic_fractions_linear_files/Yang_linear_img/13384804.jpg", "13384804")</f>
        <v>13384804</v>
      </c>
      <c r="C1255" s="3" t="str">
        <f>HYPERLINK("http://www.ncbi.nlm.nih.gov/protein/13384804","Cks2")</f>
        <v>Cks2</v>
      </c>
      <c r="E1255" t="str">
        <f>HYPERLINK("J:\Depot - mpkCCD Fractions\Main Web Page\Web Pages_old\proteomic_fractions_linear_files/Yang_linear_img/13384804.jpg","show blot")</f>
        <v>show blot</v>
      </c>
      <c r="G1255" t="s">
        <v>1246</v>
      </c>
      <c r="I1255" s="6">
        <v>3.5982690496995358</v>
      </c>
      <c r="K1255" s="8"/>
    </row>
    <row r="1256" spans="1:11" ht="15" x14ac:dyDescent="0.25">
      <c r="A1256" s="3" t="str">
        <f>HYPERLINK("proteomic_fractions_linear_files/Yang_linear_img/124486879.jpg", "124486879")</f>
        <v>124486879</v>
      </c>
      <c r="C1256" s="3" t="str">
        <f>HYPERLINK("http://www.ncbi.nlm.nih.gov/protein/124486879","Clasp1")</f>
        <v>Clasp1</v>
      </c>
      <c r="E1256" t="str">
        <f>HYPERLINK("J:\Depot - mpkCCD Fractions\Main Web Page\Web Pages_old\proteomic_fractions_linear_files/Yang_linear_img/124486879.jpg","show blot")</f>
        <v>show blot</v>
      </c>
      <c r="G1256" t="s">
        <v>1247</v>
      </c>
      <c r="I1256" s="6">
        <v>2.5365584425715304</v>
      </c>
      <c r="K1256" s="8"/>
    </row>
    <row r="1257" spans="1:11" ht="15" x14ac:dyDescent="0.25">
      <c r="A1257" s="3" t="str">
        <f>HYPERLINK("proteomic_fractions_linear_files/Yang_linear_img/163644247.jpg", "163644247")</f>
        <v>163644247</v>
      </c>
      <c r="C1257" s="3" t="str">
        <f>HYPERLINK("http://www.ncbi.nlm.nih.gov/protein/163644247","Clasp1")</f>
        <v>Clasp1</v>
      </c>
      <c r="E1257" t="str">
        <f>HYPERLINK("J:\Depot - mpkCCD Fractions\Main Web Page\Web Pages_old\proteomic_fractions_linear_files/Yang_linear_img/163644247.jpg","show blot")</f>
        <v>show blot</v>
      </c>
      <c r="G1257" t="s">
        <v>1248</v>
      </c>
      <c r="I1257" s="6">
        <v>2.5365584425715304</v>
      </c>
      <c r="K1257" s="8"/>
    </row>
    <row r="1258" spans="1:11" ht="15" x14ac:dyDescent="0.25">
      <c r="A1258" s="3" t="str">
        <f>HYPERLINK("proteomic_fractions_linear_files/Yang_linear_img/163644249.jpg", "163644249")</f>
        <v>163644249</v>
      </c>
      <c r="C1258" s="3" t="str">
        <f>HYPERLINK("http://www.ncbi.nlm.nih.gov/protein/163644249","Clasp1")</f>
        <v>Clasp1</v>
      </c>
      <c r="E1258" t="str">
        <f>HYPERLINK("J:\Depot - mpkCCD Fractions\Main Web Page\Web Pages_old\proteomic_fractions_linear_files/Yang_linear_img/163644249.jpg","show blot")</f>
        <v>show blot</v>
      </c>
      <c r="G1258" t="s">
        <v>1249</v>
      </c>
      <c r="I1258" s="6">
        <v>2.5365584425715304</v>
      </c>
      <c r="K1258" s="8"/>
    </row>
    <row r="1259" spans="1:11" ht="15" x14ac:dyDescent="0.25">
      <c r="A1259" s="3" t="str">
        <f>HYPERLINK("proteomic_fractions_linear_files/Yang_linear_img/295293088.jpg", "295293088")</f>
        <v>295293088</v>
      </c>
      <c r="C1259" s="3" t="str">
        <f>HYPERLINK("http://www.ncbi.nlm.nih.gov/protein/295293088","Clcc1")</f>
        <v>Clcc1</v>
      </c>
      <c r="E1259" t="str">
        <f>HYPERLINK("J:\Depot - mpkCCD Fractions\Main Web Page\Web Pages_old\proteomic_fractions_linear_files/Yang_linear_img/295293088.jpg","show blot")</f>
        <v>show blot</v>
      </c>
      <c r="G1259" t="s">
        <v>1250</v>
      </c>
      <c r="I1259" s="6">
        <v>2.6053415752421407</v>
      </c>
      <c r="K1259" s="8"/>
    </row>
    <row r="1260" spans="1:11" ht="15" x14ac:dyDescent="0.25">
      <c r="A1260" s="3" t="str">
        <f>HYPERLINK("proteomic_fractions_linear_files/Yang_linear_img/295293090;21704070.jpg", "295293090;21704070")</f>
        <v>295293090;21704070</v>
      </c>
      <c r="C1260" s="3" t="str">
        <f>HYPERLINK("http://www.ncbi.nlm.nih.gov/protein/295293090;21704070","Clcc1")</f>
        <v>Clcc1</v>
      </c>
      <c r="E1260" t="str">
        <f>HYPERLINK("J:\Depot - mpkCCD Fractions\Main Web Page\Web Pages_old\proteomic_fractions_linear_files/Yang_linear_img/295293090;21704070.jpg","show blot")</f>
        <v>show blot</v>
      </c>
      <c r="G1260" t="s">
        <v>1251</v>
      </c>
      <c r="I1260" s="6">
        <v>2.6053415752421407</v>
      </c>
      <c r="K1260" s="8"/>
    </row>
    <row r="1261" spans="1:11" ht="15" x14ac:dyDescent="0.25">
      <c r="A1261" s="3" t="str">
        <f>HYPERLINK("proteomic_fractions_linear_files/Yang_linear_img/189458826.jpg", "189458826")</f>
        <v>189458826</v>
      </c>
      <c r="C1261" s="3" t="str">
        <f>HYPERLINK("http://www.ncbi.nlm.nih.gov/protein/189458826","Clcn3")</f>
        <v>Clcn3</v>
      </c>
      <c r="E1261" t="str">
        <f>HYPERLINK("J:\Depot - mpkCCD Fractions\Main Web Page\Web Pages_old\proteomic_fractions_linear_files/Yang_linear_img/189458826.jpg","show blot")</f>
        <v>show blot</v>
      </c>
      <c r="G1261" t="s">
        <v>1252</v>
      </c>
      <c r="I1261" s="6">
        <v>2.6748611407378116</v>
      </c>
      <c r="K1261" s="8"/>
    </row>
    <row r="1262" spans="1:11" ht="15" x14ac:dyDescent="0.25">
      <c r="A1262" s="3" t="str">
        <f>HYPERLINK("proteomic_fractions_linear_files/Yang_linear_img/189458829.jpg", "189458829")</f>
        <v>189458829</v>
      </c>
      <c r="C1262" s="3" t="str">
        <f>HYPERLINK("http://www.ncbi.nlm.nih.gov/protein/189458829","Clcn3")</f>
        <v>Clcn3</v>
      </c>
      <c r="E1262" t="str">
        <f>HYPERLINK("J:\Depot - mpkCCD Fractions\Main Web Page\Web Pages_old\proteomic_fractions_linear_files/Yang_linear_img/189458829.jpg","show blot")</f>
        <v>show blot</v>
      </c>
      <c r="G1262" t="s">
        <v>1253</v>
      </c>
      <c r="I1262" s="6">
        <v>2.6748611407378116</v>
      </c>
      <c r="K1262" s="8"/>
    </row>
    <row r="1263" spans="1:11" ht="15" x14ac:dyDescent="0.25">
      <c r="A1263" s="3" t="str">
        <f>HYPERLINK("proteomic_fractions_linear_files/Yang_linear_img/41281837.jpg", "41281837")</f>
        <v>41281837</v>
      </c>
      <c r="C1263" s="3" t="str">
        <f>HYPERLINK("http://www.ncbi.nlm.nih.gov/protein/41281837","Clcn3")</f>
        <v>Clcn3</v>
      </c>
      <c r="E1263" t="str">
        <f>HYPERLINK("J:\Depot - mpkCCD Fractions\Main Web Page\Web Pages_old\proteomic_fractions_linear_files/Yang_linear_img/41281837.jpg","show blot")</f>
        <v>show blot</v>
      </c>
      <c r="G1263" t="s">
        <v>1254</v>
      </c>
      <c r="I1263" s="6">
        <v>2.6748611407378116</v>
      </c>
      <c r="K1263" s="8"/>
    </row>
    <row r="1264" spans="1:11" ht="15" x14ac:dyDescent="0.25">
      <c r="A1264" s="3" t="str">
        <f>HYPERLINK("proteomic_fractions_linear_files/Yang_linear_img/6680948.jpg", "6680948")</f>
        <v>6680948</v>
      </c>
      <c r="C1264" s="3" t="str">
        <f>HYPERLINK("http://www.ncbi.nlm.nih.gov/protein/6680948","Clcn3")</f>
        <v>Clcn3</v>
      </c>
      <c r="E1264" t="str">
        <f>HYPERLINK("J:\Depot - mpkCCD Fractions\Main Web Page\Web Pages_old\proteomic_fractions_linear_files/Yang_linear_img/6680948.jpg","show blot")</f>
        <v>show blot</v>
      </c>
      <c r="G1264" t="s">
        <v>1255</v>
      </c>
      <c r="I1264" s="6">
        <v>2.6748611407378116</v>
      </c>
      <c r="K1264" s="8"/>
    </row>
    <row r="1265" spans="1:11" ht="15" x14ac:dyDescent="0.25">
      <c r="A1265" s="3" t="str">
        <f>HYPERLINK("proteomic_fractions_linear_files/Yang_linear_img/110625940.jpg", "110625940")</f>
        <v>110625940</v>
      </c>
      <c r="C1265" s="3" t="str">
        <f>HYPERLINK("http://www.ncbi.nlm.nih.gov/protein/110625940","Clcn4-2")</f>
        <v>Clcn4-2</v>
      </c>
      <c r="E1265" t="str">
        <f>HYPERLINK("J:\Depot - mpkCCD Fractions\Main Web Page\Web Pages_old\proteomic_fractions_linear_files/Yang_linear_img/110625940.jpg","show blot")</f>
        <v>show blot</v>
      </c>
      <c r="G1265" t="s">
        <v>1256</v>
      </c>
      <c r="I1265" s="6">
        <v>2.6748611407378116</v>
      </c>
      <c r="K1265" s="8"/>
    </row>
    <row r="1266" spans="1:11" ht="15" x14ac:dyDescent="0.25">
      <c r="A1266" s="3" t="str">
        <f>HYPERLINK("proteomic_fractions_linear_files/Yang_linear_img/261823931.jpg", "261823931")</f>
        <v>261823931</v>
      </c>
      <c r="C1266" s="3" t="str">
        <f>HYPERLINK("http://www.ncbi.nlm.nih.gov/protein/261823931","Clcn5")</f>
        <v>Clcn5</v>
      </c>
      <c r="E1266" t="str">
        <f>HYPERLINK("J:\Depot - mpkCCD Fractions\Main Web Page\Web Pages_old\proteomic_fractions_linear_files/Yang_linear_img/261823931.jpg","show blot")</f>
        <v>show blot</v>
      </c>
      <c r="G1266" t="s">
        <v>1257</v>
      </c>
      <c r="I1266" s="6">
        <v>2.3588289526713511</v>
      </c>
      <c r="K1266" s="8"/>
    </row>
    <row r="1267" spans="1:11" ht="15" x14ac:dyDescent="0.25">
      <c r="A1267" s="3" t="str">
        <f>HYPERLINK("proteomic_fractions_linear_files/Yang_linear_img/344313157.jpg", "344313157")</f>
        <v>344313157</v>
      </c>
      <c r="C1267" s="3" t="str">
        <f>HYPERLINK("http://www.ncbi.nlm.nih.gov/protein/344313157","Clcn5")</f>
        <v>Clcn5</v>
      </c>
      <c r="E1267" t="str">
        <f>HYPERLINK("J:\Depot - mpkCCD Fractions\Main Web Page\Web Pages_old\proteomic_fractions_linear_files/Yang_linear_img/344313157.jpg","show blot")</f>
        <v>show blot</v>
      </c>
      <c r="G1267" t="s">
        <v>1258</v>
      </c>
      <c r="I1267" s="6">
        <v>2.3588289526713511</v>
      </c>
      <c r="K1267" s="8"/>
    </row>
    <row r="1268" spans="1:11" ht="15" x14ac:dyDescent="0.25">
      <c r="A1268" s="3" t="str">
        <f>HYPERLINK("proteomic_fractions_linear_files/Yang_linear_img/6753436.jpg", "6753436")</f>
        <v>6753436</v>
      </c>
      <c r="C1268" s="3" t="str">
        <f>HYPERLINK("http://www.ncbi.nlm.nih.gov/protein/6753436","Clcn7")</f>
        <v>Clcn7</v>
      </c>
      <c r="E1268" t="str">
        <f>HYPERLINK("J:\Depot - mpkCCD Fractions\Main Web Page\Web Pages_old\proteomic_fractions_linear_files/Yang_linear_img/6753436.jpg","show blot")</f>
        <v>show blot</v>
      </c>
      <c r="G1268" t="s">
        <v>1259</v>
      </c>
      <c r="I1268" s="6">
        <v>3.0120500725576842</v>
      </c>
      <c r="K1268" s="8"/>
    </row>
    <row r="1269" spans="1:11" ht="15" x14ac:dyDescent="0.25">
      <c r="A1269" s="3" t="str">
        <f>HYPERLINK("proteomic_fractions_linear_files/Yang_linear_img/7710002.jpg", "7710002")</f>
        <v>7710002</v>
      </c>
      <c r="C1269" s="3" t="str">
        <f>HYPERLINK("http://www.ncbi.nlm.nih.gov/protein/7710002","Cldn1")</f>
        <v>Cldn1</v>
      </c>
      <c r="E1269" t="str">
        <f>HYPERLINK("J:\Depot - mpkCCD Fractions\Main Web Page\Web Pages_old\proteomic_fractions_linear_files/Yang_linear_img/7710002.jpg","show blot")</f>
        <v>show blot</v>
      </c>
      <c r="G1269" t="s">
        <v>1260</v>
      </c>
      <c r="I1269" s="6">
        <v>3.2632911869966934</v>
      </c>
      <c r="K1269" s="8"/>
    </row>
    <row r="1270" spans="1:11" ht="15" x14ac:dyDescent="0.25">
      <c r="A1270" s="3" t="str">
        <f>HYPERLINK("proteomic_fractions_linear_files/Yang_linear_img/25188197.jpg", "25188197")</f>
        <v>25188197</v>
      </c>
      <c r="C1270" s="3" t="str">
        <f>HYPERLINK("http://www.ncbi.nlm.nih.gov/protein/25188197","Cldn25")</f>
        <v>Cldn25</v>
      </c>
      <c r="E1270" t="str">
        <f>HYPERLINK("J:\Depot - mpkCCD Fractions\Main Web Page\Web Pages_old\proteomic_fractions_linear_files/Yang_linear_img/25188197.jpg","show blot")</f>
        <v>show blot</v>
      </c>
      <c r="G1270" t="s">
        <v>1261</v>
      </c>
      <c r="I1270" s="6">
        <v>3.3026887520321058</v>
      </c>
      <c r="K1270" s="8"/>
    </row>
    <row r="1271" spans="1:11" ht="15" x14ac:dyDescent="0.25">
      <c r="A1271" s="3" t="str">
        <f>HYPERLINK("proteomic_fractions_linear_files/Yang_linear_img/356991139.jpg", "356991139")</f>
        <v>356991139</v>
      </c>
      <c r="C1271" s="3" t="str">
        <f>HYPERLINK("http://www.ncbi.nlm.nih.gov/protein/356991139","Cldn25")</f>
        <v>Cldn25</v>
      </c>
      <c r="E1271" t="str">
        <f>HYPERLINK("J:\Depot - mpkCCD Fractions\Main Web Page\Web Pages_old\proteomic_fractions_linear_files/Yang_linear_img/356991139.jpg","show blot")</f>
        <v>show blot</v>
      </c>
      <c r="G1271" t="s">
        <v>1262</v>
      </c>
      <c r="I1271" s="6">
        <v>3.3026887520321058</v>
      </c>
      <c r="K1271" s="8"/>
    </row>
    <row r="1272" spans="1:11" ht="15" x14ac:dyDescent="0.25">
      <c r="A1272" s="3" t="str">
        <f>HYPERLINK("proteomic_fractions_linear_files/Yang_linear_img/356995848.jpg", "356995848")</f>
        <v>356995848</v>
      </c>
      <c r="C1272" s="3" t="str">
        <f>HYPERLINK("http://www.ncbi.nlm.nih.gov/protein/356995848","Cldn25")</f>
        <v>Cldn25</v>
      </c>
      <c r="E1272" t="str">
        <f>HYPERLINK("J:\Depot - mpkCCD Fractions\Main Web Page\Web Pages_old\proteomic_fractions_linear_files/Yang_linear_img/356995848.jpg","show blot")</f>
        <v>show blot</v>
      </c>
      <c r="G1272" t="s">
        <v>1263</v>
      </c>
      <c r="I1272" s="6">
        <v>3.3026887520321058</v>
      </c>
      <c r="K1272" s="8"/>
    </row>
    <row r="1273" spans="1:11" ht="15" x14ac:dyDescent="0.25">
      <c r="A1273" s="3" t="str">
        <f>HYPERLINK("proteomic_fractions_linear_files/Yang_linear_img/6753438.jpg", "6753438")</f>
        <v>6753438</v>
      </c>
      <c r="C1273" s="3" t="str">
        <f>HYPERLINK("http://www.ncbi.nlm.nih.gov/protein/6753438","Cldn3")</f>
        <v>Cldn3</v>
      </c>
      <c r="E1273" t="str">
        <f>HYPERLINK("J:\Depot - mpkCCD Fractions\Main Web Page\Web Pages_old\proteomic_fractions_linear_files/Yang_linear_img/6753438.jpg","show blot")</f>
        <v>show blot</v>
      </c>
      <c r="G1273" t="s">
        <v>1264</v>
      </c>
      <c r="I1273" s="6">
        <v>5.6981283729709817</v>
      </c>
      <c r="K1273" s="8"/>
    </row>
    <row r="1274" spans="1:11" ht="15" x14ac:dyDescent="0.25">
      <c r="A1274" s="3" t="str">
        <f>HYPERLINK("proteomic_fractions_linear_files/Yang_linear_img/6753440.jpg", "6753440")</f>
        <v>6753440</v>
      </c>
      <c r="C1274" s="3" t="str">
        <f>HYPERLINK("http://www.ncbi.nlm.nih.gov/protein/6753440","Cldn4")</f>
        <v>Cldn4</v>
      </c>
      <c r="E1274" t="str">
        <f>HYPERLINK("J:\Depot - mpkCCD Fractions\Main Web Page\Web Pages_old\proteomic_fractions_linear_files/Yang_linear_img/6753440.jpg","show blot")</f>
        <v>show blot</v>
      </c>
      <c r="G1274" t="s">
        <v>1265</v>
      </c>
      <c r="I1274" s="6">
        <v>5.4430844605747923</v>
      </c>
      <c r="K1274" s="8"/>
    </row>
    <row r="1275" spans="1:11" ht="15" x14ac:dyDescent="0.25">
      <c r="A1275" s="3" t="str">
        <f>HYPERLINK("proteomic_fractions_linear_files/Yang_linear_img/9055190.jpg", "9055190")</f>
        <v>9055190</v>
      </c>
      <c r="C1275" s="3" t="str">
        <f>HYPERLINK("http://www.ncbi.nlm.nih.gov/protein/9055190","Cldn6")</f>
        <v>Cldn6</v>
      </c>
      <c r="E1275" t="str">
        <f>HYPERLINK("J:\Depot - mpkCCD Fractions\Main Web Page\Web Pages_old\proteomic_fractions_linear_files/Yang_linear_img/9055190.jpg","show blot")</f>
        <v>show blot</v>
      </c>
      <c r="G1275" t="s">
        <v>1266</v>
      </c>
      <c r="I1275" s="6">
        <v>5.036798712617391</v>
      </c>
      <c r="K1275" s="8"/>
    </row>
    <row r="1276" spans="1:11" ht="15" x14ac:dyDescent="0.25">
      <c r="A1276" s="3" t="str">
        <f>HYPERLINK("proteomic_fractions_linear_files/Yang_linear_img/302318906;8393144.jpg", "302318906;8393144")</f>
        <v>302318906;8393144</v>
      </c>
      <c r="C1276" s="3" t="str">
        <f>HYPERLINK("http://www.ncbi.nlm.nih.gov/protein/302318906;8393144","Cldn7")</f>
        <v>Cldn7</v>
      </c>
      <c r="E1276" t="str">
        <f>HYPERLINK("J:\Depot - mpkCCD Fractions\Main Web Page\Web Pages_old\proteomic_fractions_linear_files/Yang_linear_img/302318906;8393144.jpg","show blot")</f>
        <v>show blot</v>
      </c>
      <c r="G1276" t="s">
        <v>1267</v>
      </c>
      <c r="I1276" s="6">
        <v>5.0548102852169094</v>
      </c>
      <c r="K1276" s="8"/>
    </row>
    <row r="1277" spans="1:11" ht="15" x14ac:dyDescent="0.25">
      <c r="A1277" s="3" t="str">
        <f>HYPERLINK("proteomic_fractions_linear_files/Yang_linear_img/8393144.jpg", "8393144")</f>
        <v>8393144</v>
      </c>
      <c r="C1277" s="3" t="str">
        <f>HYPERLINK("http://www.ncbi.nlm.nih.gov/protein/8393144","Cldn7")</f>
        <v>Cldn7</v>
      </c>
      <c r="E1277" t="str">
        <f>HYPERLINK("J:\Depot - mpkCCD Fractions\Main Web Page\Web Pages_old\proteomic_fractions_linear_files/Yang_linear_img/8393144.jpg","show blot")</f>
        <v>show blot</v>
      </c>
      <c r="G1277" t="s">
        <v>1268</v>
      </c>
      <c r="I1277" s="6">
        <v>5.0548102852169094</v>
      </c>
      <c r="K1277" s="8"/>
    </row>
    <row r="1278" spans="1:11" ht="15" x14ac:dyDescent="0.25">
      <c r="A1278" s="3" t="str">
        <f>HYPERLINK("proteomic_fractions_linear_files/Yang_linear_img/9055192.jpg", "9055192")</f>
        <v>9055192</v>
      </c>
      <c r="C1278" s="3" t="str">
        <f>HYPERLINK("http://www.ncbi.nlm.nih.gov/protein/9055192","Cldn8")</f>
        <v>Cldn8</v>
      </c>
      <c r="E1278" t="str">
        <f>HYPERLINK("J:\Depot - mpkCCD Fractions\Main Web Page\Web Pages_old\proteomic_fractions_linear_files/Yang_linear_img/9055192.jpg","show blot")</f>
        <v>show blot</v>
      </c>
      <c r="G1278" t="s">
        <v>1269</v>
      </c>
      <c r="I1278" s="6">
        <v>4.8987053587672076</v>
      </c>
      <c r="K1278" s="8"/>
    </row>
    <row r="1279" spans="1:11" ht="15" x14ac:dyDescent="0.25">
      <c r="A1279" s="3" t="str">
        <f>HYPERLINK("proteomic_fractions_linear_files/Yang_linear_img/61098102.jpg", "61098102")</f>
        <v>61098102</v>
      </c>
      <c r="C1279" s="3" t="str">
        <f>HYPERLINK("http://www.ncbi.nlm.nih.gov/protein/61098102","Cldn9")</f>
        <v>Cldn9</v>
      </c>
      <c r="E1279" t="str">
        <f>HYPERLINK("J:\Depot - mpkCCD Fractions\Main Web Page\Web Pages_old\proteomic_fractions_linear_files/Yang_linear_img/61098102.jpg","show blot")</f>
        <v>show blot</v>
      </c>
      <c r="G1279" t="s">
        <v>1270</v>
      </c>
      <c r="I1279" s="6">
        <v>4.8974256797190501</v>
      </c>
      <c r="K1279" s="8"/>
    </row>
    <row r="1280" spans="1:11" ht="15" x14ac:dyDescent="0.25">
      <c r="A1280" s="3" t="str">
        <f>HYPERLINK("proteomic_fractions_linear_files/Yang_linear_img/323668269.jpg", "323668269")</f>
        <v>323668269</v>
      </c>
      <c r="C1280" s="3" t="str">
        <f>HYPERLINK("http://www.ncbi.nlm.nih.gov/protein/323668269","Clec16a")</f>
        <v>Clec16a</v>
      </c>
      <c r="E1280" t="str">
        <f>HYPERLINK("J:\Depot - mpkCCD Fractions\Main Web Page\Web Pages_old\proteomic_fractions_linear_files/Yang_linear_img/323668269.jpg","show blot")</f>
        <v>show blot</v>
      </c>
      <c r="G1280" t="s">
        <v>1271</v>
      </c>
      <c r="I1280" s="6">
        <v>2.8706228112189018</v>
      </c>
      <c r="K1280" s="8"/>
    </row>
    <row r="1281" spans="1:11" ht="15" x14ac:dyDescent="0.25">
      <c r="A1281" s="3" t="str">
        <f>HYPERLINK("proteomic_fractions_linear_files/Yang_linear_img/61656175.jpg", "61656175")</f>
        <v>61656175</v>
      </c>
      <c r="C1281" s="3" t="str">
        <f>HYPERLINK("http://www.ncbi.nlm.nih.gov/protein/61656175","Clec16a")</f>
        <v>Clec16a</v>
      </c>
      <c r="E1281" t="str">
        <f>HYPERLINK("J:\Depot - mpkCCD Fractions\Main Web Page\Web Pages_old\proteomic_fractions_linear_files/Yang_linear_img/61656175.jpg","show blot")</f>
        <v>show blot</v>
      </c>
      <c r="G1281" t="s">
        <v>1272</v>
      </c>
      <c r="I1281" s="6">
        <v>2.8706228112189018</v>
      </c>
      <c r="K1281" s="8"/>
    </row>
    <row r="1282" spans="1:11" ht="15" x14ac:dyDescent="0.25">
      <c r="A1282" s="3" t="str">
        <f>HYPERLINK("proteomic_fractions_linear_files/Yang_linear_img/15617203.jpg", "15617203")</f>
        <v>15617203</v>
      </c>
      <c r="C1282" s="3" t="str">
        <f>HYPERLINK("http://www.ncbi.nlm.nih.gov/protein/15617203","Clic1")</f>
        <v>Clic1</v>
      </c>
      <c r="E1282" t="str">
        <f>HYPERLINK("J:\Depot - mpkCCD Fractions\Main Web Page\Web Pages_old\proteomic_fractions_linear_files/Yang_linear_img/15617203.jpg","show blot")</f>
        <v>show blot</v>
      </c>
      <c r="G1282" t="s">
        <v>1273</v>
      </c>
      <c r="I1282" s="6">
        <v>6.4573205052533034</v>
      </c>
      <c r="K1282" s="8"/>
    </row>
    <row r="1283" spans="1:11" ht="15" x14ac:dyDescent="0.25">
      <c r="A1283" s="3" t="str">
        <f>HYPERLINK("proteomic_fractions_linear_files/Yang_linear_img/27229085.jpg", "27229085")</f>
        <v>27229085</v>
      </c>
      <c r="C1283" s="3" t="str">
        <f>HYPERLINK("http://www.ncbi.nlm.nih.gov/protein/27229085","Clic3")</f>
        <v>Clic3</v>
      </c>
      <c r="E1283" t="str">
        <f>HYPERLINK("J:\Depot - mpkCCD Fractions\Main Web Page\Web Pages_old\proteomic_fractions_linear_files/Yang_linear_img/27229085.jpg","show blot")</f>
        <v>show blot</v>
      </c>
      <c r="G1283" t="s">
        <v>1274</v>
      </c>
      <c r="I1283" s="6">
        <v>3.0062441237559496</v>
      </c>
      <c r="K1283" s="8"/>
    </row>
    <row r="1284" spans="1:11" ht="15" x14ac:dyDescent="0.25">
      <c r="A1284" s="3" t="str">
        <f>HYPERLINK("proteomic_fractions_linear_files/Yang_linear_img/7304963.jpg", "7304963")</f>
        <v>7304963</v>
      </c>
      <c r="C1284" s="3" t="str">
        <f>HYPERLINK("http://www.ncbi.nlm.nih.gov/protein/7304963","Clic4")</f>
        <v>Clic4</v>
      </c>
      <c r="E1284" t="str">
        <f>HYPERLINK("J:\Depot - mpkCCD Fractions\Main Web Page\Web Pages_old\proteomic_fractions_linear_files/Yang_linear_img/7304963.jpg","show blot")</f>
        <v>show blot</v>
      </c>
      <c r="G1284" t="s">
        <v>1275</v>
      </c>
      <c r="I1284" s="6">
        <v>5.7470136163102161</v>
      </c>
      <c r="K1284" s="8"/>
    </row>
    <row r="1285" spans="1:11" ht="15" x14ac:dyDescent="0.25">
      <c r="A1285" s="3" t="str">
        <f>HYPERLINK("proteomic_fractions_linear_files/Yang_linear_img/27369886.jpg", "27369886")</f>
        <v>27369886</v>
      </c>
      <c r="C1285" s="3" t="str">
        <f>HYPERLINK("http://www.ncbi.nlm.nih.gov/protein/27369886","Clic5")</f>
        <v>Clic5</v>
      </c>
      <c r="E1285" t="str">
        <f>HYPERLINK("J:\Depot - mpkCCD Fractions\Main Web Page\Web Pages_old\proteomic_fractions_linear_files/Yang_linear_img/27369886.jpg","show blot")</f>
        <v>show blot</v>
      </c>
      <c r="G1285" t="s">
        <v>1276</v>
      </c>
      <c r="I1285" s="6">
        <v>2.3536277589855437</v>
      </c>
      <c r="K1285" s="8"/>
    </row>
    <row r="1286" spans="1:11" ht="15" x14ac:dyDescent="0.25">
      <c r="A1286" s="3" t="str">
        <f>HYPERLINK("proteomic_fractions_linear_files/Yang_linear_img/154240730.jpg", "154240730")</f>
        <v>154240730</v>
      </c>
      <c r="C1286" s="3" t="str">
        <f>HYPERLINK("http://www.ncbi.nlm.nih.gov/protein/154240730","Clint1")</f>
        <v>Clint1</v>
      </c>
      <c r="E1286" t="str">
        <f>HYPERLINK("J:\Depot - mpkCCD Fractions\Main Web Page\Web Pages_old\proteomic_fractions_linear_files/Yang_linear_img/154240730.jpg","show blot")</f>
        <v>show blot</v>
      </c>
      <c r="G1286" t="s">
        <v>1277</v>
      </c>
      <c r="I1286" s="6">
        <v>5.4825128321931791</v>
      </c>
      <c r="K1286" s="8"/>
    </row>
    <row r="1287" spans="1:11" ht="15" x14ac:dyDescent="0.25">
      <c r="A1287" s="3" t="str">
        <f>HYPERLINK("proteomic_fractions_linear_files/Yang_linear_img/23821025.jpg", "23821025")</f>
        <v>23821025</v>
      </c>
      <c r="C1287" s="3" t="str">
        <f>HYPERLINK("http://www.ncbi.nlm.nih.gov/protein/23821025","Clip1")</f>
        <v>Clip1</v>
      </c>
      <c r="E1287" t="str">
        <f>HYPERLINK("J:\Depot - mpkCCD Fractions\Main Web Page\Web Pages_old\proteomic_fractions_linear_files/Yang_linear_img/23821025.jpg","show blot")</f>
        <v>show blot</v>
      </c>
      <c r="G1287" t="s">
        <v>1278</v>
      </c>
      <c r="I1287" s="6">
        <v>4.8160432304610312</v>
      </c>
      <c r="K1287" s="8"/>
    </row>
    <row r="1288" spans="1:11" ht="15" x14ac:dyDescent="0.25">
      <c r="A1288" s="3" t="str">
        <f>HYPERLINK("proteomic_fractions_linear_files/Yang_linear_img/85662406.jpg", "85662406")</f>
        <v>85662406</v>
      </c>
      <c r="C1288" s="3" t="str">
        <f>HYPERLINK("http://www.ncbi.nlm.nih.gov/protein/85662406","Clip2")</f>
        <v>Clip2</v>
      </c>
      <c r="E1288" t="str">
        <f>HYPERLINK("J:\Depot - mpkCCD Fractions\Main Web Page\Web Pages_old\proteomic_fractions_linear_files/Yang_linear_img/85662406.jpg","show blot")</f>
        <v>show blot</v>
      </c>
      <c r="G1288" t="s">
        <v>1279</v>
      </c>
      <c r="I1288" s="6">
        <v>4.4628842131744859</v>
      </c>
      <c r="K1288" s="8"/>
    </row>
    <row r="1289" spans="1:11" ht="15" x14ac:dyDescent="0.25">
      <c r="A1289" s="3" t="str">
        <f>HYPERLINK("proteomic_fractions_linear_files/Yang_linear_img/85662410.jpg", "85662410")</f>
        <v>85662410</v>
      </c>
      <c r="C1289" s="3" t="str">
        <f>HYPERLINK("http://www.ncbi.nlm.nih.gov/protein/85662410","Clip2")</f>
        <v>Clip2</v>
      </c>
      <c r="E1289" t="str">
        <f>HYPERLINK("J:\Depot - mpkCCD Fractions\Main Web Page\Web Pages_old\proteomic_fractions_linear_files/Yang_linear_img/85662410.jpg","show blot")</f>
        <v>show blot</v>
      </c>
      <c r="G1289" t="s">
        <v>1280</v>
      </c>
      <c r="I1289" s="6">
        <v>4.4628842131744859</v>
      </c>
      <c r="K1289" s="8"/>
    </row>
    <row r="1290" spans="1:11" ht="15" x14ac:dyDescent="0.25">
      <c r="A1290" s="3" t="str">
        <f>HYPERLINK("proteomic_fractions_linear_files/Yang_linear_img/100816764.jpg", "100816764")</f>
        <v>100816764</v>
      </c>
      <c r="C1290" s="3" t="str">
        <f>HYPERLINK("http://www.ncbi.nlm.nih.gov/protein/100816764","Clmn")</f>
        <v>Clmn</v>
      </c>
      <c r="E1290" t="str">
        <f>HYPERLINK("J:\Depot - mpkCCD Fractions\Main Web Page\Web Pages_old\proteomic_fractions_linear_files/Yang_linear_img/100816764.jpg","show blot")</f>
        <v>show blot</v>
      </c>
      <c r="G1290" t="s">
        <v>1281</v>
      </c>
      <c r="I1290" s="6">
        <v>3.7277432273967381</v>
      </c>
      <c r="K1290" s="8"/>
    </row>
    <row r="1291" spans="1:11" ht="15" x14ac:dyDescent="0.25">
      <c r="A1291" s="3" t="str">
        <f>HYPERLINK("proteomic_fractions_linear_files/Yang_linear_img/100816903.jpg", "100816903")</f>
        <v>100816903</v>
      </c>
      <c r="C1291" s="3" t="str">
        <f>HYPERLINK("http://www.ncbi.nlm.nih.gov/protein/100816903","Clmn")</f>
        <v>Clmn</v>
      </c>
      <c r="E1291" t="str">
        <f>HYPERLINK("J:\Depot - mpkCCD Fractions\Main Web Page\Web Pages_old\proteomic_fractions_linear_files/Yang_linear_img/100816903.jpg","show blot")</f>
        <v>show blot</v>
      </c>
      <c r="G1291" t="s">
        <v>1282</v>
      </c>
      <c r="I1291" s="6">
        <v>3.7277432273967381</v>
      </c>
      <c r="K1291" s="8"/>
    </row>
    <row r="1292" spans="1:11" ht="15" x14ac:dyDescent="0.25">
      <c r="A1292" s="3" t="str">
        <f>HYPERLINK("proteomic_fractions_linear_files/Yang_linear_img/226423881.jpg", "226423881")</f>
        <v>226423881</v>
      </c>
      <c r="C1292" s="3" t="str">
        <f>HYPERLINK("http://www.ncbi.nlm.nih.gov/protein/226423881","Cln3")</f>
        <v>Cln3</v>
      </c>
      <c r="E1292" t="str">
        <f>HYPERLINK("J:\Depot - mpkCCD Fractions\Main Web Page\Web Pages_old\proteomic_fractions_linear_files/Yang_linear_img/226423881.jpg","show blot")</f>
        <v>show blot</v>
      </c>
      <c r="G1292" t="s">
        <v>1283</v>
      </c>
      <c r="I1292" s="6">
        <v>2.3945745250279562</v>
      </c>
      <c r="K1292" s="8"/>
    </row>
    <row r="1293" spans="1:11" ht="15" x14ac:dyDescent="0.25">
      <c r="A1293" s="3" t="str">
        <f>HYPERLINK("proteomic_fractions_linear_files/Yang_linear_img/112734833.jpg", "112734833")</f>
        <v>112734833</v>
      </c>
      <c r="C1293" s="3" t="str">
        <f>HYPERLINK("http://www.ncbi.nlm.nih.gov/protein/112734833","Cln5")</f>
        <v>Cln5</v>
      </c>
      <c r="E1293" t="str">
        <f>HYPERLINK("J:\Depot - mpkCCD Fractions\Main Web Page\Web Pages_old\proteomic_fractions_linear_files/Yang_linear_img/112734833.jpg","show blot")</f>
        <v>show blot</v>
      </c>
      <c r="G1293" t="s">
        <v>1284</v>
      </c>
      <c r="I1293" s="6">
        <v>4.2491162169080283</v>
      </c>
      <c r="K1293" s="8"/>
    </row>
    <row r="1294" spans="1:11" ht="15" x14ac:dyDescent="0.25">
      <c r="A1294" s="3" t="str">
        <f>HYPERLINK("proteomic_fractions_linear_files/Yang_linear_img/75677520.jpg", "75677520")</f>
        <v>75677520</v>
      </c>
      <c r="C1294" s="3" t="str">
        <f>HYPERLINK("http://www.ncbi.nlm.nih.gov/protein/75677520","Cln6")</f>
        <v>Cln6</v>
      </c>
      <c r="E1294" t="str">
        <f>HYPERLINK("J:\Depot - mpkCCD Fractions\Main Web Page\Web Pages_old\proteomic_fractions_linear_files/Yang_linear_img/75677520.jpg","show blot")</f>
        <v>show blot</v>
      </c>
      <c r="G1294" t="s">
        <v>1285</v>
      </c>
      <c r="I1294" s="6">
        <v>4.4739663323097343</v>
      </c>
      <c r="K1294" s="8"/>
    </row>
    <row r="1295" spans="1:11" ht="15" x14ac:dyDescent="0.25">
      <c r="A1295" s="3" t="str">
        <f>HYPERLINK("proteomic_fractions_linear_files/Yang_linear_img/19263324.jpg", "19263324")</f>
        <v>19263324</v>
      </c>
      <c r="C1295" s="3" t="str">
        <f>HYPERLINK("http://www.ncbi.nlm.nih.gov/protein/19263324","Clns1a")</f>
        <v>Clns1a</v>
      </c>
      <c r="E1295" t="str">
        <f>HYPERLINK("J:\Depot - mpkCCD Fractions\Main Web Page\Web Pages_old\proteomic_fractions_linear_files/Yang_linear_img/19263324.jpg","show blot")</f>
        <v>show blot</v>
      </c>
      <c r="G1295" t="s">
        <v>1286</v>
      </c>
      <c r="I1295" s="6">
        <v>5.3098636058768287</v>
      </c>
      <c r="K1295" s="8"/>
    </row>
    <row r="1296" spans="1:11" ht="15" x14ac:dyDescent="0.25">
      <c r="A1296" s="3" t="str">
        <f>HYPERLINK("proteomic_fractions_linear_files/Yang_linear_img/19527056.jpg", "19527056")</f>
        <v>19527056</v>
      </c>
      <c r="C1296" s="3" t="str">
        <f>HYPERLINK("http://www.ncbi.nlm.nih.gov/protein/19527056","Clp1")</f>
        <v>Clp1</v>
      </c>
      <c r="E1296" t="str">
        <f>HYPERLINK("J:\Depot - mpkCCD Fractions\Main Web Page\Web Pages_old\proteomic_fractions_linear_files/Yang_linear_img/19527056.jpg","show blot")</f>
        <v>show blot</v>
      </c>
      <c r="G1296" t="s">
        <v>1287</v>
      </c>
      <c r="I1296" s="6">
        <v>2.9848459790547195</v>
      </c>
      <c r="K1296" s="8"/>
    </row>
    <row r="1297" spans="1:11" ht="15" x14ac:dyDescent="0.25">
      <c r="A1297" s="3" t="str">
        <f>HYPERLINK("proteomic_fractions_linear_files/Yang_linear_img/6677983.jpg", "6677983")</f>
        <v>6677983</v>
      </c>
      <c r="C1297" s="3" t="str">
        <f>HYPERLINK("http://www.ncbi.nlm.nih.gov/protein/6677983","Clpb")</f>
        <v>Clpb</v>
      </c>
      <c r="E1297" t="str">
        <f>HYPERLINK("J:\Depot - mpkCCD Fractions\Main Web Page\Web Pages_old\proteomic_fractions_linear_files/Yang_linear_img/6677983.jpg","show blot")</f>
        <v>show blot</v>
      </c>
      <c r="G1297" t="s">
        <v>1288</v>
      </c>
      <c r="I1297" s="6">
        <v>1.053072987377246</v>
      </c>
      <c r="K1297" s="8"/>
    </row>
    <row r="1298" spans="1:11" ht="15" x14ac:dyDescent="0.25">
      <c r="A1298" s="3" t="str">
        <f>HYPERLINK("proteomic_fractions_linear_files/Yang_linear_img/8393156.jpg", "8393156")</f>
        <v>8393156</v>
      </c>
      <c r="C1298" s="3" t="str">
        <f>HYPERLINK("http://www.ncbi.nlm.nih.gov/protein/8393156","Clpp")</f>
        <v>Clpp</v>
      </c>
      <c r="E1298" t="str">
        <f>HYPERLINK("J:\Depot - mpkCCD Fractions\Main Web Page\Web Pages_old\proteomic_fractions_linear_files/Yang_linear_img/8393156.jpg","show blot")</f>
        <v>show blot</v>
      </c>
      <c r="G1298" t="s">
        <v>1289</v>
      </c>
      <c r="I1298" s="6">
        <v>5.4257344022809573</v>
      </c>
      <c r="K1298" s="8"/>
    </row>
    <row r="1299" spans="1:11" ht="15" x14ac:dyDescent="0.25">
      <c r="A1299" s="3" t="str">
        <f>HYPERLINK("proteomic_fractions_linear_files/Yang_linear_img/103472025.jpg", "103472025")</f>
        <v>103472025</v>
      </c>
      <c r="C1299" s="3" t="str">
        <f>HYPERLINK("http://www.ncbi.nlm.nih.gov/protein/103472025","Clptm1")</f>
        <v>Clptm1</v>
      </c>
      <c r="E1299" t="str">
        <f>HYPERLINK("J:\Depot - mpkCCD Fractions\Main Web Page\Web Pages_old\proteomic_fractions_linear_files/Yang_linear_img/103472025.jpg","show blot")</f>
        <v>show blot</v>
      </c>
      <c r="G1299" t="s">
        <v>1290</v>
      </c>
      <c r="I1299" s="6">
        <v>4.3510354085561476</v>
      </c>
      <c r="K1299" s="8"/>
    </row>
    <row r="1300" spans="1:11" ht="15" x14ac:dyDescent="0.25">
      <c r="A1300" s="3" t="str">
        <f>HYPERLINK("proteomic_fractions_linear_files/Yang_linear_img/326937503.jpg", "326937503")</f>
        <v>326937503</v>
      </c>
      <c r="C1300" s="3" t="str">
        <f>HYPERLINK("http://www.ncbi.nlm.nih.gov/protein/326937503","Clptm1l")</f>
        <v>Clptm1l</v>
      </c>
      <c r="E1300" t="str">
        <f>HYPERLINK("J:\Depot - mpkCCD Fractions\Main Web Page\Web Pages_old\proteomic_fractions_linear_files/Yang_linear_img/326937503.jpg","show blot")</f>
        <v>show blot</v>
      </c>
      <c r="G1300" t="s">
        <v>1291</v>
      </c>
      <c r="I1300" s="6">
        <v>2.3719438115380576</v>
      </c>
      <c r="K1300" s="8"/>
    </row>
    <row r="1301" spans="1:11" ht="15" x14ac:dyDescent="0.25">
      <c r="A1301" s="3" t="str">
        <f>HYPERLINK("proteomic_fractions_linear_files/Yang_linear_img/113205069.jpg", "113205069")</f>
        <v>113205069</v>
      </c>
      <c r="C1301" s="3" t="str">
        <f>HYPERLINK("http://www.ncbi.nlm.nih.gov/protein/113205069","Clpx")</f>
        <v>Clpx</v>
      </c>
      <c r="E1301" t="str">
        <f>HYPERLINK("J:\Depot - mpkCCD Fractions\Main Web Page\Web Pages_old\proteomic_fractions_linear_files/Yang_linear_img/113205069.jpg","show blot")</f>
        <v>show blot</v>
      </c>
      <c r="G1301" t="s">
        <v>1292</v>
      </c>
      <c r="I1301" s="6">
        <v>4.0900830099967793</v>
      </c>
      <c r="K1301" s="8"/>
    </row>
    <row r="1302" spans="1:11" ht="15" x14ac:dyDescent="0.25">
      <c r="A1302" s="3" t="str">
        <f>HYPERLINK("proteomic_fractions_linear_files/Yang_linear_img/113205071.jpg", "113205071")</f>
        <v>113205071</v>
      </c>
      <c r="C1302" s="3" t="str">
        <f>HYPERLINK("http://www.ncbi.nlm.nih.gov/protein/113205071","Clpx")</f>
        <v>Clpx</v>
      </c>
      <c r="E1302" t="str">
        <f>HYPERLINK("J:\Depot - mpkCCD Fractions\Main Web Page\Web Pages_old\proteomic_fractions_linear_files/Yang_linear_img/113205071.jpg","show blot")</f>
        <v>show blot</v>
      </c>
      <c r="G1302" t="s">
        <v>1293</v>
      </c>
      <c r="I1302" s="6">
        <v>4.0900830099967793</v>
      </c>
      <c r="K1302" s="8"/>
    </row>
    <row r="1303" spans="1:11" ht="15" x14ac:dyDescent="0.25">
      <c r="A1303" s="3" t="str">
        <f>HYPERLINK("proteomic_fractions_linear_files/Yang_linear_img/122939192.jpg", "122939192")</f>
        <v>122939192</v>
      </c>
      <c r="C1303" s="3" t="str">
        <f>HYPERLINK("http://www.ncbi.nlm.nih.gov/protein/122939192","Clta")</f>
        <v>Clta</v>
      </c>
      <c r="E1303" t="str">
        <f>HYPERLINK("J:\Depot - mpkCCD Fractions\Main Web Page\Web Pages_old\proteomic_fractions_linear_files/Yang_linear_img/122939192.jpg","show blot")</f>
        <v>show blot</v>
      </c>
      <c r="G1303" t="s">
        <v>1294</v>
      </c>
      <c r="I1303" s="6">
        <v>4.841047575736936</v>
      </c>
      <c r="K1303" s="8"/>
    </row>
    <row r="1304" spans="1:11" ht="15" x14ac:dyDescent="0.25">
      <c r="A1304" s="3" t="str">
        <f>HYPERLINK("proteomic_fractions_linear_files/Yang_linear_img/122939194.jpg", "122939194")</f>
        <v>122939194</v>
      </c>
      <c r="C1304" s="3" t="str">
        <f>HYPERLINK("http://www.ncbi.nlm.nih.gov/protein/122939194","Clta")</f>
        <v>Clta</v>
      </c>
      <c r="E1304" t="str">
        <f>HYPERLINK("J:\Depot - mpkCCD Fractions\Main Web Page\Web Pages_old\proteomic_fractions_linear_files/Yang_linear_img/122939194.jpg","show blot")</f>
        <v>show blot</v>
      </c>
      <c r="G1304" t="s">
        <v>1295</v>
      </c>
      <c r="I1304" s="6">
        <v>4.841047575736936</v>
      </c>
      <c r="K1304" s="8"/>
    </row>
    <row r="1305" spans="1:11" ht="15" x14ac:dyDescent="0.25">
      <c r="A1305" s="3" t="str">
        <f>HYPERLINK("proteomic_fractions_linear_files/Yang_linear_img/122939196.jpg", "122939196")</f>
        <v>122939196</v>
      </c>
      <c r="C1305" s="3" t="str">
        <f>HYPERLINK("http://www.ncbi.nlm.nih.gov/protein/122939196","Clta")</f>
        <v>Clta</v>
      </c>
      <c r="E1305" t="str">
        <f>HYPERLINK("J:\Depot - mpkCCD Fractions\Main Web Page\Web Pages_old\proteomic_fractions_linear_files/Yang_linear_img/122939196.jpg","show blot")</f>
        <v>show blot</v>
      </c>
      <c r="G1305" t="s">
        <v>1296</v>
      </c>
      <c r="I1305" s="6">
        <v>4.841047575736936</v>
      </c>
      <c r="K1305" s="8"/>
    </row>
    <row r="1306" spans="1:11" ht="15" x14ac:dyDescent="0.25">
      <c r="A1306" s="3" t="str">
        <f>HYPERLINK("proteomic_fractions_linear_files/Yang_linear_img/122939198.jpg", "122939198")</f>
        <v>122939198</v>
      </c>
      <c r="C1306" s="3" t="str">
        <f>HYPERLINK("http://www.ncbi.nlm.nih.gov/protein/122939198","Clta")</f>
        <v>Clta</v>
      </c>
      <c r="E1306" t="str">
        <f>HYPERLINK("J:\Depot - mpkCCD Fractions\Main Web Page\Web Pages_old\proteomic_fractions_linear_files/Yang_linear_img/122939198.jpg","show blot")</f>
        <v>show blot</v>
      </c>
      <c r="G1306" t="s">
        <v>1297</v>
      </c>
      <c r="I1306" s="6">
        <v>4.841047575736936</v>
      </c>
      <c r="K1306" s="8"/>
    </row>
    <row r="1307" spans="1:11" ht="15" x14ac:dyDescent="0.25">
      <c r="A1307" s="3" t="str">
        <f>HYPERLINK("proteomic_fractions_linear_files/Yang_linear_img/30794164.jpg", "30794164")</f>
        <v>30794164</v>
      </c>
      <c r="C1307" s="3" t="str">
        <f>HYPERLINK("http://www.ncbi.nlm.nih.gov/protein/30794164","Cltb")</f>
        <v>Cltb</v>
      </c>
      <c r="E1307" t="str">
        <f>HYPERLINK("J:\Depot - mpkCCD Fractions\Main Web Page\Web Pages_old\proteomic_fractions_linear_files/Yang_linear_img/30794164.jpg","show blot")</f>
        <v>show blot</v>
      </c>
      <c r="G1307" t="s">
        <v>1298</v>
      </c>
      <c r="I1307" s="6">
        <v>5.0347474351443982</v>
      </c>
      <c r="K1307" s="8"/>
    </row>
    <row r="1308" spans="1:11" ht="15" x14ac:dyDescent="0.25">
      <c r="A1308" s="3" t="str">
        <f>HYPERLINK("proteomic_fractions_linear_files/Yang_linear_img/51491845.jpg", "51491845")</f>
        <v>51491845</v>
      </c>
      <c r="C1308" s="3" t="str">
        <f>HYPERLINK("http://www.ncbi.nlm.nih.gov/protein/51491845","Cltc")</f>
        <v>Cltc</v>
      </c>
      <c r="E1308" t="str">
        <f>HYPERLINK("J:\Depot - mpkCCD Fractions\Main Web Page\Web Pages_old\proteomic_fractions_linear_files/Yang_linear_img/51491845.jpg","show blot")</f>
        <v>show blot</v>
      </c>
      <c r="G1308" t="s">
        <v>1299</v>
      </c>
      <c r="I1308" s="6">
        <v>6.486313024078207</v>
      </c>
      <c r="K1308" s="8"/>
    </row>
    <row r="1309" spans="1:11" ht="15" x14ac:dyDescent="0.25">
      <c r="A1309" s="3" t="str">
        <f>HYPERLINK("proteomic_fractions_linear_files/Yang_linear_img/214010170.jpg", "214010170")</f>
        <v>214010170</v>
      </c>
      <c r="C1309" s="3" t="str">
        <f>HYPERLINK("http://www.ncbi.nlm.nih.gov/protein/214010170","Clu")</f>
        <v>Clu</v>
      </c>
      <c r="E1309" t="str">
        <f>HYPERLINK("J:\Depot - mpkCCD Fractions\Main Web Page\Web Pages_old\proteomic_fractions_linear_files/Yang_linear_img/214010170.jpg","show blot")</f>
        <v>show blot</v>
      </c>
      <c r="G1309" t="s">
        <v>1300</v>
      </c>
      <c r="I1309" s="6">
        <v>3.8994814623785832</v>
      </c>
      <c r="K1309" s="8"/>
    </row>
    <row r="1310" spans="1:11" ht="15" x14ac:dyDescent="0.25">
      <c r="A1310" s="3" t="str">
        <f>HYPERLINK("proteomic_fractions_linear_files/Yang_linear_img/39930457.jpg", "39930457")</f>
        <v>39930457</v>
      </c>
      <c r="C1310" s="3" t="str">
        <f>HYPERLINK("http://www.ncbi.nlm.nih.gov/protein/39930457","Cluap1")</f>
        <v>Cluap1</v>
      </c>
      <c r="E1310" t="str">
        <f>HYPERLINK("J:\Depot - mpkCCD Fractions\Main Web Page\Web Pages_old\proteomic_fractions_linear_files/Yang_linear_img/39930457.jpg","show blot")</f>
        <v>show blot</v>
      </c>
      <c r="G1310" t="s">
        <v>1301</v>
      </c>
      <c r="I1310" s="6">
        <v>3.6132203669744283</v>
      </c>
      <c r="K1310" s="8"/>
    </row>
    <row r="1311" spans="1:11" ht="15" x14ac:dyDescent="0.25">
      <c r="A1311" s="3" t="str">
        <f>HYPERLINK("proteomic_fractions_linear_files/Yang_linear_img/124487201.jpg", "124487201")</f>
        <v>124487201</v>
      </c>
      <c r="C1311" s="3" t="str">
        <f>HYPERLINK("http://www.ncbi.nlm.nih.gov/protein/124487201","Cluh")</f>
        <v>Cluh</v>
      </c>
      <c r="E1311" t="str">
        <f>HYPERLINK("J:\Depot - mpkCCD Fractions\Main Web Page\Web Pages_old\proteomic_fractions_linear_files/Yang_linear_img/124487201.jpg","show blot")</f>
        <v>show blot</v>
      </c>
      <c r="G1311" t="s">
        <v>1302</v>
      </c>
      <c r="I1311" s="6">
        <v>4.6490732308942917</v>
      </c>
      <c r="K1311" s="8"/>
    </row>
    <row r="1312" spans="1:11" ht="15" x14ac:dyDescent="0.25">
      <c r="A1312" s="3" t="str">
        <f>HYPERLINK("proteomic_fractions_linear_files/Yang_linear_img/256220113.jpg", "256220113")</f>
        <v>256220113</v>
      </c>
      <c r="C1312" s="3" t="str">
        <f>HYPERLINK("http://www.ncbi.nlm.nih.gov/protein/256220113","Clybl")</f>
        <v>Clybl</v>
      </c>
      <c r="E1312" t="str">
        <f>HYPERLINK("J:\Depot - mpkCCD Fractions\Main Web Page\Web Pages_old\proteomic_fractions_linear_files/Yang_linear_img/256220113.jpg","show blot")</f>
        <v>show blot</v>
      </c>
      <c r="G1312" t="s">
        <v>1303</v>
      </c>
      <c r="I1312" s="6">
        <v>4.6111225662045383</v>
      </c>
      <c r="K1312" s="8"/>
    </row>
    <row r="1313" spans="1:11" ht="15" x14ac:dyDescent="0.25">
      <c r="A1313" s="3" t="str">
        <f>HYPERLINK("proteomic_fractions_linear_files/Yang_linear_img/247269309.jpg", "247269309")</f>
        <v>247269309</v>
      </c>
      <c r="C1313" s="3" t="str">
        <f>HYPERLINK("http://www.ncbi.nlm.nih.gov/protein/247269309","Cmas")</f>
        <v>Cmas</v>
      </c>
      <c r="E1313" t="str">
        <f>HYPERLINK("J:\Depot - mpkCCD Fractions\Main Web Page\Web Pages_old\proteomic_fractions_linear_files/Yang_linear_img/247269309.jpg","show blot")</f>
        <v>show blot</v>
      </c>
      <c r="G1313" t="s">
        <v>1304</v>
      </c>
      <c r="I1313" s="6">
        <v>3.9809395944020056</v>
      </c>
      <c r="K1313" s="8"/>
    </row>
    <row r="1314" spans="1:11" ht="15" x14ac:dyDescent="0.25">
      <c r="A1314" s="3" t="str">
        <f>HYPERLINK("proteomic_fractions_linear_files/Yang_linear_img/21735441.jpg", "21735441")</f>
        <v>21735441</v>
      </c>
      <c r="C1314" s="3" t="str">
        <f>HYPERLINK("http://www.ncbi.nlm.nih.gov/protein/21735441","Cmc1")</f>
        <v>Cmc1</v>
      </c>
      <c r="E1314" t="str">
        <f>HYPERLINK("J:\Depot - mpkCCD Fractions\Main Web Page\Web Pages_old\proteomic_fractions_linear_files/Yang_linear_img/21735441.jpg","show blot")</f>
        <v>show blot</v>
      </c>
      <c r="G1314" t="s">
        <v>1305</v>
      </c>
      <c r="I1314" s="6">
        <v>4.0510327089678064</v>
      </c>
      <c r="K1314" s="8"/>
    </row>
    <row r="1315" spans="1:11" ht="15" x14ac:dyDescent="0.25">
      <c r="A1315" s="3" t="str">
        <f>HYPERLINK("proteomic_fractions_linear_files/Yang_linear_img/33457314.jpg", "33457314")</f>
        <v>33457314</v>
      </c>
      <c r="C1315" s="3" t="str">
        <f>HYPERLINK("http://www.ncbi.nlm.nih.gov/protein/33457314","Cmc2")</f>
        <v>Cmc2</v>
      </c>
      <c r="E1315" t="str">
        <f>HYPERLINK("J:\Depot - mpkCCD Fractions\Main Web Page\Web Pages_old\proteomic_fractions_linear_files/Yang_linear_img/33457314.jpg","show blot")</f>
        <v>show blot</v>
      </c>
      <c r="G1315" t="s">
        <v>1306</v>
      </c>
      <c r="I1315" s="6">
        <v>2.2806740658826938</v>
      </c>
      <c r="K1315" s="8"/>
    </row>
    <row r="1316" spans="1:11" ht="15" x14ac:dyDescent="0.25">
      <c r="A1316" s="3" t="str">
        <f>HYPERLINK("proteomic_fractions_linear_files/Yang_linear_img/165377065.jpg", "165377065")</f>
        <v>165377065</v>
      </c>
      <c r="C1316" s="3" t="str">
        <f>HYPERLINK("http://www.ncbi.nlm.nih.gov/protein/165377065","Cmpk1")</f>
        <v>Cmpk1</v>
      </c>
      <c r="E1316" t="str">
        <f>HYPERLINK("J:\Depot - mpkCCD Fractions\Main Web Page\Web Pages_old\proteomic_fractions_linear_files/Yang_linear_img/165377065.jpg","show blot")</f>
        <v>show blot</v>
      </c>
      <c r="G1316" t="s">
        <v>1307</v>
      </c>
      <c r="I1316" s="6">
        <v>5.9122508125267821</v>
      </c>
      <c r="K1316" s="8"/>
    </row>
    <row r="1317" spans="1:11" ht="15" x14ac:dyDescent="0.25">
      <c r="A1317" s="3" t="str">
        <f>HYPERLINK("proteomic_fractions_linear_files/Yang_linear_img/165932364.jpg", "165932364")</f>
        <v>165932364</v>
      </c>
      <c r="C1317" s="3" t="str">
        <f>HYPERLINK("http://www.ncbi.nlm.nih.gov/protein/165932364","Cmss1")</f>
        <v>Cmss1</v>
      </c>
      <c r="E1317" t="str">
        <f>HYPERLINK("J:\Depot - mpkCCD Fractions\Main Web Page\Web Pages_old\proteomic_fractions_linear_files/Yang_linear_img/165932364.jpg","show blot")</f>
        <v>show blot</v>
      </c>
      <c r="G1317" t="s">
        <v>1308</v>
      </c>
      <c r="I1317" s="6">
        <v>4.6683818235738865</v>
      </c>
      <c r="K1317" s="8"/>
    </row>
    <row r="1318" spans="1:11" ht="15" x14ac:dyDescent="0.25">
      <c r="A1318" s="3" t="str">
        <f>HYPERLINK("proteomic_fractions_linear_files/Yang_linear_img/27312023.jpg", "27312023")</f>
        <v>27312023</v>
      </c>
      <c r="C1318" s="3" t="str">
        <f>HYPERLINK("http://www.ncbi.nlm.nih.gov/protein/27312023","Cmtm4")</f>
        <v>Cmtm4</v>
      </c>
      <c r="E1318" t="str">
        <f>HYPERLINK("J:\Depot - mpkCCD Fractions\Main Web Page\Web Pages_old\proteomic_fractions_linear_files/Yang_linear_img/27312023.jpg","show blot")</f>
        <v>show blot</v>
      </c>
      <c r="G1318" t="s">
        <v>1309</v>
      </c>
      <c r="I1318" s="6">
        <v>3.3816564825857869</v>
      </c>
      <c r="K1318" s="8"/>
    </row>
    <row r="1319" spans="1:11" ht="15" x14ac:dyDescent="0.25">
      <c r="A1319" s="3" t="str">
        <f>HYPERLINK("proteomic_fractions_linear_files/Yang_linear_img/19527198.jpg", "19527198")</f>
        <v>19527198</v>
      </c>
      <c r="C1319" s="3" t="str">
        <f>HYPERLINK("http://www.ncbi.nlm.nih.gov/protein/19527198","Cmtm7")</f>
        <v>Cmtm7</v>
      </c>
      <c r="E1319" t="str">
        <f>HYPERLINK("J:\Depot - mpkCCD Fractions\Main Web Page\Web Pages_old\proteomic_fractions_linear_files/Yang_linear_img/19527198.jpg","show blot")</f>
        <v>show blot</v>
      </c>
      <c r="G1319" t="s">
        <v>1310</v>
      </c>
      <c r="I1319" s="6">
        <v>3.1349841492443984</v>
      </c>
      <c r="K1319" s="8"/>
    </row>
    <row r="1320" spans="1:11" ht="15" x14ac:dyDescent="0.25">
      <c r="A1320" s="3" t="str">
        <f>HYPERLINK("proteomic_fractions_linear_files/Yang_linear_img/357197168.jpg", "357197168")</f>
        <v>357197168</v>
      </c>
      <c r="C1320" s="3" t="str">
        <f>HYPERLINK("http://www.ncbi.nlm.nih.gov/protein/357197168","Cmtm7")</f>
        <v>Cmtm7</v>
      </c>
      <c r="E1320" t="str">
        <f>HYPERLINK("J:\Depot - mpkCCD Fractions\Main Web Page\Web Pages_old\proteomic_fractions_linear_files/Yang_linear_img/357197168.jpg","show blot")</f>
        <v>show blot</v>
      </c>
      <c r="G1320" t="s">
        <v>1311</v>
      </c>
      <c r="I1320" s="6">
        <v>3.1349841492443984</v>
      </c>
      <c r="K1320" s="8"/>
    </row>
    <row r="1321" spans="1:11" ht="15" x14ac:dyDescent="0.25">
      <c r="A1321" s="3" t="str">
        <f>HYPERLINK("proteomic_fractions_linear_files/Yang_linear_img/21311939.jpg", "21311939")</f>
        <v>21311939</v>
      </c>
      <c r="C1321" s="3" t="str">
        <f>HYPERLINK("http://www.ncbi.nlm.nih.gov/protein/21311939","Cmtr1")</f>
        <v>Cmtr1</v>
      </c>
      <c r="E1321" t="str">
        <f>HYPERLINK("J:\Depot - mpkCCD Fractions\Main Web Page\Web Pages_old\proteomic_fractions_linear_files/Yang_linear_img/21311939.jpg","show blot")</f>
        <v>show blot</v>
      </c>
      <c r="G1321" t="s">
        <v>1312</v>
      </c>
      <c r="I1321" s="6">
        <v>4.2329658614473971</v>
      </c>
      <c r="K1321" s="8"/>
    </row>
    <row r="1322" spans="1:11" ht="15" x14ac:dyDescent="0.25">
      <c r="A1322" s="3" t="str">
        <f>HYPERLINK("proteomic_fractions_linear_files/Yang_linear_img/157909782.jpg", "157909782")</f>
        <v>157909782</v>
      </c>
      <c r="C1322" s="3" t="str">
        <f>HYPERLINK("http://www.ncbi.nlm.nih.gov/protein/157909782","Cnbp")</f>
        <v>Cnbp</v>
      </c>
      <c r="E1322" t="str">
        <f>HYPERLINK("J:\Depot - mpkCCD Fractions\Main Web Page\Web Pages_old\proteomic_fractions_linear_files/Yang_linear_img/157909782.jpg","show blot")</f>
        <v>show blot</v>
      </c>
      <c r="G1322" t="s">
        <v>1313</v>
      </c>
      <c r="I1322" s="6">
        <v>6.2174457788894166</v>
      </c>
      <c r="K1322" s="8"/>
    </row>
    <row r="1323" spans="1:11" ht="15" x14ac:dyDescent="0.25">
      <c r="A1323" s="3" t="str">
        <f>HYPERLINK("proteomic_fractions_linear_files/Yang_linear_img/157909784.jpg", "157909784")</f>
        <v>157909784</v>
      </c>
      <c r="C1323" s="3" t="str">
        <f>HYPERLINK("http://www.ncbi.nlm.nih.gov/protein/157909784","Cnbp")</f>
        <v>Cnbp</v>
      </c>
      <c r="E1323" t="str">
        <f>HYPERLINK("J:\Depot - mpkCCD Fractions\Main Web Page\Web Pages_old\proteomic_fractions_linear_files/Yang_linear_img/157909784.jpg","show blot")</f>
        <v>show blot</v>
      </c>
      <c r="G1323" t="s">
        <v>1314</v>
      </c>
      <c r="I1323" s="6">
        <v>6.2174457788894166</v>
      </c>
      <c r="K1323" s="8"/>
    </row>
    <row r="1324" spans="1:11" ht="15" x14ac:dyDescent="0.25">
      <c r="A1324" s="3" t="str">
        <f>HYPERLINK("proteomic_fractions_linear_files/Yang_linear_img/7304969.jpg", "7304969")</f>
        <v>7304969</v>
      </c>
      <c r="C1324" s="3" t="str">
        <f>HYPERLINK("http://www.ncbi.nlm.nih.gov/protein/7304969","Cnbp")</f>
        <v>Cnbp</v>
      </c>
      <c r="E1324" t="str">
        <f>HYPERLINK("J:\Depot - mpkCCD Fractions\Main Web Page\Web Pages_old\proteomic_fractions_linear_files/Yang_linear_img/7304969.jpg","show blot")</f>
        <v>show blot</v>
      </c>
      <c r="G1324" t="s">
        <v>1315</v>
      </c>
      <c r="I1324" s="6">
        <v>6.2174457788894166</v>
      </c>
      <c r="K1324" s="8"/>
    </row>
    <row r="1325" spans="1:11" ht="15" x14ac:dyDescent="0.25">
      <c r="A1325" s="3" t="str">
        <f>HYPERLINK("proteomic_fractions_linear_files/Yang_linear_img/31981273.jpg", "31981273")</f>
        <v>31981273</v>
      </c>
      <c r="C1325" s="3" t="str">
        <f>HYPERLINK("http://www.ncbi.nlm.nih.gov/protein/31981273","Cndp2")</f>
        <v>Cndp2</v>
      </c>
      <c r="E1325" t="str">
        <f>HYPERLINK("J:\Depot - mpkCCD Fractions\Main Web Page\Web Pages_old\proteomic_fractions_linear_files/Yang_linear_img/31981273.jpg","show blot")</f>
        <v>show blot</v>
      </c>
      <c r="G1325" t="s">
        <v>1316</v>
      </c>
      <c r="I1325" s="6">
        <v>6.6099536100377234</v>
      </c>
      <c r="K1325" s="8"/>
    </row>
    <row r="1326" spans="1:11" ht="15" x14ac:dyDescent="0.25">
      <c r="A1326" s="3" t="str">
        <f>HYPERLINK("proteomic_fractions_linear_files/Yang_linear_img/68131553.jpg", "68131553")</f>
        <v>68131553</v>
      </c>
      <c r="C1326" s="3" t="str">
        <f>HYPERLINK("http://www.ncbi.nlm.nih.gov/protein/68131553","Cnih4")</f>
        <v>Cnih4</v>
      </c>
      <c r="E1326" t="str">
        <f>HYPERLINK("J:\Depot - mpkCCD Fractions\Main Web Page\Web Pages_old\proteomic_fractions_linear_files/Yang_linear_img/68131553.jpg","show blot")</f>
        <v>show blot</v>
      </c>
      <c r="G1326" t="s">
        <v>1317</v>
      </c>
      <c r="I1326" s="6">
        <v>4.229568834407778</v>
      </c>
      <c r="K1326" s="8"/>
    </row>
    <row r="1327" spans="1:11" ht="15" x14ac:dyDescent="0.25">
      <c r="A1327" s="3" t="str">
        <f>HYPERLINK("proteomic_fractions_linear_files/Yang_linear_img/27369772.jpg", "27369772")</f>
        <v>27369772</v>
      </c>
      <c r="C1327" s="3" t="str">
        <f>HYPERLINK("http://www.ncbi.nlm.nih.gov/protein/27369772","Cnksr3")</f>
        <v>Cnksr3</v>
      </c>
      <c r="E1327" t="str">
        <f>HYPERLINK("J:\Depot - mpkCCD Fractions\Main Web Page\Web Pages_old\proteomic_fractions_linear_files/Yang_linear_img/27369772.jpg","show blot")</f>
        <v>show blot</v>
      </c>
      <c r="G1327" t="s">
        <v>1318</v>
      </c>
      <c r="I1327" s="6">
        <v>3.3962683327068093</v>
      </c>
      <c r="K1327" s="8"/>
    </row>
    <row r="1328" spans="1:11" ht="15" x14ac:dyDescent="0.25">
      <c r="A1328" s="3" t="str">
        <f>HYPERLINK("proteomic_fractions_linear_files/Yang_linear_img/6680952.jpg", "6680952")</f>
        <v>6680952</v>
      </c>
      <c r="C1328" s="3" t="str">
        <f>HYPERLINK("http://www.ncbi.nlm.nih.gov/protein/6680952","Cnn2")</f>
        <v>Cnn2</v>
      </c>
      <c r="E1328" t="str">
        <f>HYPERLINK("J:\Depot - mpkCCD Fractions\Main Web Page\Web Pages_old\proteomic_fractions_linear_files/Yang_linear_img/6680952.jpg","show blot")</f>
        <v>show blot</v>
      </c>
      <c r="G1328" t="s">
        <v>1319</v>
      </c>
      <c r="I1328" s="6">
        <v>5.4994788901079978</v>
      </c>
      <c r="K1328" s="8"/>
    </row>
    <row r="1329" spans="1:11" ht="15" x14ac:dyDescent="0.25">
      <c r="A1329" s="3" t="str">
        <f>HYPERLINK("proteomic_fractions_linear_files/Yang_linear_img/21312564.jpg", "21312564")</f>
        <v>21312564</v>
      </c>
      <c r="C1329" s="3" t="str">
        <f>HYPERLINK("http://www.ncbi.nlm.nih.gov/protein/21312564","Cnn3")</f>
        <v>Cnn3</v>
      </c>
      <c r="E1329" t="str">
        <f>HYPERLINK("J:\Depot - mpkCCD Fractions\Main Web Page\Web Pages_old\proteomic_fractions_linear_files/Yang_linear_img/21312564.jpg","show blot")</f>
        <v>show blot</v>
      </c>
      <c r="G1329" t="s">
        <v>1320</v>
      </c>
      <c r="I1329" s="6">
        <v>6.0486355940579521</v>
      </c>
      <c r="K1329" s="8"/>
    </row>
    <row r="1330" spans="1:11" ht="15" x14ac:dyDescent="0.25">
      <c r="A1330" s="3" t="str">
        <f>HYPERLINK("proteomic_fractions_linear_files/Yang_linear_img/156447046.jpg", "156447046")</f>
        <v>156447046</v>
      </c>
      <c r="C1330" s="3" t="str">
        <f>HYPERLINK("http://www.ncbi.nlm.nih.gov/protein/156447046","Cnnm2")</f>
        <v>Cnnm2</v>
      </c>
      <c r="E1330" t="str">
        <f>HYPERLINK("J:\Depot - mpkCCD Fractions\Main Web Page\Web Pages_old\proteomic_fractions_linear_files/Yang_linear_img/156447046.jpg","show blot")</f>
        <v>show blot</v>
      </c>
      <c r="G1330" t="s">
        <v>1321</v>
      </c>
      <c r="I1330" s="6">
        <v>1.2835898923777884</v>
      </c>
      <c r="K1330" s="8"/>
    </row>
    <row r="1331" spans="1:11" ht="15" x14ac:dyDescent="0.25">
      <c r="A1331" s="3" t="str">
        <f>HYPERLINK("proteomic_fractions_linear_files/Yang_linear_img/156447048.jpg", "156447048")</f>
        <v>156447048</v>
      </c>
      <c r="C1331" s="3" t="str">
        <f>HYPERLINK("http://www.ncbi.nlm.nih.gov/protein/156447048","Cnnm2")</f>
        <v>Cnnm2</v>
      </c>
      <c r="E1331" t="str">
        <f>HYPERLINK("J:\Depot - mpkCCD Fractions\Main Web Page\Web Pages_old\proteomic_fractions_linear_files/Yang_linear_img/156447048.jpg","show blot")</f>
        <v>show blot</v>
      </c>
      <c r="G1331" t="s">
        <v>1322</v>
      </c>
      <c r="I1331" s="6">
        <v>1.2835898923777884</v>
      </c>
      <c r="K1331" s="8"/>
    </row>
    <row r="1332" spans="1:11" ht="15" x14ac:dyDescent="0.25">
      <c r="A1332" s="3" t="str">
        <f>HYPERLINK("proteomic_fractions_linear_files/Yang_linear_img/88196782.jpg", "88196782")</f>
        <v>88196782</v>
      </c>
      <c r="C1332" s="3" t="str">
        <f>HYPERLINK("http://www.ncbi.nlm.nih.gov/protein/88196782","Cnnm3")</f>
        <v>Cnnm3</v>
      </c>
      <c r="E1332" t="str">
        <f>HYPERLINK("J:\Depot - mpkCCD Fractions\Main Web Page\Web Pages_old\proteomic_fractions_linear_files/Yang_linear_img/88196782.jpg","show blot")</f>
        <v>show blot</v>
      </c>
      <c r="G1332" t="s">
        <v>1323</v>
      </c>
      <c r="I1332" s="6">
        <v>1.6093347758628671</v>
      </c>
      <c r="K1332" s="8"/>
    </row>
    <row r="1333" spans="1:11" ht="15" x14ac:dyDescent="0.25">
      <c r="A1333" s="3" t="str">
        <f>HYPERLINK("proteomic_fractions_linear_files/Yang_linear_img/88196784.jpg", "88196784")</f>
        <v>88196784</v>
      </c>
      <c r="C1333" s="3" t="str">
        <f>HYPERLINK("http://www.ncbi.nlm.nih.gov/protein/88196784","Cnnm3")</f>
        <v>Cnnm3</v>
      </c>
      <c r="E1333" t="str">
        <f>HYPERLINK("J:\Depot - mpkCCD Fractions\Main Web Page\Web Pages_old\proteomic_fractions_linear_files/Yang_linear_img/88196784.jpg","show blot")</f>
        <v>show blot</v>
      </c>
      <c r="G1333" t="s">
        <v>1324</v>
      </c>
      <c r="I1333" s="6">
        <v>1.6093347758628671</v>
      </c>
      <c r="K1333" s="8"/>
    </row>
    <row r="1334" spans="1:11" ht="15" x14ac:dyDescent="0.25">
      <c r="A1334" s="3" t="str">
        <f>HYPERLINK("proteomic_fractions_linear_files/Yang_linear_img/189458844.jpg", "189458844")</f>
        <v>189458844</v>
      </c>
      <c r="C1334" s="3" t="str">
        <f>HYPERLINK("http://www.ncbi.nlm.nih.gov/protein/189458844","Cnot1")</f>
        <v>Cnot1</v>
      </c>
      <c r="E1334" t="str">
        <f>HYPERLINK("J:\Depot - mpkCCD Fractions\Main Web Page\Web Pages_old\proteomic_fractions_linear_files/Yang_linear_img/189458844.jpg","show blot")</f>
        <v>show blot</v>
      </c>
      <c r="G1334" t="s">
        <v>1325</v>
      </c>
      <c r="I1334" s="6">
        <v>4.7983969988286548</v>
      </c>
      <c r="K1334" s="8"/>
    </row>
    <row r="1335" spans="1:11" ht="15" x14ac:dyDescent="0.25">
      <c r="A1335" s="3" t="str">
        <f>HYPERLINK("proteomic_fractions_linear_files/Yang_linear_img/327315389.jpg", "327315389")</f>
        <v>327315389</v>
      </c>
      <c r="C1335" s="3" t="str">
        <f>HYPERLINK("http://www.ncbi.nlm.nih.gov/protein/327315389","Cnot1")</f>
        <v>Cnot1</v>
      </c>
      <c r="E1335" t="str">
        <f>HYPERLINK("J:\Depot - mpkCCD Fractions\Main Web Page\Web Pages_old\proteomic_fractions_linear_files/Yang_linear_img/327315389.jpg","show blot")</f>
        <v>show blot</v>
      </c>
      <c r="G1335" t="s">
        <v>1326</v>
      </c>
      <c r="I1335" s="6">
        <v>4.7983969988286548</v>
      </c>
      <c r="K1335" s="8"/>
    </row>
    <row r="1336" spans="1:11" ht="15" x14ac:dyDescent="0.25">
      <c r="A1336" s="3" t="str">
        <f>HYPERLINK("proteomic_fractions_linear_files/Yang_linear_img/327315392.jpg", "327315392")</f>
        <v>327315392</v>
      </c>
      <c r="C1336" s="3" t="str">
        <f>HYPERLINK("http://www.ncbi.nlm.nih.gov/protein/327315392","Cnot1")</f>
        <v>Cnot1</v>
      </c>
      <c r="E1336" t="str">
        <f>HYPERLINK("J:\Depot - mpkCCD Fractions\Main Web Page\Web Pages_old\proteomic_fractions_linear_files/Yang_linear_img/327315392.jpg","show blot")</f>
        <v>show blot</v>
      </c>
      <c r="G1336" t="s">
        <v>1327</v>
      </c>
      <c r="I1336" s="6">
        <v>4.7983969988286548</v>
      </c>
      <c r="K1336" s="8"/>
    </row>
    <row r="1337" spans="1:11" ht="15" x14ac:dyDescent="0.25">
      <c r="A1337" s="3" t="str">
        <f>HYPERLINK("proteomic_fractions_linear_files/Yang_linear_img/31324571.jpg", "31324571")</f>
        <v>31324571</v>
      </c>
      <c r="C1337" s="3" t="str">
        <f>HYPERLINK("http://www.ncbi.nlm.nih.gov/protein/31324571","Cnot10")</f>
        <v>Cnot10</v>
      </c>
      <c r="E1337" t="str">
        <f>HYPERLINK("J:\Depot - mpkCCD Fractions\Main Web Page\Web Pages_old\proteomic_fractions_linear_files/Yang_linear_img/31324571.jpg","show blot")</f>
        <v>show blot</v>
      </c>
      <c r="G1337" t="s">
        <v>1328</v>
      </c>
      <c r="I1337" s="6">
        <v>4.6709787613279019</v>
      </c>
      <c r="K1337" s="8"/>
    </row>
    <row r="1338" spans="1:11" ht="15" x14ac:dyDescent="0.25">
      <c r="A1338" s="3" t="str">
        <f>HYPERLINK("proteomic_fractions_linear_files/Yang_linear_img/26553441.jpg", "26553441")</f>
        <v>26553441</v>
      </c>
      <c r="C1338" s="3" t="str">
        <f>HYPERLINK("http://www.ncbi.nlm.nih.gov/protein/26553441","Cnot11")</f>
        <v>Cnot11</v>
      </c>
      <c r="E1338" t="str">
        <f>HYPERLINK("J:\Depot - mpkCCD Fractions\Main Web Page\Web Pages_old\proteomic_fractions_linear_files/Yang_linear_img/26553441.jpg","show blot")</f>
        <v>show blot</v>
      </c>
      <c r="G1338" t="s">
        <v>1329</v>
      </c>
      <c r="I1338" s="6">
        <v>3.8413026768221994</v>
      </c>
      <c r="K1338" s="8"/>
    </row>
    <row r="1339" spans="1:11" ht="15" x14ac:dyDescent="0.25">
      <c r="A1339" s="3" t="str">
        <f>HYPERLINK("proteomic_fractions_linear_files/Yang_linear_img/210147539.jpg", "210147539")</f>
        <v>210147539</v>
      </c>
      <c r="C1339" s="3" t="str">
        <f>HYPERLINK("http://www.ncbi.nlm.nih.gov/protein/210147539","Cnot2")</f>
        <v>Cnot2</v>
      </c>
      <c r="E1339" t="str">
        <f>HYPERLINK("J:\Depot - mpkCCD Fractions\Main Web Page\Web Pages_old\proteomic_fractions_linear_files/Yang_linear_img/210147539.jpg","show blot")</f>
        <v>show blot</v>
      </c>
      <c r="G1339" t="s">
        <v>1330</v>
      </c>
      <c r="I1339" s="6">
        <v>4.2222729703136848</v>
      </c>
      <c r="K1339" s="8"/>
    </row>
    <row r="1340" spans="1:11" ht="15" x14ac:dyDescent="0.25">
      <c r="A1340" s="3" t="str">
        <f>HYPERLINK("proteomic_fractions_linear_files/Yang_linear_img/210147541.jpg", "210147541")</f>
        <v>210147541</v>
      </c>
      <c r="C1340" s="3" t="str">
        <f>HYPERLINK("http://www.ncbi.nlm.nih.gov/protein/210147541","Cnot2")</f>
        <v>Cnot2</v>
      </c>
      <c r="E1340" t="str">
        <f>HYPERLINK("J:\Depot - mpkCCD Fractions\Main Web Page\Web Pages_old\proteomic_fractions_linear_files/Yang_linear_img/210147541.jpg","show blot")</f>
        <v>show blot</v>
      </c>
      <c r="G1340" t="s">
        <v>1331</v>
      </c>
      <c r="I1340" s="6">
        <v>4.2222729703136848</v>
      </c>
      <c r="K1340" s="8"/>
    </row>
    <row r="1341" spans="1:11" ht="15" x14ac:dyDescent="0.25">
      <c r="A1341" s="3" t="str">
        <f>HYPERLINK("proteomic_fractions_linear_files/Yang_linear_img/211065515.jpg", "211065515")</f>
        <v>211065515</v>
      </c>
      <c r="C1341" s="3" t="str">
        <f>HYPERLINK("http://www.ncbi.nlm.nih.gov/protein/211065515","Cnot2")</f>
        <v>Cnot2</v>
      </c>
      <c r="E1341" t="str">
        <f>HYPERLINK("J:\Depot - mpkCCD Fractions\Main Web Page\Web Pages_old\proteomic_fractions_linear_files/Yang_linear_img/211065515.jpg","show blot")</f>
        <v>show blot</v>
      </c>
      <c r="G1341" t="s">
        <v>1332</v>
      </c>
      <c r="I1341" s="6">
        <v>4.2222729703136848</v>
      </c>
      <c r="K1341" s="8"/>
    </row>
    <row r="1342" spans="1:11" ht="15" x14ac:dyDescent="0.25">
      <c r="A1342" s="3" t="str">
        <f>HYPERLINK("proteomic_fractions_linear_files/Yang_linear_img/22122717.jpg", "22122717")</f>
        <v>22122717</v>
      </c>
      <c r="C1342" s="3" t="str">
        <f>HYPERLINK("http://www.ncbi.nlm.nih.gov/protein/22122717","Cnot3")</f>
        <v>Cnot3</v>
      </c>
      <c r="E1342" t="str">
        <f>HYPERLINK("J:\Depot - mpkCCD Fractions\Main Web Page\Web Pages_old\proteomic_fractions_linear_files/Yang_linear_img/22122717.jpg","show blot")</f>
        <v>show blot</v>
      </c>
      <c r="G1342" t="s">
        <v>1333</v>
      </c>
      <c r="I1342" s="6">
        <v>3.1050821180010004</v>
      </c>
      <c r="K1342" s="8"/>
    </row>
    <row r="1343" spans="1:11" ht="15" x14ac:dyDescent="0.25">
      <c r="A1343" s="3" t="str">
        <f>HYPERLINK("proteomic_fractions_linear_files/Yang_linear_img/47059015.jpg", "47059015")</f>
        <v>47059015</v>
      </c>
      <c r="C1343" s="3" t="str">
        <f>HYPERLINK("http://www.ncbi.nlm.nih.gov/protein/47059015","Cnot6")</f>
        <v>Cnot6</v>
      </c>
      <c r="E1343" t="str">
        <f>HYPERLINK("J:\Depot - mpkCCD Fractions\Main Web Page\Web Pages_old\proteomic_fractions_linear_files/Yang_linear_img/47059015.jpg","show blot")</f>
        <v>show blot</v>
      </c>
      <c r="G1343" t="s">
        <v>1334</v>
      </c>
      <c r="I1343" s="6">
        <v>3.6019514041335219</v>
      </c>
      <c r="K1343" s="8"/>
    </row>
    <row r="1344" spans="1:11" ht="15" x14ac:dyDescent="0.25">
      <c r="A1344" s="3" t="str">
        <f>HYPERLINK("proteomic_fractions_linear_files/Yang_linear_img/121674807.jpg", "121674807")</f>
        <v>121674807</v>
      </c>
      <c r="C1344" s="3" t="str">
        <f>HYPERLINK("http://www.ncbi.nlm.nih.gov/protein/121674807","Cnot6l")</f>
        <v>Cnot6l</v>
      </c>
      <c r="E1344" t="str">
        <f>HYPERLINK("J:\Depot - mpkCCD Fractions\Main Web Page\Web Pages_old\proteomic_fractions_linear_files/Yang_linear_img/121674807.jpg","show blot")</f>
        <v>show blot</v>
      </c>
      <c r="G1344" t="s">
        <v>1335</v>
      </c>
      <c r="I1344" s="6">
        <v>3.5004224018275099</v>
      </c>
      <c r="K1344" s="8"/>
    </row>
    <row r="1345" spans="1:11" ht="15" x14ac:dyDescent="0.25">
      <c r="A1345" s="3" t="str">
        <f>HYPERLINK("proteomic_fractions_linear_files/Yang_linear_img/21450299.jpg", "21450299")</f>
        <v>21450299</v>
      </c>
      <c r="C1345" s="3" t="str">
        <f>HYPERLINK("http://www.ncbi.nlm.nih.gov/protein/21450299","Cnot6l")</f>
        <v>Cnot6l</v>
      </c>
      <c r="E1345" t="str">
        <f>HYPERLINK("J:\Depot - mpkCCD Fractions\Main Web Page\Web Pages_old\proteomic_fractions_linear_files/Yang_linear_img/21450299.jpg","show blot")</f>
        <v>show blot</v>
      </c>
      <c r="G1345" t="s">
        <v>1336</v>
      </c>
      <c r="I1345" s="6">
        <v>3.5004224018275099</v>
      </c>
      <c r="K1345" s="8"/>
    </row>
    <row r="1346" spans="1:11" ht="15" x14ac:dyDescent="0.25">
      <c r="A1346" s="3" t="str">
        <f>HYPERLINK("proteomic_fractions_linear_files/Yang_linear_img/408968125.jpg", "408968125")</f>
        <v>408968125</v>
      </c>
      <c r="C1346" s="3" t="str">
        <f>HYPERLINK("http://www.ncbi.nlm.nih.gov/protein/408968125","Cnot7")</f>
        <v>Cnot7</v>
      </c>
      <c r="E1346" t="str">
        <f>HYPERLINK("J:\Depot - mpkCCD Fractions\Main Web Page\Web Pages_old\proteomic_fractions_linear_files/Yang_linear_img/408968125.jpg","show blot")</f>
        <v>show blot</v>
      </c>
      <c r="G1346" t="s">
        <v>1337</v>
      </c>
      <c r="I1346" s="6">
        <v>4.947097801641176</v>
      </c>
      <c r="K1346" s="8"/>
    </row>
    <row r="1347" spans="1:11" ht="15" x14ac:dyDescent="0.25">
      <c r="A1347" s="3" t="str">
        <f>HYPERLINK("proteomic_fractions_linear_files/Yang_linear_img/6755126.jpg", "6755126")</f>
        <v>6755126</v>
      </c>
      <c r="C1347" s="3" t="str">
        <f>HYPERLINK("http://www.ncbi.nlm.nih.gov/protein/6755126","Cnot7")</f>
        <v>Cnot7</v>
      </c>
      <c r="E1347" t="str">
        <f>HYPERLINK("J:\Depot - mpkCCD Fractions\Main Web Page\Web Pages_old\proteomic_fractions_linear_files/Yang_linear_img/6755126.jpg","show blot")</f>
        <v>show blot</v>
      </c>
      <c r="G1347" t="s">
        <v>1338</v>
      </c>
      <c r="I1347" s="6">
        <v>4.947097801641176</v>
      </c>
      <c r="K1347" s="8"/>
    </row>
    <row r="1348" spans="1:11" ht="15" x14ac:dyDescent="0.25">
      <c r="A1348" s="3" t="str">
        <f>HYPERLINK("proteomic_fractions_linear_files/Yang_linear_img/13386186.jpg", "13386186")</f>
        <v>13386186</v>
      </c>
      <c r="C1348" s="3" t="str">
        <f>HYPERLINK("http://www.ncbi.nlm.nih.gov/protein/13386186","Cnot8")</f>
        <v>Cnot8</v>
      </c>
      <c r="E1348" t="str">
        <f>HYPERLINK("J:\Depot - mpkCCD Fractions\Main Web Page\Web Pages_old\proteomic_fractions_linear_files/Yang_linear_img/13386186.jpg","show blot")</f>
        <v>show blot</v>
      </c>
      <c r="G1348" t="s">
        <v>1339</v>
      </c>
      <c r="I1348" s="6">
        <v>3.8381281181826234</v>
      </c>
      <c r="K1348" s="8"/>
    </row>
    <row r="1349" spans="1:11" ht="15" x14ac:dyDescent="0.25">
      <c r="A1349" s="3" t="str">
        <f>HYPERLINK("proteomic_fractions_linear_files/Yang_linear_img/226423907.jpg", "226423907")</f>
        <v>226423907</v>
      </c>
      <c r="C1349" s="3" t="str">
        <f>HYPERLINK("http://www.ncbi.nlm.nih.gov/protein/226423907","Cnp")</f>
        <v>Cnp</v>
      </c>
      <c r="E1349" t="str">
        <f>HYPERLINK("J:\Depot - mpkCCD Fractions\Main Web Page\Web Pages_old\proteomic_fractions_linear_files/Yang_linear_img/226423907.jpg","show blot")</f>
        <v>show blot</v>
      </c>
      <c r="G1349" t="s">
        <v>1340</v>
      </c>
      <c r="I1349" s="6">
        <v>4.7786646599549822</v>
      </c>
      <c r="K1349" s="8"/>
    </row>
    <row r="1350" spans="1:11" ht="15" x14ac:dyDescent="0.25">
      <c r="A1350" s="3" t="str">
        <f>HYPERLINK("proteomic_fractions_linear_files/Yang_linear_img/226423909.jpg", "226423909")</f>
        <v>226423909</v>
      </c>
      <c r="C1350" s="3" t="str">
        <f>HYPERLINK("http://www.ncbi.nlm.nih.gov/protein/226423909","Cnp")</f>
        <v>Cnp</v>
      </c>
      <c r="E1350" t="str">
        <f>HYPERLINK("J:\Depot - mpkCCD Fractions\Main Web Page\Web Pages_old\proteomic_fractions_linear_files/Yang_linear_img/226423909.jpg","show blot")</f>
        <v>show blot</v>
      </c>
      <c r="G1350" t="s">
        <v>1341</v>
      </c>
      <c r="I1350" s="6">
        <v>4.7786646599549822</v>
      </c>
      <c r="K1350" s="8"/>
    </row>
    <row r="1351" spans="1:11" ht="15" x14ac:dyDescent="0.25">
      <c r="A1351" s="3" t="str">
        <f>HYPERLINK("proteomic_fractions_linear_files/Yang_linear_img/9903607.jpg", "9903607")</f>
        <v>9903607</v>
      </c>
      <c r="C1351" s="3" t="str">
        <f>HYPERLINK("http://www.ncbi.nlm.nih.gov/protein/9903607","Cnpy2")</f>
        <v>Cnpy2</v>
      </c>
      <c r="E1351" t="str">
        <f>HYPERLINK("J:\Depot - mpkCCD Fractions\Main Web Page\Web Pages_old\proteomic_fractions_linear_files/Yang_linear_img/9903607.jpg","show blot")</f>
        <v>show blot</v>
      </c>
      <c r="G1351" t="s">
        <v>1342</v>
      </c>
      <c r="I1351" s="6">
        <v>5.9056664115319757</v>
      </c>
      <c r="K1351" s="8"/>
    </row>
    <row r="1352" spans="1:11" ht="15" x14ac:dyDescent="0.25">
      <c r="A1352" s="3" t="str">
        <f>HYPERLINK("proteomic_fractions_linear_files/Yang_linear_img/21312510.jpg", "21312510")</f>
        <v>21312510</v>
      </c>
      <c r="C1352" s="3" t="str">
        <f>HYPERLINK("http://www.ncbi.nlm.nih.gov/protein/21312510","Cnpy3")</f>
        <v>Cnpy3</v>
      </c>
      <c r="E1352" t="str">
        <f>HYPERLINK("J:\Depot - mpkCCD Fractions\Main Web Page\Web Pages_old\proteomic_fractions_linear_files/Yang_linear_img/21312510.jpg","show blot")</f>
        <v>show blot</v>
      </c>
      <c r="G1352" t="s">
        <v>1343</v>
      </c>
      <c r="I1352" s="6">
        <v>3.8144035351169268</v>
      </c>
      <c r="K1352" s="8"/>
    </row>
    <row r="1353" spans="1:11" ht="15" x14ac:dyDescent="0.25">
      <c r="A1353" s="3" t="str">
        <f>HYPERLINK("proteomic_fractions_linear_files/Yang_linear_img/30519939.jpg", "30519939")</f>
        <v>30519939</v>
      </c>
      <c r="C1353" s="3" t="str">
        <f>HYPERLINK("http://www.ncbi.nlm.nih.gov/protein/30519939","Cnpy4")</f>
        <v>Cnpy4</v>
      </c>
      <c r="E1353" t="str">
        <f>HYPERLINK("J:\Depot - mpkCCD Fractions\Main Web Page\Web Pages_old\proteomic_fractions_linear_files/Yang_linear_img/30519939.jpg","show blot")</f>
        <v>show blot</v>
      </c>
      <c r="G1353" t="s">
        <v>1344</v>
      </c>
      <c r="I1353" s="6">
        <v>4.5058519080080348</v>
      </c>
      <c r="K1353" s="8"/>
    </row>
    <row r="1354" spans="1:11" ht="15" x14ac:dyDescent="0.25">
      <c r="A1354" s="3" t="str">
        <f>HYPERLINK("proteomic_fractions_linear_files/Yang_linear_img/21311867.jpg", "21311867")</f>
        <v>21311867</v>
      </c>
      <c r="C1354" s="3" t="str">
        <f>HYPERLINK("http://www.ncbi.nlm.nih.gov/protein/21311867","Coa3")</f>
        <v>Coa3</v>
      </c>
      <c r="E1354" t="str">
        <f>HYPERLINK("J:\Depot - mpkCCD Fractions\Main Web Page\Web Pages_old\proteomic_fractions_linear_files/Yang_linear_img/21311867.jpg","show blot")</f>
        <v>show blot</v>
      </c>
      <c r="G1354" t="s">
        <v>1345</v>
      </c>
      <c r="I1354" s="6">
        <v>5.1092636349072826</v>
      </c>
      <c r="K1354" s="8"/>
    </row>
    <row r="1355" spans="1:11" ht="15" x14ac:dyDescent="0.25">
      <c r="A1355" s="3" t="str">
        <f>HYPERLINK("proteomic_fractions_linear_files/Yang_linear_img/30424683.jpg", "30424683")</f>
        <v>30424683</v>
      </c>
      <c r="C1355" s="3" t="str">
        <f>HYPERLINK("http://www.ncbi.nlm.nih.gov/protein/30424683","Coa6")</f>
        <v>Coa6</v>
      </c>
      <c r="E1355" t="str">
        <f>HYPERLINK("J:\Depot - mpkCCD Fractions\Main Web Page\Web Pages_old\proteomic_fractions_linear_files/Yang_linear_img/30424683.jpg","show blot")</f>
        <v>show blot</v>
      </c>
      <c r="G1355" t="s">
        <v>1346</v>
      </c>
      <c r="I1355" s="6">
        <v>4.4942487970758158</v>
      </c>
      <c r="K1355" s="8"/>
    </row>
    <row r="1356" spans="1:11" ht="15" x14ac:dyDescent="0.25">
      <c r="A1356" s="3" t="str">
        <f>HYPERLINK("proteomic_fractions_linear_files/Yang_linear_img/27229125.jpg", "27229125")</f>
        <v>27229125</v>
      </c>
      <c r="C1356" s="3" t="str">
        <f>HYPERLINK("http://www.ncbi.nlm.nih.gov/protein/27229125","Coasy")</f>
        <v>Coasy</v>
      </c>
      <c r="E1356" t="str">
        <f>HYPERLINK("J:\Depot - mpkCCD Fractions\Main Web Page\Web Pages_old\proteomic_fractions_linear_files/Yang_linear_img/27229125.jpg","show blot")</f>
        <v>show blot</v>
      </c>
      <c r="G1356" t="s">
        <v>1347</v>
      </c>
      <c r="I1356" s="6">
        <v>4.7111200781989648</v>
      </c>
      <c r="K1356" s="8"/>
    </row>
    <row r="1357" spans="1:11" ht="15" x14ac:dyDescent="0.25">
      <c r="A1357" s="3" t="str">
        <f>HYPERLINK("proteomic_fractions_linear_files/Yang_linear_img/162135966.jpg", "162135966")</f>
        <v>162135966</v>
      </c>
      <c r="C1357" s="3" t="str">
        <f>HYPERLINK("http://www.ncbi.nlm.nih.gov/protein/162135966","Cobl")</f>
        <v>Cobl</v>
      </c>
      <c r="E1357" t="str">
        <f>HYPERLINK("J:\Depot - mpkCCD Fractions\Main Web Page\Web Pages_old\proteomic_fractions_linear_files/Yang_linear_img/162135966.jpg","show blot")</f>
        <v>show blot</v>
      </c>
      <c r="G1357" t="s">
        <v>1348</v>
      </c>
      <c r="I1357" s="6">
        <v>4.004690295687328</v>
      </c>
      <c r="K1357" s="8"/>
    </row>
    <row r="1358" spans="1:11" ht="15" x14ac:dyDescent="0.25">
      <c r="A1358" s="3" t="str">
        <f>HYPERLINK("proteomic_fractions_linear_files/Yang_linear_img/189458847.jpg", "189458847")</f>
        <v>189458847</v>
      </c>
      <c r="C1358" s="3" t="str">
        <f>HYPERLINK("http://www.ncbi.nlm.nih.gov/protein/189458847","Cobll1")</f>
        <v>Cobll1</v>
      </c>
      <c r="E1358" t="str">
        <f>HYPERLINK("J:\Depot - mpkCCD Fractions\Main Web Page\Web Pages_old\proteomic_fractions_linear_files/Yang_linear_img/189458847.jpg","show blot")</f>
        <v>show blot</v>
      </c>
      <c r="G1358" t="s">
        <v>1349</v>
      </c>
      <c r="I1358" s="6">
        <v>4.8683988858694649</v>
      </c>
      <c r="K1358" s="8"/>
    </row>
    <row r="1359" spans="1:11" ht="15" x14ac:dyDescent="0.25">
      <c r="A1359" s="3" t="str">
        <f>HYPERLINK("proteomic_fractions_linear_files/Yang_linear_img/32441279.jpg", "32441279")</f>
        <v>32441279</v>
      </c>
      <c r="C1359" s="3" t="str">
        <f>HYPERLINK("http://www.ncbi.nlm.nih.gov/protein/32441279","Cobll1")</f>
        <v>Cobll1</v>
      </c>
      <c r="E1359" t="str">
        <f>HYPERLINK("J:\Depot - mpkCCD Fractions\Main Web Page\Web Pages_old\proteomic_fractions_linear_files/Yang_linear_img/32441279.jpg","show blot")</f>
        <v>show blot</v>
      </c>
      <c r="G1359" t="s">
        <v>1350</v>
      </c>
      <c r="I1359" s="6">
        <v>4.8683988858694649</v>
      </c>
      <c r="K1359" s="8"/>
    </row>
    <row r="1360" spans="1:11" ht="15" x14ac:dyDescent="0.25">
      <c r="A1360" s="3" t="str">
        <f>HYPERLINK("proteomic_fractions_linear_files/Yang_linear_img/159110754.jpg", "159110754")</f>
        <v>159110754</v>
      </c>
      <c r="C1360" s="3" t="str">
        <f>HYPERLINK("http://www.ncbi.nlm.nih.gov/protein/159110754","Cog1")</f>
        <v>Cog1</v>
      </c>
      <c r="E1360" t="str">
        <f>HYPERLINK("J:\Depot - mpkCCD Fractions\Main Web Page\Web Pages_old\proteomic_fractions_linear_files/Yang_linear_img/159110754.jpg","show blot")</f>
        <v>show blot</v>
      </c>
      <c r="G1360" t="s">
        <v>1351</v>
      </c>
      <c r="I1360" s="6">
        <v>3.5567388353177276</v>
      </c>
      <c r="K1360" s="8"/>
    </row>
    <row r="1361" spans="1:11" ht="15" x14ac:dyDescent="0.25">
      <c r="A1361" s="3" t="str">
        <f>HYPERLINK("proteomic_fractions_linear_files/Yang_linear_img/256985208.jpg", "256985208")</f>
        <v>256985208</v>
      </c>
      <c r="C1361" s="3" t="str">
        <f>HYPERLINK("http://www.ncbi.nlm.nih.gov/protein/256985208","Cog2")</f>
        <v>Cog2</v>
      </c>
      <c r="E1361" t="str">
        <f>HYPERLINK("J:\Depot - mpkCCD Fractions\Main Web Page\Web Pages_old\proteomic_fractions_linear_files/Yang_linear_img/256985208.jpg","show blot")</f>
        <v>show blot</v>
      </c>
      <c r="G1361" t="s">
        <v>1352</v>
      </c>
      <c r="I1361" s="6">
        <v>4.6041534421606451</v>
      </c>
      <c r="K1361" s="8"/>
    </row>
    <row r="1362" spans="1:11" ht="15" x14ac:dyDescent="0.25">
      <c r="A1362" s="3" t="str">
        <f>HYPERLINK("proteomic_fractions_linear_files/Yang_linear_img/119392070.jpg", "119392070")</f>
        <v>119392070</v>
      </c>
      <c r="C1362" s="3" t="str">
        <f>HYPERLINK("http://www.ncbi.nlm.nih.gov/protein/119392070","Cog3")</f>
        <v>Cog3</v>
      </c>
      <c r="E1362" t="str">
        <f>HYPERLINK("J:\Depot - mpkCCD Fractions\Main Web Page\Web Pages_old\proteomic_fractions_linear_files/Yang_linear_img/119392070.jpg","show blot")</f>
        <v>show blot</v>
      </c>
      <c r="G1362" t="s">
        <v>1353</v>
      </c>
      <c r="I1362" s="6">
        <v>4.5815780183155104</v>
      </c>
      <c r="K1362" s="8"/>
    </row>
    <row r="1363" spans="1:11" ht="15" x14ac:dyDescent="0.25">
      <c r="A1363" s="3" t="str">
        <f>HYPERLINK("proteomic_fractions_linear_files/Yang_linear_img/19527194.jpg", "19527194")</f>
        <v>19527194</v>
      </c>
      <c r="C1363" s="3" t="str">
        <f>HYPERLINK("http://www.ncbi.nlm.nih.gov/protein/19527194","Cog4")</f>
        <v>Cog4</v>
      </c>
      <c r="E1363" t="str">
        <f>HYPERLINK("J:\Depot - mpkCCD Fractions\Main Web Page\Web Pages_old\proteomic_fractions_linear_files/Yang_linear_img/19527194.jpg","show blot")</f>
        <v>show blot</v>
      </c>
      <c r="G1363" t="s">
        <v>1354</v>
      </c>
      <c r="I1363" s="6">
        <v>4.6613470219950468</v>
      </c>
      <c r="K1363" s="8"/>
    </row>
    <row r="1364" spans="1:11" ht="15" x14ac:dyDescent="0.25">
      <c r="A1364" s="3" t="str">
        <f>HYPERLINK("proteomic_fractions_linear_files/Yang_linear_img/253314464.jpg", "253314464")</f>
        <v>253314464</v>
      </c>
      <c r="C1364" s="3" t="str">
        <f>HYPERLINK("http://www.ncbi.nlm.nih.gov/protein/253314464","Cog5")</f>
        <v>Cog5</v>
      </c>
      <c r="E1364" t="str">
        <f>HYPERLINK("J:\Depot - mpkCCD Fractions\Main Web Page\Web Pages_old\proteomic_fractions_linear_files/Yang_linear_img/253314464.jpg","show blot")</f>
        <v>show blot</v>
      </c>
      <c r="G1364" t="s">
        <v>1355</v>
      </c>
      <c r="I1364" s="6">
        <v>4.9318960331226966</v>
      </c>
      <c r="K1364" s="8"/>
    </row>
    <row r="1365" spans="1:11" ht="15" x14ac:dyDescent="0.25">
      <c r="A1365" s="3" t="str">
        <f>HYPERLINK("proteomic_fractions_linear_files/Yang_linear_img/160333744.jpg", "160333744")</f>
        <v>160333744</v>
      </c>
      <c r="C1365" s="3" t="str">
        <f>HYPERLINK("http://www.ncbi.nlm.nih.gov/protein/160333744","Cog6")</f>
        <v>Cog6</v>
      </c>
      <c r="E1365" t="str">
        <f>HYPERLINK("J:\Depot - mpkCCD Fractions\Main Web Page\Web Pages_old\proteomic_fractions_linear_files/Yang_linear_img/160333744.jpg","show blot")</f>
        <v>show blot</v>
      </c>
      <c r="G1365" t="s">
        <v>1356</v>
      </c>
      <c r="I1365" s="6">
        <v>4.7783478405208681</v>
      </c>
      <c r="K1365" s="8"/>
    </row>
    <row r="1366" spans="1:11" ht="15" x14ac:dyDescent="0.25">
      <c r="A1366" s="3" t="str">
        <f>HYPERLINK("proteomic_fractions_linear_files/Yang_linear_img/110625631.jpg", "110625631")</f>
        <v>110625631</v>
      </c>
      <c r="C1366" s="3" t="str">
        <f>HYPERLINK("http://www.ncbi.nlm.nih.gov/protein/110625631","Cog7")</f>
        <v>Cog7</v>
      </c>
      <c r="E1366" t="str">
        <f>HYPERLINK("J:\Depot - mpkCCD Fractions\Main Web Page\Web Pages_old\proteomic_fractions_linear_files/Yang_linear_img/110625631.jpg","show blot")</f>
        <v>show blot</v>
      </c>
      <c r="G1366" t="s">
        <v>1357</v>
      </c>
      <c r="I1366" s="6">
        <v>4.7839730367362057</v>
      </c>
      <c r="K1366" s="8"/>
    </row>
    <row r="1367" spans="1:11" ht="15" x14ac:dyDescent="0.25">
      <c r="A1367" s="3" t="str">
        <f>HYPERLINK("proteomic_fractions_linear_files/Yang_linear_img/66392581.jpg", "66392581")</f>
        <v>66392581</v>
      </c>
      <c r="C1367" s="3" t="str">
        <f>HYPERLINK("http://www.ncbi.nlm.nih.gov/protein/66392581","Cog8")</f>
        <v>Cog8</v>
      </c>
      <c r="E1367" t="str">
        <f>HYPERLINK("J:\Depot - mpkCCD Fractions\Main Web Page\Web Pages_old\proteomic_fractions_linear_files/Yang_linear_img/66392581.jpg","show blot")</f>
        <v>show blot</v>
      </c>
      <c r="G1367" t="s">
        <v>1358</v>
      </c>
      <c r="I1367" s="6">
        <v>4.0282299076601218</v>
      </c>
      <c r="K1367" s="8"/>
    </row>
    <row r="1368" spans="1:11" ht="15" x14ac:dyDescent="0.25">
      <c r="A1368" s="3" t="str">
        <f>HYPERLINK("proteomic_fractions_linear_files/Yang_linear_img/134053929.jpg", "134053929")</f>
        <v>134053929</v>
      </c>
      <c r="C1368" s="3" t="str">
        <f>HYPERLINK("http://www.ncbi.nlm.nih.gov/protein/134053929","Coil")</f>
        <v>Coil</v>
      </c>
      <c r="E1368" t="str">
        <f>HYPERLINK("J:\Depot - mpkCCD Fractions\Main Web Page\Web Pages_old\proteomic_fractions_linear_files/Yang_linear_img/134053929.jpg","show blot")</f>
        <v>show blot</v>
      </c>
      <c r="G1368" t="s">
        <v>1359</v>
      </c>
      <c r="I1368" s="6">
        <v>1.589264793087533</v>
      </c>
      <c r="K1368" s="8"/>
    </row>
    <row r="1369" spans="1:11" ht="15" x14ac:dyDescent="0.25">
      <c r="A1369" s="3" t="str">
        <f>HYPERLINK("proteomic_fractions_linear_files/Yang_linear_img/158508560.jpg", "158508560")</f>
        <v>158508560</v>
      </c>
      <c r="C1369" s="3" t="str">
        <f>HYPERLINK("http://www.ncbi.nlm.nih.gov/protein/158508560","Col18a1")</f>
        <v>Col18a1</v>
      </c>
      <c r="E1369" t="str">
        <f>HYPERLINK("J:\Depot - mpkCCD Fractions\Main Web Page\Web Pages_old\proteomic_fractions_linear_files/Yang_linear_img/158508560.jpg","show blot")</f>
        <v>show blot</v>
      </c>
      <c r="G1369" t="s">
        <v>1360</v>
      </c>
      <c r="I1369" s="6">
        <v>3.6925424907901583</v>
      </c>
      <c r="K1369" s="8"/>
    </row>
    <row r="1370" spans="1:11" ht="15" x14ac:dyDescent="0.25">
      <c r="A1370" s="3" t="str">
        <f>HYPERLINK("proteomic_fractions_linear_files/Yang_linear_img/40789282.jpg", "40789282")</f>
        <v>40789282</v>
      </c>
      <c r="C1370" s="3" t="str">
        <f>HYPERLINK("http://www.ncbi.nlm.nih.gov/protein/40789282","Col18a1")</f>
        <v>Col18a1</v>
      </c>
      <c r="E1370" t="str">
        <f>HYPERLINK("J:\Depot - mpkCCD Fractions\Main Web Page\Web Pages_old\proteomic_fractions_linear_files/Yang_linear_img/40789282.jpg","show blot")</f>
        <v>show blot</v>
      </c>
      <c r="G1370" t="s">
        <v>1361</v>
      </c>
      <c r="I1370" s="6">
        <v>3.6925424907901583</v>
      </c>
      <c r="K1370" s="8"/>
    </row>
    <row r="1371" spans="1:11" ht="15" x14ac:dyDescent="0.25">
      <c r="A1371" s="3" t="str">
        <f>HYPERLINK("proteomic_fractions_linear_files/Yang_linear_img/12963671.jpg", "12963671")</f>
        <v>12963671</v>
      </c>
      <c r="C1371" s="3" t="str">
        <f>HYPERLINK("http://www.ncbi.nlm.nih.gov/protein/12963671","Col4a3bp")</f>
        <v>Col4a3bp</v>
      </c>
      <c r="E1371" t="str">
        <f>HYPERLINK("J:\Depot - mpkCCD Fractions\Main Web Page\Web Pages_old\proteomic_fractions_linear_files/Yang_linear_img/12963671.jpg","show blot")</f>
        <v>show blot</v>
      </c>
      <c r="G1371" t="s">
        <v>1362</v>
      </c>
      <c r="I1371" s="6">
        <v>4.0760694202446848</v>
      </c>
      <c r="K1371" s="8"/>
    </row>
    <row r="1372" spans="1:11" ht="15" x14ac:dyDescent="0.25">
      <c r="A1372" s="3" t="str">
        <f>HYPERLINK("proteomic_fractions_linear_files/Yang_linear_img/255982524.jpg", "255982524")</f>
        <v>255982524</v>
      </c>
      <c r="C1372" s="3" t="str">
        <f>HYPERLINK("http://www.ncbi.nlm.nih.gov/protein/255982524","Col4a3bp")</f>
        <v>Col4a3bp</v>
      </c>
      <c r="E1372" t="str">
        <f>HYPERLINK("J:\Depot - mpkCCD Fractions\Main Web Page\Web Pages_old\proteomic_fractions_linear_files/Yang_linear_img/255982524.jpg","show blot")</f>
        <v>show blot</v>
      </c>
      <c r="G1372" t="s">
        <v>1363</v>
      </c>
      <c r="I1372" s="6">
        <v>4.0760694202446848</v>
      </c>
      <c r="K1372" s="8"/>
    </row>
    <row r="1373" spans="1:11" ht="15" x14ac:dyDescent="0.25">
      <c r="A1373" s="3" t="str">
        <f>HYPERLINK("proteomic_fractions_linear_files/Yang_linear_img/84452161.jpg", "84452161")</f>
        <v>84452161</v>
      </c>
      <c r="C1373" s="3" t="str">
        <f>HYPERLINK("http://www.ncbi.nlm.nih.gov/protein/84452161","Commd1")</f>
        <v>Commd1</v>
      </c>
      <c r="E1373" t="str">
        <f>HYPERLINK("J:\Depot - mpkCCD Fractions\Main Web Page\Web Pages_old\proteomic_fractions_linear_files/Yang_linear_img/84452161.jpg","show blot")</f>
        <v>show blot</v>
      </c>
      <c r="G1373" t="s">
        <v>1364</v>
      </c>
      <c r="I1373" s="6">
        <v>5.0416760200006046</v>
      </c>
      <c r="K1373" s="8"/>
    </row>
    <row r="1374" spans="1:11" ht="15" x14ac:dyDescent="0.25">
      <c r="A1374" s="3" t="str">
        <f>HYPERLINK("proteomic_fractions_linear_files/Yang_linear_img/30410016.jpg", "30410016")</f>
        <v>30410016</v>
      </c>
      <c r="C1374" s="3" t="str">
        <f>HYPERLINK("http://www.ncbi.nlm.nih.gov/protein/30410016","Commd10")</f>
        <v>Commd10</v>
      </c>
      <c r="E1374" t="str">
        <f>HYPERLINK("J:\Depot - mpkCCD Fractions\Main Web Page\Web Pages_old\proteomic_fractions_linear_files/Yang_linear_img/30410016.jpg","show blot")</f>
        <v>show blot</v>
      </c>
      <c r="G1374" t="s">
        <v>1365</v>
      </c>
      <c r="I1374" s="6">
        <v>4.8282274013834146</v>
      </c>
      <c r="K1374" s="8"/>
    </row>
    <row r="1375" spans="1:11" ht="15" x14ac:dyDescent="0.25">
      <c r="A1375" s="3" t="str">
        <f>HYPERLINK("proteomic_fractions_linear_files/Yang_linear_img/110626003.jpg", "110626003")</f>
        <v>110626003</v>
      </c>
      <c r="C1375" s="3" t="str">
        <f>HYPERLINK("http://www.ncbi.nlm.nih.gov/protein/110626003","Commd2")</f>
        <v>Commd2</v>
      </c>
      <c r="E1375" t="str">
        <f>HYPERLINK("J:\Depot - mpkCCD Fractions\Main Web Page\Web Pages_old\proteomic_fractions_linear_files/Yang_linear_img/110626003.jpg","show blot")</f>
        <v>show blot</v>
      </c>
      <c r="G1375" t="s">
        <v>1366</v>
      </c>
      <c r="I1375" s="6">
        <v>5.2782696201575607</v>
      </c>
      <c r="K1375" s="8"/>
    </row>
    <row r="1376" spans="1:11" ht="15" x14ac:dyDescent="0.25">
      <c r="A1376" s="3" t="str">
        <f>HYPERLINK("proteomic_fractions_linear_files/Yang_linear_img/22296603.jpg", "22296603")</f>
        <v>22296603</v>
      </c>
      <c r="C1376" s="3" t="str">
        <f>HYPERLINK("http://www.ncbi.nlm.nih.gov/protein/22296603","Commd3")</f>
        <v>Commd3</v>
      </c>
      <c r="E1376" t="str">
        <f>HYPERLINK("J:\Depot - mpkCCD Fractions\Main Web Page\Web Pages_old\proteomic_fractions_linear_files/Yang_linear_img/22296603.jpg","show blot")</f>
        <v>show blot</v>
      </c>
      <c r="G1376" t="s">
        <v>1367</v>
      </c>
      <c r="I1376" s="6">
        <v>5.2302988423191881</v>
      </c>
      <c r="K1376" s="8"/>
    </row>
    <row r="1377" spans="1:11" ht="15" x14ac:dyDescent="0.25">
      <c r="A1377" s="3" t="str">
        <f>HYPERLINK("proteomic_fractions_linear_files/Yang_linear_img/13384806.jpg", "13384806")</f>
        <v>13384806</v>
      </c>
      <c r="C1377" s="3" t="str">
        <f>HYPERLINK("http://www.ncbi.nlm.nih.gov/protein/13384806","Commd4")</f>
        <v>Commd4</v>
      </c>
      <c r="E1377" t="str">
        <f>HYPERLINK("J:\Depot - mpkCCD Fractions\Main Web Page\Web Pages_old\proteomic_fractions_linear_files/Yang_linear_img/13384806.jpg","show blot")</f>
        <v>show blot</v>
      </c>
      <c r="G1377" t="s">
        <v>1368</v>
      </c>
      <c r="I1377" s="6">
        <v>4.5214444040658188</v>
      </c>
      <c r="K1377" s="8"/>
    </row>
    <row r="1378" spans="1:11" ht="15" x14ac:dyDescent="0.25">
      <c r="A1378" s="3" t="str">
        <f>HYPERLINK("proteomic_fractions_linear_files/Yang_linear_img/21313478.jpg", "21313478")</f>
        <v>21313478</v>
      </c>
      <c r="C1378" s="3" t="str">
        <f>HYPERLINK("http://www.ncbi.nlm.nih.gov/protein/21313478","Commd5")</f>
        <v>Commd5</v>
      </c>
      <c r="E1378" t="str">
        <f>HYPERLINK("J:\Depot - mpkCCD Fractions\Main Web Page\Web Pages_old\proteomic_fractions_linear_files/Yang_linear_img/21313478.jpg","show blot")</f>
        <v>show blot</v>
      </c>
      <c r="G1378" t="s">
        <v>1369</v>
      </c>
      <c r="I1378" s="6">
        <v>4.9864735639234397</v>
      </c>
      <c r="K1378" s="8"/>
    </row>
    <row r="1379" spans="1:11" ht="15" x14ac:dyDescent="0.25">
      <c r="A1379" s="3" t="str">
        <f>HYPERLINK("proteomic_fractions_linear_files/Yang_linear_img/274319665.jpg", "274319665")</f>
        <v>274319665</v>
      </c>
      <c r="C1379" s="3" t="str">
        <f>HYPERLINK("http://www.ncbi.nlm.nih.gov/protein/274319665","Commd6")</f>
        <v>Commd6</v>
      </c>
      <c r="E1379" t="str">
        <f>HYPERLINK("J:\Depot - mpkCCD Fractions\Main Web Page\Web Pages_old\proteomic_fractions_linear_files/Yang_linear_img/274319665.jpg","show blot")</f>
        <v>show blot</v>
      </c>
      <c r="G1379" t="s">
        <v>1370</v>
      </c>
      <c r="I1379" s="6">
        <v>4.393313691615516</v>
      </c>
      <c r="K1379" s="8"/>
    </row>
    <row r="1380" spans="1:11" ht="15" x14ac:dyDescent="0.25">
      <c r="A1380" s="3" t="str">
        <f>HYPERLINK("proteomic_fractions_linear_files/Yang_linear_img/84370278.jpg", "84370278")</f>
        <v>84370278</v>
      </c>
      <c r="C1380" s="3" t="str">
        <f>HYPERLINK("http://www.ncbi.nlm.nih.gov/protein/84370278","Commd6")</f>
        <v>Commd6</v>
      </c>
      <c r="E1380" t="str">
        <f>HYPERLINK("J:\Depot - mpkCCD Fractions\Main Web Page\Web Pages_old\proteomic_fractions_linear_files/Yang_linear_img/84370278.jpg","show blot")</f>
        <v>show blot</v>
      </c>
      <c r="G1380" t="s">
        <v>1371</v>
      </c>
      <c r="I1380" s="6">
        <v>4.393313691615516</v>
      </c>
      <c r="K1380" s="8"/>
    </row>
    <row r="1381" spans="1:11" ht="15" x14ac:dyDescent="0.25">
      <c r="A1381" s="3" t="str">
        <f>HYPERLINK("proteomic_fractions_linear_files/Yang_linear_img/306035198.jpg", "306035198")</f>
        <v>306035198</v>
      </c>
      <c r="C1381" s="3" t="str">
        <f>HYPERLINK("http://www.ncbi.nlm.nih.gov/protein/306035198","Commd7")</f>
        <v>Commd7</v>
      </c>
      <c r="E1381" t="str">
        <f>HYPERLINK("J:\Depot - mpkCCD Fractions\Main Web Page\Web Pages_old\proteomic_fractions_linear_files/Yang_linear_img/306035198.jpg","show blot")</f>
        <v>show blot</v>
      </c>
      <c r="G1381" t="s">
        <v>1372</v>
      </c>
      <c r="I1381" s="6">
        <v>5.3161051835396886</v>
      </c>
      <c r="K1381" s="8"/>
    </row>
    <row r="1382" spans="1:11" ht="15" x14ac:dyDescent="0.25">
      <c r="A1382" s="3" t="str">
        <f>HYPERLINK("proteomic_fractions_linear_files/Yang_linear_img/306035200.jpg", "306035200")</f>
        <v>306035200</v>
      </c>
      <c r="C1382" s="3" t="str">
        <f>HYPERLINK("http://www.ncbi.nlm.nih.gov/protein/306035200","Commd7")</f>
        <v>Commd7</v>
      </c>
      <c r="E1382" t="str">
        <f>HYPERLINK("J:\Depot - mpkCCD Fractions\Main Web Page\Web Pages_old\proteomic_fractions_linear_files/Yang_linear_img/306035200.jpg","show blot")</f>
        <v>show blot</v>
      </c>
      <c r="G1382" t="s">
        <v>1373</v>
      </c>
      <c r="I1382" s="6">
        <v>5.3161051835396886</v>
      </c>
      <c r="K1382" s="8"/>
    </row>
    <row r="1383" spans="1:11" ht="15" x14ac:dyDescent="0.25">
      <c r="A1383" s="3" t="str">
        <f>HYPERLINK("proteomic_fractions_linear_files/Yang_linear_img/21313224.jpg", "21313224")</f>
        <v>21313224</v>
      </c>
      <c r="C1383" s="3" t="str">
        <f>HYPERLINK("http://www.ncbi.nlm.nih.gov/protein/21313224","Commd9")</f>
        <v>Commd9</v>
      </c>
      <c r="E1383" t="str">
        <f>HYPERLINK("J:\Depot - mpkCCD Fractions\Main Web Page\Web Pages_old\proteomic_fractions_linear_files/Yang_linear_img/21313224.jpg","show blot")</f>
        <v>show blot</v>
      </c>
      <c r="G1383" t="s">
        <v>1374</v>
      </c>
      <c r="I1383" s="6">
        <v>4.605456117440065</v>
      </c>
      <c r="K1383" s="8"/>
    </row>
    <row r="1384" spans="1:11" ht="15" x14ac:dyDescent="0.25">
      <c r="A1384" s="3" t="str">
        <f>HYPERLINK("proteomic_fractions_linear_files/Yang_linear_img/161484634.jpg", "161484634")</f>
        <v>161484634</v>
      </c>
      <c r="C1384" s="3" t="str">
        <f>HYPERLINK("http://www.ncbi.nlm.nih.gov/protein/161484634","Comt")</f>
        <v>Comt</v>
      </c>
      <c r="E1384" t="str">
        <f>HYPERLINK("J:\Depot - mpkCCD Fractions\Main Web Page\Web Pages_old\proteomic_fractions_linear_files/Yang_linear_img/161484634.jpg","show blot")</f>
        <v>show blot</v>
      </c>
      <c r="G1384" t="s">
        <v>1375</v>
      </c>
      <c r="I1384" s="6">
        <v>5.6680041232834748</v>
      </c>
      <c r="K1384" s="8"/>
    </row>
    <row r="1385" spans="1:11" ht="15" x14ac:dyDescent="0.25">
      <c r="A1385" s="3" t="str">
        <f>HYPERLINK("proteomic_fractions_linear_files/Yang_linear_img/33468999.jpg", "33468999")</f>
        <v>33468999</v>
      </c>
      <c r="C1385" s="3" t="str">
        <f>HYPERLINK("http://www.ncbi.nlm.nih.gov/protein/33468999","Comtd1")</f>
        <v>Comtd1</v>
      </c>
      <c r="E1385" t="str">
        <f>HYPERLINK("J:\Depot - mpkCCD Fractions\Main Web Page\Web Pages_old\proteomic_fractions_linear_files/Yang_linear_img/33468999.jpg","show blot")</f>
        <v>show blot</v>
      </c>
      <c r="G1385" t="s">
        <v>1376</v>
      </c>
      <c r="I1385" s="6">
        <v>4.7206096197097747</v>
      </c>
      <c r="K1385" s="8"/>
    </row>
    <row r="1386" spans="1:11" ht="15" x14ac:dyDescent="0.25">
      <c r="A1386" s="3" t="str">
        <f>HYPERLINK("proteomic_fractions_linear_files/Yang_linear_img/226823359.jpg", "226823359")</f>
        <v>226823359</v>
      </c>
      <c r="C1386" s="3" t="str">
        <f>HYPERLINK("http://www.ncbi.nlm.nih.gov/protein/226823359","Copa")</f>
        <v>Copa</v>
      </c>
      <c r="E1386" t="str">
        <f>HYPERLINK("J:\Depot - mpkCCD Fractions\Main Web Page\Web Pages_old\proteomic_fractions_linear_files/Yang_linear_img/226823359.jpg","show blot")</f>
        <v>show blot</v>
      </c>
      <c r="G1386" t="s">
        <v>1377</v>
      </c>
      <c r="I1386" s="6">
        <v>5.829907732897591</v>
      </c>
      <c r="K1386" s="8"/>
    </row>
    <row r="1387" spans="1:11" ht="15" x14ac:dyDescent="0.25">
      <c r="A1387" s="3" t="str">
        <f>HYPERLINK("proteomic_fractions_linear_files/Yang_linear_img/15426055.jpg", "15426055")</f>
        <v>15426055</v>
      </c>
      <c r="C1387" s="3" t="str">
        <f>HYPERLINK("http://www.ncbi.nlm.nih.gov/protein/15426055","Copb1")</f>
        <v>Copb1</v>
      </c>
      <c r="E1387" t="str">
        <f>HYPERLINK("J:\Depot - mpkCCD Fractions\Main Web Page\Web Pages_old\proteomic_fractions_linear_files/Yang_linear_img/15426055.jpg","show blot")</f>
        <v>show blot</v>
      </c>
      <c r="G1387" t="s">
        <v>1378</v>
      </c>
      <c r="I1387" s="6">
        <v>5.7522946085408844</v>
      </c>
      <c r="K1387" s="8"/>
    </row>
    <row r="1388" spans="1:11" ht="15" x14ac:dyDescent="0.25">
      <c r="A1388" s="3" t="str">
        <f>HYPERLINK("proteomic_fractions_linear_files/Yang_linear_img/29789080.jpg", "29789080")</f>
        <v>29789080</v>
      </c>
      <c r="C1388" s="3" t="str">
        <f>HYPERLINK("http://www.ncbi.nlm.nih.gov/protein/29789080","Copb2")</f>
        <v>Copb2</v>
      </c>
      <c r="E1388" t="str">
        <f>HYPERLINK("J:\Depot - mpkCCD Fractions\Main Web Page\Web Pages_old\proteomic_fractions_linear_files/Yang_linear_img/29789080.jpg","show blot")</f>
        <v>show blot</v>
      </c>
      <c r="G1388" t="s">
        <v>1379</v>
      </c>
      <c r="I1388" s="6">
        <v>5.7278538981352565</v>
      </c>
      <c r="K1388" s="8"/>
    </row>
    <row r="1389" spans="1:11" ht="15" x14ac:dyDescent="0.25">
      <c r="A1389" s="3" t="str">
        <f>HYPERLINK("proteomic_fractions_linear_files/Yang_linear_img/10946972.jpg", "10946972")</f>
        <v>10946972</v>
      </c>
      <c r="C1389" s="3" t="str">
        <f>HYPERLINK("http://www.ncbi.nlm.nih.gov/protein/10946972","Cope")</f>
        <v>Cope</v>
      </c>
      <c r="E1389" t="str">
        <f>HYPERLINK("J:\Depot - mpkCCD Fractions\Main Web Page\Web Pages_old\proteomic_fractions_linear_files/Yang_linear_img/10946972.jpg","show blot")</f>
        <v>show blot</v>
      </c>
      <c r="G1389" t="s">
        <v>1380</v>
      </c>
      <c r="I1389" s="6">
        <v>5.7883026664819797</v>
      </c>
      <c r="K1389" s="8"/>
    </row>
    <row r="1390" spans="1:11" ht="15" x14ac:dyDescent="0.25">
      <c r="A1390" s="3" t="str">
        <f>HYPERLINK("proteomic_fractions_linear_files/Yang_linear_img/47059163.jpg", "47059163")</f>
        <v>47059163</v>
      </c>
      <c r="C1390" s="3" t="str">
        <f>HYPERLINK("http://www.ncbi.nlm.nih.gov/protein/47059163","Copg1")</f>
        <v>Copg1</v>
      </c>
      <c r="E1390" t="str">
        <f>HYPERLINK("J:\Depot - mpkCCD Fractions\Main Web Page\Web Pages_old\proteomic_fractions_linear_files/Yang_linear_img/47059163.jpg","show blot")</f>
        <v>show blot</v>
      </c>
      <c r="G1390" t="s">
        <v>1381</v>
      </c>
      <c r="I1390" s="6">
        <v>6.4405385652256308</v>
      </c>
      <c r="K1390" s="8"/>
    </row>
    <row r="1391" spans="1:11" ht="15" x14ac:dyDescent="0.25">
      <c r="A1391" s="3" t="str">
        <f>HYPERLINK("proteomic_fractions_linear_files/Yang_linear_img/8567338.jpg", "8567338")</f>
        <v>8567338</v>
      </c>
      <c r="C1391" s="3" t="str">
        <f>HYPERLINK("http://www.ncbi.nlm.nih.gov/protein/8567338","Copg1")</f>
        <v>Copg1</v>
      </c>
      <c r="E1391" t="str">
        <f>HYPERLINK("J:\Depot - mpkCCD Fractions\Main Web Page\Web Pages_old\proteomic_fractions_linear_files/Yang_linear_img/8567338.jpg","show blot")</f>
        <v>show blot</v>
      </c>
      <c r="G1391" t="s">
        <v>1382</v>
      </c>
      <c r="I1391" s="6">
        <v>6.4405385652256308</v>
      </c>
      <c r="K1391" s="8"/>
    </row>
    <row r="1392" spans="1:11" ht="15" x14ac:dyDescent="0.25">
      <c r="A1392" s="3" t="str">
        <f>HYPERLINK("proteomic_fractions_linear_files/Yang_linear_img/8567340.jpg", "8567340")</f>
        <v>8567340</v>
      </c>
      <c r="C1392" s="3" t="str">
        <f>HYPERLINK("http://www.ncbi.nlm.nih.gov/protein/8567340","Copg2")</f>
        <v>Copg2</v>
      </c>
      <c r="E1392" t="str">
        <f>HYPERLINK("J:\Depot - mpkCCD Fractions\Main Web Page\Web Pages_old\proteomic_fractions_linear_files/Yang_linear_img/8567340.jpg","show blot")</f>
        <v>show blot</v>
      </c>
      <c r="G1392" t="s">
        <v>1383</v>
      </c>
      <c r="I1392" s="6">
        <v>5.3072848707498874</v>
      </c>
      <c r="K1392" s="8"/>
    </row>
    <row r="1393" spans="1:11" ht="15" x14ac:dyDescent="0.25">
      <c r="A1393" s="3" t="str">
        <f>HYPERLINK("proteomic_fractions_linear_files/Yang_linear_img/70909327.jpg", "70909327")</f>
        <v>70909327</v>
      </c>
      <c r="C1393" s="3" t="str">
        <f>HYPERLINK("http://www.ncbi.nlm.nih.gov/protein/70909327","Cops2")</f>
        <v>Cops2</v>
      </c>
      <c r="E1393" t="str">
        <f>HYPERLINK("J:\Depot - mpkCCD Fractions\Main Web Page\Web Pages_old\proteomic_fractions_linear_files/Yang_linear_img/70909327.jpg","show blot")</f>
        <v>show blot</v>
      </c>
      <c r="G1393" t="s">
        <v>1384</v>
      </c>
      <c r="I1393" s="6">
        <v>5.6878230227679261</v>
      </c>
      <c r="K1393" s="8"/>
    </row>
    <row r="1394" spans="1:11" ht="15" x14ac:dyDescent="0.25">
      <c r="A1394" s="3" t="str">
        <f>HYPERLINK("proteomic_fractions_linear_files/Yang_linear_img/6753488.jpg", "6753488")</f>
        <v>6753488</v>
      </c>
      <c r="C1394" s="3" t="str">
        <f>HYPERLINK("http://www.ncbi.nlm.nih.gov/protein/6753488","Cops3")</f>
        <v>Cops3</v>
      </c>
      <c r="E1394" t="str">
        <f>HYPERLINK("J:\Depot - mpkCCD Fractions\Main Web Page\Web Pages_old\proteomic_fractions_linear_files/Yang_linear_img/6753488.jpg","show blot")</f>
        <v>show blot</v>
      </c>
      <c r="G1394" t="s">
        <v>1385</v>
      </c>
      <c r="I1394" s="6">
        <v>5.6022132974672578</v>
      </c>
      <c r="K1394" s="8"/>
    </row>
    <row r="1395" spans="1:11" ht="15" x14ac:dyDescent="0.25">
      <c r="A1395" s="3" t="str">
        <f>HYPERLINK("proteomic_fractions_linear_files/Yang_linear_img/6753490.jpg", "6753490")</f>
        <v>6753490</v>
      </c>
      <c r="C1395" s="3" t="str">
        <f>HYPERLINK("http://www.ncbi.nlm.nih.gov/protein/6753490","Cops4")</f>
        <v>Cops4</v>
      </c>
      <c r="E1395" t="str">
        <f>HYPERLINK("J:\Depot - mpkCCD Fractions\Main Web Page\Web Pages_old\proteomic_fractions_linear_files/Yang_linear_img/6753490.jpg","show blot")</f>
        <v>show blot</v>
      </c>
      <c r="G1395" t="s">
        <v>1386</v>
      </c>
      <c r="I1395" s="6">
        <v>6.0224157126380007</v>
      </c>
      <c r="K1395" s="8"/>
    </row>
    <row r="1396" spans="1:11" ht="15" x14ac:dyDescent="0.25">
      <c r="A1396" s="3" t="str">
        <f>HYPERLINK("proteomic_fractions_linear_files/Yang_linear_img/459447369.jpg", "459447369")</f>
        <v>459447369</v>
      </c>
      <c r="C1396" s="3" t="str">
        <f>HYPERLINK("http://www.ncbi.nlm.nih.gov/protein/459447369","Cops5")</f>
        <v>Cops5</v>
      </c>
      <c r="E1396" t="str">
        <f>HYPERLINK("J:\Depot - mpkCCD Fractions\Main Web Page\Web Pages_old\proteomic_fractions_linear_files/Yang_linear_img/459447369.jpg","show blot")</f>
        <v>show blot</v>
      </c>
      <c r="G1396" t="s">
        <v>1387</v>
      </c>
      <c r="I1396" s="6">
        <v>5.7331865121529821</v>
      </c>
      <c r="K1396" s="8"/>
    </row>
    <row r="1397" spans="1:11" ht="15" x14ac:dyDescent="0.25">
      <c r="A1397" s="3" t="str">
        <f>HYPERLINK("proteomic_fractions_linear_files/Yang_linear_img/7304971.jpg", "7304971")</f>
        <v>7304971</v>
      </c>
      <c r="C1397" s="3" t="str">
        <f>HYPERLINK("http://www.ncbi.nlm.nih.gov/protein/7304971","Cops5")</f>
        <v>Cops5</v>
      </c>
      <c r="E1397" t="str">
        <f>HYPERLINK("J:\Depot - mpkCCD Fractions\Main Web Page\Web Pages_old\proteomic_fractions_linear_files/Yang_linear_img/7304971.jpg","show blot")</f>
        <v>show blot</v>
      </c>
      <c r="G1397" t="s">
        <v>1388</v>
      </c>
      <c r="I1397" s="6">
        <v>5.7331865121529821</v>
      </c>
      <c r="K1397" s="8"/>
    </row>
    <row r="1398" spans="1:11" ht="15" x14ac:dyDescent="0.25">
      <c r="A1398" s="3" t="str">
        <f>HYPERLINK("proteomic_fractions_linear_files/Yang_linear_img/33563284.jpg", "33563284")</f>
        <v>33563284</v>
      </c>
      <c r="C1398" s="3" t="str">
        <f>HYPERLINK("http://www.ncbi.nlm.nih.gov/protein/33563284","Cops6")</f>
        <v>Cops6</v>
      </c>
      <c r="E1398" t="str">
        <f>HYPERLINK("J:\Depot - mpkCCD Fractions\Main Web Page\Web Pages_old\proteomic_fractions_linear_files/Yang_linear_img/33563284.jpg","show blot")</f>
        <v>show blot</v>
      </c>
      <c r="G1398" t="s">
        <v>1389</v>
      </c>
      <c r="I1398" s="6">
        <v>5.6550706103507338</v>
      </c>
      <c r="K1398" s="8"/>
    </row>
    <row r="1399" spans="1:11" ht="15" x14ac:dyDescent="0.25">
      <c r="A1399" s="3" t="str">
        <f>HYPERLINK("proteomic_fractions_linear_files/Yang_linear_img/255760052.jpg", "255760052")</f>
        <v>255760052</v>
      </c>
      <c r="C1399" s="3" t="str">
        <f>HYPERLINK("http://www.ncbi.nlm.nih.gov/protein/255760052","Cops7a")</f>
        <v>Cops7a</v>
      </c>
      <c r="E1399" t="str">
        <f>HYPERLINK("J:\Depot - mpkCCD Fractions\Main Web Page\Web Pages_old\proteomic_fractions_linear_files/Yang_linear_img/255760052.jpg","show blot")</f>
        <v>show blot</v>
      </c>
      <c r="G1399" t="s">
        <v>1390</v>
      </c>
      <c r="I1399" s="6">
        <v>5.579542321746521</v>
      </c>
      <c r="K1399" s="8"/>
    </row>
    <row r="1400" spans="1:11" ht="15" x14ac:dyDescent="0.25">
      <c r="A1400" s="3" t="str">
        <f>HYPERLINK("proteomic_fractions_linear_files/Yang_linear_img/7242142.jpg", "7242142")</f>
        <v>7242142</v>
      </c>
      <c r="C1400" s="3" t="str">
        <f>HYPERLINK("http://www.ncbi.nlm.nih.gov/protein/7242142","Cops7a")</f>
        <v>Cops7a</v>
      </c>
      <c r="E1400" t="str">
        <f>HYPERLINK("J:\Depot - mpkCCD Fractions\Main Web Page\Web Pages_old\proteomic_fractions_linear_files/Yang_linear_img/7242142.jpg","show blot")</f>
        <v>show blot</v>
      </c>
      <c r="G1400" t="s">
        <v>1391</v>
      </c>
      <c r="I1400" s="6">
        <v>5.579542321746521</v>
      </c>
      <c r="K1400" s="8"/>
    </row>
    <row r="1401" spans="1:11" ht="15" x14ac:dyDescent="0.25">
      <c r="A1401" s="3" t="str">
        <f>HYPERLINK("proteomic_fractions_linear_files/Yang_linear_img/27764886.jpg", "27764886")</f>
        <v>27764886</v>
      </c>
      <c r="C1401" s="3" t="str">
        <f>HYPERLINK("http://www.ncbi.nlm.nih.gov/protein/27764886","Cops7b")</f>
        <v>Cops7b</v>
      </c>
      <c r="E1401" t="str">
        <f>HYPERLINK("J:\Depot - mpkCCD Fractions\Main Web Page\Web Pages_old\proteomic_fractions_linear_files/Yang_linear_img/27764886.jpg","show blot")</f>
        <v>show blot</v>
      </c>
      <c r="G1401" t="s">
        <v>1392</v>
      </c>
      <c r="I1401" s="6">
        <v>4.7820307805088733</v>
      </c>
      <c r="K1401" s="8"/>
    </row>
    <row r="1402" spans="1:11" ht="15" x14ac:dyDescent="0.25">
      <c r="A1402" s="3" t="str">
        <f>HYPERLINK("proteomic_fractions_linear_files/Yang_linear_img/114158691.jpg", "114158691")</f>
        <v>114158691</v>
      </c>
      <c r="C1402" s="3" t="str">
        <f>HYPERLINK("http://www.ncbi.nlm.nih.gov/protein/114158691","Cops8")</f>
        <v>Cops8</v>
      </c>
      <c r="E1402" t="str">
        <f>HYPERLINK("J:\Depot - mpkCCD Fractions\Main Web Page\Web Pages_old\proteomic_fractions_linear_files/Yang_linear_img/114158691.jpg","show blot")</f>
        <v>show blot</v>
      </c>
      <c r="G1402" t="s">
        <v>1393</v>
      </c>
      <c r="I1402" s="6">
        <v>5.4814675941099766</v>
      </c>
      <c r="K1402" s="8"/>
    </row>
    <row r="1403" spans="1:11" ht="15" x14ac:dyDescent="0.25">
      <c r="A1403" s="3" t="str">
        <f>HYPERLINK("proteomic_fractions_linear_files/Yang_linear_img/9789913.jpg", "9789913")</f>
        <v>9789913</v>
      </c>
      <c r="C1403" s="3" t="str">
        <f>HYPERLINK("http://www.ncbi.nlm.nih.gov/protein/9789913","Copz1")</f>
        <v>Copz1</v>
      </c>
      <c r="E1403" t="str">
        <f>HYPERLINK("J:\Depot - mpkCCD Fractions\Main Web Page\Web Pages_old\proteomic_fractions_linear_files/Yang_linear_img/9789913.jpg","show blot")</f>
        <v>show blot</v>
      </c>
      <c r="G1403" t="s">
        <v>1394</v>
      </c>
      <c r="I1403" s="6">
        <v>5.8056777534698503</v>
      </c>
      <c r="K1403" s="8"/>
    </row>
    <row r="1404" spans="1:11" ht="15" x14ac:dyDescent="0.25">
      <c r="A1404" s="3" t="str">
        <f>HYPERLINK("proteomic_fractions_linear_files/Yang_linear_img/9845242.jpg", "9845242")</f>
        <v>9845242</v>
      </c>
      <c r="C1404" s="3" t="str">
        <f>HYPERLINK("http://www.ncbi.nlm.nih.gov/protein/9845242","Copz2")</f>
        <v>Copz2</v>
      </c>
      <c r="E1404" t="str">
        <f>HYPERLINK("J:\Depot - mpkCCD Fractions\Main Web Page\Web Pages_old\proteomic_fractions_linear_files/Yang_linear_img/9845242.jpg","show blot")</f>
        <v>show blot</v>
      </c>
      <c r="G1404" t="s">
        <v>1395</v>
      </c>
      <c r="I1404" s="6">
        <v>4.1257282876132031</v>
      </c>
      <c r="K1404" s="8"/>
    </row>
    <row r="1405" spans="1:11" ht="15" x14ac:dyDescent="0.25">
      <c r="A1405" s="3" t="str">
        <f>HYPERLINK("proteomic_fractions_linear_files/Yang_linear_img/27369992.jpg", "27369992")</f>
        <v>27369992</v>
      </c>
      <c r="C1405" s="3" t="str">
        <f>HYPERLINK("http://www.ncbi.nlm.nih.gov/protein/27369992","Coq3")</f>
        <v>Coq3</v>
      </c>
      <c r="E1405" t="str">
        <f>HYPERLINK("J:\Depot - mpkCCD Fractions\Main Web Page\Web Pages_old\proteomic_fractions_linear_files/Yang_linear_img/27369992.jpg","show blot")</f>
        <v>show blot</v>
      </c>
      <c r="G1405" t="s">
        <v>1396</v>
      </c>
      <c r="I1405" s="6">
        <v>3.7111542193972893</v>
      </c>
      <c r="K1405" s="8"/>
    </row>
    <row r="1406" spans="1:11" ht="15" x14ac:dyDescent="0.25">
      <c r="A1406" s="3" t="str">
        <f>HYPERLINK("proteomic_fractions_linear_files/Yang_linear_img/30520093.jpg", "30520093")</f>
        <v>30520093</v>
      </c>
      <c r="C1406" s="3" t="str">
        <f>HYPERLINK("http://www.ncbi.nlm.nih.gov/protein/30520093","Coq4")</f>
        <v>Coq4</v>
      </c>
      <c r="E1406" t="str">
        <f>HYPERLINK("J:\Depot - mpkCCD Fractions\Main Web Page\Web Pages_old\proteomic_fractions_linear_files/Yang_linear_img/30520093.jpg","show blot")</f>
        <v>show blot</v>
      </c>
      <c r="G1406" t="s">
        <v>1397</v>
      </c>
      <c r="I1406" s="6">
        <v>3.2545712633184887</v>
      </c>
      <c r="K1406" s="8"/>
    </row>
    <row r="1407" spans="1:11" ht="15" x14ac:dyDescent="0.25">
      <c r="A1407" s="3" t="str">
        <f>HYPERLINK("proteomic_fractions_linear_files/Yang_linear_img/13385992.jpg", "13385992")</f>
        <v>13385992</v>
      </c>
      <c r="C1407" s="3" t="str">
        <f>HYPERLINK("http://www.ncbi.nlm.nih.gov/protein/13385992","Coq5")</f>
        <v>Coq5</v>
      </c>
      <c r="E1407" t="str">
        <f>HYPERLINK("J:\Depot - mpkCCD Fractions\Main Web Page\Web Pages_old\proteomic_fractions_linear_files/Yang_linear_img/13385992.jpg","show blot")</f>
        <v>show blot</v>
      </c>
      <c r="G1407" t="s">
        <v>1398</v>
      </c>
      <c r="I1407" s="6">
        <v>3.1363067774360678</v>
      </c>
      <c r="K1407" s="8"/>
    </row>
    <row r="1408" spans="1:11" ht="15" x14ac:dyDescent="0.25">
      <c r="A1408" s="3" t="str">
        <f>HYPERLINK("proteomic_fractions_linear_files/Yang_linear_img/283135186.jpg", "283135186")</f>
        <v>283135186</v>
      </c>
      <c r="C1408" s="3" t="str">
        <f>HYPERLINK("http://www.ncbi.nlm.nih.gov/protein/283135186","Coq6")</f>
        <v>Coq6</v>
      </c>
      <c r="E1408" t="str">
        <f>HYPERLINK("J:\Depot - mpkCCD Fractions\Main Web Page\Web Pages_old\proteomic_fractions_linear_files/Yang_linear_img/283135186.jpg","show blot")</f>
        <v>show blot</v>
      </c>
      <c r="G1408" t="s">
        <v>1399</v>
      </c>
      <c r="I1408" s="6">
        <v>1.8675516616129544</v>
      </c>
      <c r="K1408" s="8"/>
    </row>
    <row r="1409" spans="1:11" ht="15" x14ac:dyDescent="0.25">
      <c r="A1409" s="3" t="str">
        <f>HYPERLINK("proteomic_fractions_linear_files/Yang_linear_img/20587962.jpg", "20587962")</f>
        <v>20587962</v>
      </c>
      <c r="C1409" s="3" t="str">
        <f>HYPERLINK("http://www.ncbi.nlm.nih.gov/protein/20587962","Coq7")</f>
        <v>Coq7</v>
      </c>
      <c r="E1409" t="str">
        <f>HYPERLINK("J:\Depot - mpkCCD Fractions\Main Web Page\Web Pages_old\proteomic_fractions_linear_files/Yang_linear_img/20587962.jpg","show blot")</f>
        <v>show blot</v>
      </c>
      <c r="G1409" t="s">
        <v>1400</v>
      </c>
      <c r="I1409" s="6">
        <v>3.0800146153362755</v>
      </c>
      <c r="K1409" s="8"/>
    </row>
    <row r="1410" spans="1:11" ht="15" x14ac:dyDescent="0.25">
      <c r="A1410" s="3" t="str">
        <f>HYPERLINK("proteomic_fractions_linear_files/Yang_linear_img/33859690.jpg", "33859690")</f>
        <v>33859690</v>
      </c>
      <c r="C1410" s="3" t="str">
        <f>HYPERLINK("http://www.ncbi.nlm.nih.gov/protein/33859690","Coq9")</f>
        <v>Coq9</v>
      </c>
      <c r="E1410" t="str">
        <f>HYPERLINK("J:\Depot - mpkCCD Fractions\Main Web Page\Web Pages_old\proteomic_fractions_linear_files/Yang_linear_img/33859690.jpg","show blot")</f>
        <v>show blot</v>
      </c>
      <c r="G1410" t="s">
        <v>1401</v>
      </c>
      <c r="I1410" s="6">
        <v>4.692355602254132</v>
      </c>
      <c r="K1410" s="8"/>
    </row>
    <row r="1411" spans="1:11" ht="15" x14ac:dyDescent="0.25">
      <c r="A1411" s="3" t="str">
        <f>HYPERLINK("proteomic_fractions_linear_files/Yang_linear_img/6753494.jpg", "6753494")</f>
        <v>6753494</v>
      </c>
      <c r="C1411" s="3" t="str">
        <f>HYPERLINK("http://www.ncbi.nlm.nih.gov/protein/6753494","Coro1b")</f>
        <v>Coro1b</v>
      </c>
      <c r="E1411" t="str">
        <f>HYPERLINK("J:\Depot - mpkCCD Fractions\Main Web Page\Web Pages_old\proteomic_fractions_linear_files/Yang_linear_img/6753494.jpg","show blot")</f>
        <v>show blot</v>
      </c>
      <c r="G1411" t="s">
        <v>1402</v>
      </c>
      <c r="I1411" s="6">
        <v>6.0004472754344507</v>
      </c>
      <c r="K1411" s="8"/>
    </row>
    <row r="1412" spans="1:11" ht="15" x14ac:dyDescent="0.25">
      <c r="A1412" s="3" t="str">
        <f>HYPERLINK("proteomic_fractions_linear_files/Yang_linear_img/31542413.jpg", "31542413")</f>
        <v>31542413</v>
      </c>
      <c r="C1412" s="3" t="str">
        <f>HYPERLINK("http://www.ncbi.nlm.nih.gov/protein/31542413","Coro1c")</f>
        <v>Coro1c</v>
      </c>
      <c r="E1412" t="str">
        <f>HYPERLINK("J:\Depot - mpkCCD Fractions\Main Web Page\Web Pages_old\proteomic_fractions_linear_files/Yang_linear_img/31542413.jpg","show blot")</f>
        <v>show blot</v>
      </c>
      <c r="G1412" t="s">
        <v>1403</v>
      </c>
      <c r="I1412" s="6">
        <v>4.8424513886046938</v>
      </c>
      <c r="K1412" s="8"/>
    </row>
    <row r="1413" spans="1:11" ht="15" x14ac:dyDescent="0.25">
      <c r="A1413" s="3" t="str">
        <f>HYPERLINK("proteomic_fractions_linear_files/Yang_linear_img/258645152.jpg", "258645152")</f>
        <v>258645152</v>
      </c>
      <c r="C1413" s="3" t="str">
        <f>HYPERLINK("http://www.ncbi.nlm.nih.gov/protein/258645152","Coro2a")</f>
        <v>Coro2a</v>
      </c>
      <c r="E1413" t="str">
        <f>HYPERLINK("J:\Depot - mpkCCD Fractions\Main Web Page\Web Pages_old\proteomic_fractions_linear_files/Yang_linear_img/258645152.jpg","show blot")</f>
        <v>show blot</v>
      </c>
      <c r="G1413" t="s">
        <v>1404</v>
      </c>
      <c r="I1413" s="6">
        <v>4.4675962773344073</v>
      </c>
      <c r="K1413" s="8"/>
    </row>
    <row r="1414" spans="1:11" ht="15" x14ac:dyDescent="0.25">
      <c r="A1414" s="3" t="str">
        <f>HYPERLINK("proteomic_fractions_linear_files/Yang_linear_img/404501474.jpg", "404501474")</f>
        <v>404501474</v>
      </c>
      <c r="C1414" s="3" t="str">
        <f>HYPERLINK("http://www.ncbi.nlm.nih.gov/protein/404501474","Coro2a")</f>
        <v>Coro2a</v>
      </c>
      <c r="E1414" t="str">
        <f>HYPERLINK("J:\Depot - mpkCCD Fractions\Main Web Page\Web Pages_old\proteomic_fractions_linear_files/Yang_linear_img/404501474.jpg","show blot")</f>
        <v>show blot</v>
      </c>
      <c r="G1414" t="s">
        <v>1405</v>
      </c>
      <c r="I1414" s="6">
        <v>4.4675962773344073</v>
      </c>
      <c r="K1414" s="8"/>
    </row>
    <row r="1415" spans="1:11" ht="15" x14ac:dyDescent="0.25">
      <c r="A1415" s="3" t="str">
        <f>HYPERLINK("proteomic_fractions_linear_files/Yang_linear_img/148747331.jpg", "148747331")</f>
        <v>148747331</v>
      </c>
      <c r="C1415" s="3" t="str">
        <f>HYPERLINK("http://www.ncbi.nlm.nih.gov/protein/148747331","Coro7")</f>
        <v>Coro7</v>
      </c>
      <c r="E1415" t="str">
        <f>HYPERLINK("J:\Depot - mpkCCD Fractions\Main Web Page\Web Pages_old\proteomic_fractions_linear_files/Yang_linear_img/148747331.jpg","show blot")</f>
        <v>show blot</v>
      </c>
      <c r="G1415" t="s">
        <v>1406</v>
      </c>
      <c r="I1415" s="6">
        <v>4.9195699966543502</v>
      </c>
      <c r="K1415" s="8"/>
    </row>
    <row r="1416" spans="1:11" ht="15" x14ac:dyDescent="0.25">
      <c r="A1416" s="3" t="str">
        <f>HYPERLINK("proteomic_fractions_linear_files/Yang_linear_img/19482160.jpg", "19482160")</f>
        <v>19482160</v>
      </c>
      <c r="C1416" s="3" t="str">
        <f>HYPERLINK("http://www.ncbi.nlm.nih.gov/protein/19482160","Cotl1")</f>
        <v>Cotl1</v>
      </c>
      <c r="E1416" t="str">
        <f>HYPERLINK("J:\Depot - mpkCCD Fractions\Main Web Page\Web Pages_old\proteomic_fractions_linear_files/Yang_linear_img/19482160.jpg","show blot")</f>
        <v>show blot</v>
      </c>
      <c r="G1416" t="s">
        <v>1407</v>
      </c>
      <c r="I1416" s="6">
        <v>5.7442649383408639</v>
      </c>
      <c r="K1416" s="8"/>
    </row>
    <row r="1417" spans="1:11" ht="15" x14ac:dyDescent="0.25">
      <c r="A1417" s="3" t="str">
        <f>HYPERLINK("proteomic_fractions_linear_files/Yang_linear_img/167716839.jpg", "167716839")</f>
        <v>167716839</v>
      </c>
      <c r="C1417" s="3" t="str">
        <f>HYPERLINK("http://www.ncbi.nlm.nih.gov/protein/167716839","COX1")</f>
        <v>COX1</v>
      </c>
      <c r="E1417" t="str">
        <f>HYPERLINK("J:\Depot - mpkCCD Fractions\Main Web Page\Web Pages_old\proteomic_fractions_linear_files/Yang_linear_img/167716839.jpg","show blot")</f>
        <v>show blot</v>
      </c>
      <c r="G1417" t="s">
        <v>1408</v>
      </c>
      <c r="I1417" s="6">
        <v>4.2283193937345382</v>
      </c>
      <c r="K1417" s="8"/>
    </row>
    <row r="1418" spans="1:11" ht="15" x14ac:dyDescent="0.25">
      <c r="A1418" s="3" t="str">
        <f>HYPERLINK("proteomic_fractions_linear_files/Yang_linear_img/34538600.jpg", "34538600")</f>
        <v>34538600</v>
      </c>
      <c r="C1418" s="3" t="str">
        <f>HYPERLINK("http://www.ncbi.nlm.nih.gov/protein/34538600","COX1")</f>
        <v>COX1</v>
      </c>
      <c r="E1418" t="str">
        <f>HYPERLINK("J:\Depot - mpkCCD Fractions\Main Web Page\Web Pages_old\proteomic_fractions_linear_files/Yang_linear_img/34538600.jpg","show blot")</f>
        <v>show blot</v>
      </c>
      <c r="G1418" t="s">
        <v>1409</v>
      </c>
      <c r="I1418" s="6">
        <v>4.2283193937345382</v>
      </c>
      <c r="K1418" s="8"/>
    </row>
    <row r="1419" spans="1:11" ht="15" x14ac:dyDescent="0.25">
      <c r="A1419" s="3" t="str">
        <f>HYPERLINK("proteomic_fractions_linear_files/Yang_linear_img/39841021.jpg", "39841021")</f>
        <v>39841021</v>
      </c>
      <c r="C1419" s="3" t="str">
        <f>HYPERLINK("http://www.ncbi.nlm.nih.gov/protein/39841021","Cox11")</f>
        <v>Cox11</v>
      </c>
      <c r="E1419" t="str">
        <f>HYPERLINK("J:\Depot - mpkCCD Fractions\Main Web Page\Web Pages_old\proteomic_fractions_linear_files/Yang_linear_img/39841021.jpg","show blot")</f>
        <v>show blot</v>
      </c>
      <c r="G1419" t="s">
        <v>1410</v>
      </c>
      <c r="I1419" s="6">
        <v>2.8404648944958022</v>
      </c>
      <c r="K1419" s="8"/>
    </row>
    <row r="1420" spans="1:11" ht="15" x14ac:dyDescent="0.25">
      <c r="A1420" s="3" t="str">
        <f>HYPERLINK("proteomic_fractions_linear_files/Yang_linear_img/31541932.jpg", "31541932")</f>
        <v>31541932</v>
      </c>
      <c r="C1420" s="3" t="str">
        <f>HYPERLINK("http://www.ncbi.nlm.nih.gov/protein/31541932","Cox15")</f>
        <v>Cox15</v>
      </c>
      <c r="E1420" t="str">
        <f>HYPERLINK("J:\Depot - mpkCCD Fractions\Main Web Page\Web Pages_old\proteomic_fractions_linear_files/Yang_linear_img/31541932.jpg","show blot")</f>
        <v>show blot</v>
      </c>
      <c r="G1420" t="s">
        <v>1411</v>
      </c>
      <c r="I1420" s="6">
        <v>3.7922668316804997</v>
      </c>
      <c r="K1420" s="8"/>
    </row>
    <row r="1421" spans="1:11" ht="15" x14ac:dyDescent="0.25">
      <c r="A1421" s="3" t="str">
        <f>HYPERLINK("proteomic_fractions_linear_files/Yang_linear_img/13384872.jpg", "13384872")</f>
        <v>13384872</v>
      </c>
      <c r="C1421" s="3" t="str">
        <f>HYPERLINK("http://www.ncbi.nlm.nih.gov/protein/13384872","Cox16")</f>
        <v>Cox16</v>
      </c>
      <c r="E1421" t="str">
        <f>HYPERLINK("J:\Depot - mpkCCD Fractions\Main Web Page\Web Pages_old\proteomic_fractions_linear_files/Yang_linear_img/13384872.jpg","show blot")</f>
        <v>show blot</v>
      </c>
      <c r="G1421" t="s">
        <v>1412</v>
      </c>
      <c r="I1421" s="6">
        <v>3.6105831073620567</v>
      </c>
      <c r="K1421" s="8"/>
    </row>
    <row r="1422" spans="1:11" ht="15" x14ac:dyDescent="0.25">
      <c r="A1422" s="3" t="str">
        <f>HYPERLINK("proteomic_fractions_linear_files/Yang_linear_img/62945234.jpg", "62945234")</f>
        <v>62945234</v>
      </c>
      <c r="C1422" s="3" t="str">
        <f>HYPERLINK("http://www.ncbi.nlm.nih.gov/protein/62945234","Cox17")</f>
        <v>Cox17</v>
      </c>
      <c r="E1422" t="str">
        <f>HYPERLINK("J:\Depot - mpkCCD Fractions\Main Web Page\Web Pages_old\proteomic_fractions_linear_files/Yang_linear_img/62945234.jpg","show blot")</f>
        <v>show blot</v>
      </c>
      <c r="G1422" t="s">
        <v>1413</v>
      </c>
      <c r="I1422" s="6">
        <v>4.132123967879795</v>
      </c>
      <c r="K1422" s="8"/>
    </row>
    <row r="1423" spans="1:11" ht="15" x14ac:dyDescent="0.25">
      <c r="A1423" s="3" t="str">
        <f>HYPERLINK("proteomic_fractions_linear_files/Yang_linear_img/167716840.jpg", "167716840")</f>
        <v>167716840</v>
      </c>
      <c r="C1423" s="3" t="str">
        <f>HYPERLINK("http://www.ncbi.nlm.nih.gov/protein/167716840","COX2")</f>
        <v>COX2</v>
      </c>
      <c r="E1423" t="str">
        <f>HYPERLINK("J:\Depot - mpkCCD Fractions\Main Web Page\Web Pages_old\proteomic_fractions_linear_files/Yang_linear_img/167716840.jpg","show blot")</f>
        <v>show blot</v>
      </c>
      <c r="G1423" t="s">
        <v>1414</v>
      </c>
      <c r="I1423" s="6">
        <v>6.4689711264164522</v>
      </c>
      <c r="K1423" s="8"/>
    </row>
    <row r="1424" spans="1:11" ht="15" x14ac:dyDescent="0.25">
      <c r="A1424" s="3" t="str">
        <f>HYPERLINK("proteomic_fractions_linear_files/Yang_linear_img/34538601.jpg", "34538601")</f>
        <v>34538601</v>
      </c>
      <c r="C1424" s="3" t="str">
        <f>HYPERLINK("http://www.ncbi.nlm.nih.gov/protein/34538601","COX2")</f>
        <v>COX2</v>
      </c>
      <c r="E1424" t="str">
        <f>HYPERLINK("J:\Depot - mpkCCD Fractions\Main Web Page\Web Pages_old\proteomic_fractions_linear_files/Yang_linear_img/34538601.jpg","show blot")</f>
        <v>show blot</v>
      </c>
      <c r="G1424" t="s">
        <v>1415</v>
      </c>
      <c r="I1424" s="6">
        <v>6.4689711264164522</v>
      </c>
      <c r="K1424" s="8"/>
    </row>
    <row r="1425" spans="1:11" ht="15" x14ac:dyDescent="0.25">
      <c r="A1425" s="3" t="str">
        <f>HYPERLINK("proteomic_fractions_linear_files/Yang_linear_img/21313516.jpg", "21313516")</f>
        <v>21313516</v>
      </c>
      <c r="C1425" s="3" t="str">
        <f>HYPERLINK("http://www.ncbi.nlm.nih.gov/protein/21313516","Cox20")</f>
        <v>Cox20</v>
      </c>
      <c r="E1425" t="str">
        <f>HYPERLINK("J:\Depot - mpkCCD Fractions\Main Web Page\Web Pages_old\proteomic_fractions_linear_files/Yang_linear_img/21313516.jpg","show blot")</f>
        <v>show blot</v>
      </c>
      <c r="G1425" t="s">
        <v>1416</v>
      </c>
      <c r="I1425" s="6">
        <v>4.4691814139732724</v>
      </c>
      <c r="K1425" s="8"/>
    </row>
    <row r="1426" spans="1:11" ht="15" x14ac:dyDescent="0.25">
      <c r="A1426" s="3" t="str">
        <f>HYPERLINK("proteomic_fractions_linear_files/Yang_linear_img/226453481.jpg", "226453481")</f>
        <v>226453481</v>
      </c>
      <c r="C1426" s="3" t="str">
        <f>HYPERLINK("http://www.ncbi.nlm.nih.gov/protein/226453481","COX3")</f>
        <v>COX3</v>
      </c>
      <c r="E1426" t="str">
        <f>HYPERLINK("J:\Depot - mpkCCD Fractions\Main Web Page\Web Pages_old\proteomic_fractions_linear_files/Yang_linear_img/226453481.jpg","show blot")</f>
        <v>show blot</v>
      </c>
      <c r="G1426" t="s">
        <v>1417</v>
      </c>
      <c r="I1426" s="6">
        <v>4.4442245540004119</v>
      </c>
      <c r="K1426" s="8"/>
    </row>
    <row r="1427" spans="1:11" ht="15" x14ac:dyDescent="0.25">
      <c r="A1427" s="3" t="str">
        <f>HYPERLINK("proteomic_fractions_linear_files/Yang_linear_img/34538604.jpg", "34538604")</f>
        <v>34538604</v>
      </c>
      <c r="C1427" s="3" t="str">
        <f>HYPERLINK("http://www.ncbi.nlm.nih.gov/protein/34538604","COX3")</f>
        <v>COX3</v>
      </c>
      <c r="E1427" t="str">
        <f>HYPERLINK("J:\Depot - mpkCCD Fractions\Main Web Page\Web Pages_old\proteomic_fractions_linear_files/Yang_linear_img/34538604.jpg","show blot")</f>
        <v>show blot</v>
      </c>
      <c r="G1427" t="s">
        <v>1418</v>
      </c>
      <c r="I1427" s="6">
        <v>4.4442245540004119</v>
      </c>
      <c r="K1427" s="8"/>
    </row>
    <row r="1428" spans="1:11" ht="15" x14ac:dyDescent="0.25">
      <c r="A1428" s="3" t="str">
        <f>HYPERLINK("proteomic_fractions_linear_files/Yang_linear_img/6753498.jpg", "6753498")</f>
        <v>6753498</v>
      </c>
      <c r="C1428" s="3" t="str">
        <f>HYPERLINK("http://www.ncbi.nlm.nih.gov/protein/6753498","Cox4i1")</f>
        <v>Cox4i1</v>
      </c>
      <c r="E1428" t="str">
        <f>HYPERLINK("J:\Depot - mpkCCD Fractions\Main Web Page\Web Pages_old\proteomic_fractions_linear_files/Yang_linear_img/6753498.jpg","show blot")</f>
        <v>show blot</v>
      </c>
      <c r="G1428" t="s">
        <v>1419</v>
      </c>
      <c r="I1428" s="6">
        <v>6.3216695488887433</v>
      </c>
      <c r="K1428" s="8"/>
    </row>
    <row r="1429" spans="1:11" ht="15" x14ac:dyDescent="0.25">
      <c r="A1429" s="3" t="str">
        <f>HYPERLINK("proteomic_fractions_linear_files/Yang_linear_img/112181182.jpg", "112181182")</f>
        <v>112181182</v>
      </c>
      <c r="C1429" s="3" t="str">
        <f>HYPERLINK("http://www.ncbi.nlm.nih.gov/protein/112181182","Cox5a")</f>
        <v>Cox5a</v>
      </c>
      <c r="E1429" t="str">
        <f>HYPERLINK("J:\Depot - mpkCCD Fractions\Main Web Page\Web Pages_old\proteomic_fractions_linear_files/Yang_linear_img/112181182.jpg","show blot")</f>
        <v>show blot</v>
      </c>
      <c r="G1429" t="s">
        <v>1420</v>
      </c>
      <c r="I1429" s="6">
        <v>5.9830872280424368</v>
      </c>
      <c r="K1429" s="8"/>
    </row>
    <row r="1430" spans="1:11" ht="15" x14ac:dyDescent="0.25">
      <c r="A1430" s="3" t="str">
        <f>HYPERLINK("proteomic_fractions_linear_files/Yang_linear_img/13385090.jpg", "13385090")</f>
        <v>13385090</v>
      </c>
      <c r="C1430" s="3" t="str">
        <f>HYPERLINK("http://www.ncbi.nlm.nih.gov/protein/13385090","Cox6b1")</f>
        <v>Cox6b1</v>
      </c>
      <c r="E1430" t="str">
        <f>HYPERLINK("J:\Depot - mpkCCD Fractions\Main Web Page\Web Pages_old\proteomic_fractions_linear_files/Yang_linear_img/13385090.jpg","show blot")</f>
        <v>show blot</v>
      </c>
      <c r="G1430" t="s">
        <v>1421</v>
      </c>
      <c r="I1430" s="6">
        <v>5.9516110488869467</v>
      </c>
      <c r="K1430" s="8"/>
    </row>
    <row r="1431" spans="1:11" ht="15" x14ac:dyDescent="0.25">
      <c r="A1431" s="3" t="str">
        <f>HYPERLINK("proteomic_fractions_linear_files/Yang_linear_img/16716343.jpg", "16716343")</f>
        <v>16716343</v>
      </c>
      <c r="C1431" s="3" t="str">
        <f>HYPERLINK("http://www.ncbi.nlm.nih.gov/protein/16716343","Cox6c")</f>
        <v>Cox6c</v>
      </c>
      <c r="E1431" t="str">
        <f>HYPERLINK("J:\Depot - mpkCCD Fractions\Main Web Page\Web Pages_old\proteomic_fractions_linear_files/Yang_linear_img/16716343.jpg","show blot")</f>
        <v>show blot</v>
      </c>
      <c r="G1431" t="s">
        <v>1422</v>
      </c>
      <c r="I1431" s="6">
        <v>6.5430218179631128</v>
      </c>
      <c r="K1431" s="8"/>
    </row>
    <row r="1432" spans="1:11" ht="15" x14ac:dyDescent="0.25">
      <c r="A1432" s="3" t="str">
        <f>HYPERLINK("proteomic_fractions_linear_files/Yang_linear_img/31981830.jpg", "31981830")</f>
        <v>31981830</v>
      </c>
      <c r="C1432" s="3" t="str">
        <f>HYPERLINK("http://www.ncbi.nlm.nih.gov/protein/31981830","Cox7a2")</f>
        <v>Cox7a2</v>
      </c>
      <c r="E1432" t="str">
        <f>HYPERLINK("J:\Depot - mpkCCD Fractions\Main Web Page\Web Pages_old\proteomic_fractions_linear_files/Yang_linear_img/31981830.jpg","show blot")</f>
        <v>show blot</v>
      </c>
      <c r="G1432" t="s">
        <v>1423</v>
      </c>
      <c r="I1432" s="6">
        <v>6.2239229690375213</v>
      </c>
      <c r="K1432" s="8"/>
    </row>
    <row r="1433" spans="1:11" ht="15" x14ac:dyDescent="0.25">
      <c r="A1433" s="3" t="str">
        <f>HYPERLINK("proteomic_fractions_linear_files/Yang_linear_img/226958512.jpg", "226958512")</f>
        <v>226958512</v>
      </c>
      <c r="C1433" s="3" t="str">
        <f>HYPERLINK("http://www.ncbi.nlm.nih.gov/protein/226958512","Cox7a2l")</f>
        <v>Cox7a2l</v>
      </c>
      <c r="E1433" t="str">
        <f>HYPERLINK("J:\Depot - mpkCCD Fractions\Main Web Page\Web Pages_old\proteomic_fractions_linear_files/Yang_linear_img/226958512.jpg","show blot")</f>
        <v>show blot</v>
      </c>
      <c r="G1433" t="s">
        <v>1424</v>
      </c>
      <c r="I1433" s="6">
        <v>4.3271619371652426</v>
      </c>
      <c r="K1433" s="8"/>
    </row>
    <row r="1434" spans="1:11" ht="15" x14ac:dyDescent="0.25">
      <c r="A1434" s="3" t="str">
        <f>HYPERLINK("proteomic_fractions_linear_files/Yang_linear_img/6677977.jpg", "6677977")</f>
        <v>6677977</v>
      </c>
      <c r="C1434" s="3" t="str">
        <f>HYPERLINK("http://www.ncbi.nlm.nih.gov/protein/6677977","Cox7a2l")</f>
        <v>Cox7a2l</v>
      </c>
      <c r="E1434" t="str">
        <f>HYPERLINK("J:\Depot - mpkCCD Fractions\Main Web Page\Web Pages_old\proteomic_fractions_linear_files/Yang_linear_img/6677977.jpg","show blot")</f>
        <v>show blot</v>
      </c>
      <c r="G1434" t="s">
        <v>1425</v>
      </c>
      <c r="I1434" s="6">
        <v>4.3271619371652426</v>
      </c>
      <c r="K1434" s="8"/>
    </row>
    <row r="1435" spans="1:11" ht="15" x14ac:dyDescent="0.25">
      <c r="A1435" s="3" t="str">
        <f>HYPERLINK("proteomic_fractions_linear_files/Yang_linear_img/13384754.jpg", "13384754")</f>
        <v>13384754</v>
      </c>
      <c r="C1435" s="3" t="str">
        <f>HYPERLINK("http://www.ncbi.nlm.nih.gov/protein/13384754","Cox7b")</f>
        <v>Cox7b</v>
      </c>
      <c r="E1435" t="str">
        <f>HYPERLINK("J:\Depot - mpkCCD Fractions\Main Web Page\Web Pages_old\proteomic_fractions_linear_files/Yang_linear_img/13384754.jpg","show blot")</f>
        <v>show blot</v>
      </c>
      <c r="G1435" t="s">
        <v>1426</v>
      </c>
      <c r="I1435" s="6">
        <v>2.6035052322021435</v>
      </c>
      <c r="K1435" s="8"/>
    </row>
    <row r="1436" spans="1:11" ht="15" x14ac:dyDescent="0.25">
      <c r="A1436" s="3" t="str">
        <f>HYPERLINK("proteomic_fractions_linear_files/Yang_linear_img/150378501.jpg", "150378501")</f>
        <v>150378501</v>
      </c>
      <c r="C1436" s="3" t="str">
        <f>HYPERLINK("http://www.ncbi.nlm.nih.gov/protein/150378501","Cpd")</f>
        <v>Cpd</v>
      </c>
      <c r="E1436" t="str">
        <f>HYPERLINK("J:\Depot - mpkCCD Fractions\Main Web Page\Web Pages_old\proteomic_fractions_linear_files/Yang_linear_img/150378501.jpg","show blot")</f>
        <v>show blot</v>
      </c>
      <c r="G1436" t="s">
        <v>1427</v>
      </c>
      <c r="I1436" s="6">
        <v>4.5820641863652769</v>
      </c>
      <c r="K1436" s="8"/>
    </row>
    <row r="1437" spans="1:11" ht="15" x14ac:dyDescent="0.25">
      <c r="A1437" s="3" t="str">
        <f>HYPERLINK("proteomic_fractions_linear_files/Yang_linear_img/22203763.jpg", "22203763")</f>
        <v>22203763</v>
      </c>
      <c r="C1437" s="3" t="str">
        <f>HYPERLINK("http://www.ncbi.nlm.nih.gov/protein/22203763","Cpe")</f>
        <v>Cpe</v>
      </c>
      <c r="E1437" t="str">
        <f>HYPERLINK("J:\Depot - mpkCCD Fractions\Main Web Page\Web Pages_old\proteomic_fractions_linear_files/Yang_linear_img/22203763.jpg","show blot")</f>
        <v>show blot</v>
      </c>
      <c r="G1437" t="s">
        <v>1428</v>
      </c>
      <c r="I1437" s="6">
        <v>3.2245330626060857</v>
      </c>
      <c r="K1437" s="8"/>
    </row>
    <row r="1438" spans="1:11" ht="15" x14ac:dyDescent="0.25">
      <c r="A1438" s="3" t="str">
        <f>HYPERLINK("proteomic_fractions_linear_files/Yang_linear_img/293651586.jpg", "293651586")</f>
        <v>293651586</v>
      </c>
      <c r="C1438" s="3" t="str">
        <f>HYPERLINK("http://www.ncbi.nlm.nih.gov/protein/293651586","Cpeb2")</f>
        <v>Cpeb2</v>
      </c>
      <c r="E1438" t="str">
        <f>HYPERLINK("J:\Depot - mpkCCD Fractions\Main Web Page\Web Pages_old\proteomic_fractions_linear_files/Yang_linear_img/293651586.jpg","show blot")</f>
        <v>show blot</v>
      </c>
      <c r="G1438" t="s">
        <v>1429</v>
      </c>
      <c r="I1438" s="6">
        <v>1.7997998773461117</v>
      </c>
      <c r="K1438" s="8"/>
    </row>
    <row r="1439" spans="1:11" ht="15" x14ac:dyDescent="0.25">
      <c r="A1439" s="3" t="str">
        <f>HYPERLINK("proteomic_fractions_linear_files/Yang_linear_img/293651589.jpg", "293651589")</f>
        <v>293651589</v>
      </c>
      <c r="C1439" s="3" t="str">
        <f>HYPERLINK("http://www.ncbi.nlm.nih.gov/protein/293651589","Cpeb2")</f>
        <v>Cpeb2</v>
      </c>
      <c r="E1439" t="str">
        <f>HYPERLINK("J:\Depot - mpkCCD Fractions\Main Web Page\Web Pages_old\proteomic_fractions_linear_files/Yang_linear_img/293651589.jpg","show blot")</f>
        <v>show blot</v>
      </c>
      <c r="G1439" t="s">
        <v>1430</v>
      </c>
      <c r="I1439" s="6">
        <v>1.7997998773461117</v>
      </c>
      <c r="K1439" s="8"/>
    </row>
    <row r="1440" spans="1:11" ht="15" x14ac:dyDescent="0.25">
      <c r="A1440" s="3" t="str">
        <f>HYPERLINK("proteomic_fractions_linear_files/Yang_linear_img/84370380.jpg", "84370380")</f>
        <v>84370380</v>
      </c>
      <c r="C1440" s="3" t="str">
        <f>HYPERLINK("http://www.ncbi.nlm.nih.gov/protein/84370380","Cpeb3")</f>
        <v>Cpeb3</v>
      </c>
      <c r="E1440" t="str">
        <f>HYPERLINK("J:\Depot - mpkCCD Fractions\Main Web Page\Web Pages_old\proteomic_fractions_linear_files/Yang_linear_img/84370380.jpg","show blot")</f>
        <v>show blot</v>
      </c>
      <c r="G1440" t="s">
        <v>1431</v>
      </c>
      <c r="I1440" s="6">
        <v>1.9288945737255692</v>
      </c>
      <c r="K1440" s="8"/>
    </row>
    <row r="1441" spans="1:11" ht="15" x14ac:dyDescent="0.25">
      <c r="A1441" s="3" t="str">
        <f>HYPERLINK("proteomic_fractions_linear_files/Yang_linear_img/52138749.jpg", "52138749")</f>
        <v>52138749</v>
      </c>
      <c r="C1441" s="3" t="str">
        <f>HYPERLINK("http://www.ncbi.nlm.nih.gov/protein/52138749","Cpeb4")</f>
        <v>Cpeb4</v>
      </c>
      <c r="E1441" t="str">
        <f>HYPERLINK("J:\Depot - mpkCCD Fractions\Main Web Page\Web Pages_old\proteomic_fractions_linear_files/Yang_linear_img/52138749.jpg","show blot")</f>
        <v>show blot</v>
      </c>
      <c r="G1441" t="s">
        <v>1432</v>
      </c>
      <c r="I1441" s="6">
        <v>1.917899189424106</v>
      </c>
      <c r="K1441" s="8"/>
    </row>
    <row r="1442" spans="1:11" ht="15" x14ac:dyDescent="0.25">
      <c r="A1442" s="3" t="str">
        <f>HYPERLINK("proteomic_fractions_linear_files/Yang_linear_img/189458849.jpg", "189458849")</f>
        <v>189458849</v>
      </c>
      <c r="C1442" s="3" t="str">
        <f>HYPERLINK("http://www.ncbi.nlm.nih.gov/protein/189458849","Cpm")</f>
        <v>Cpm</v>
      </c>
      <c r="E1442" t="str">
        <f>HYPERLINK("J:\Depot - mpkCCD Fractions\Main Web Page\Web Pages_old\proteomic_fractions_linear_files/Yang_linear_img/189458849.jpg","show blot")</f>
        <v>show blot</v>
      </c>
      <c r="G1442" t="s">
        <v>1433</v>
      </c>
      <c r="I1442" s="6">
        <v>3.8662686150529435</v>
      </c>
      <c r="K1442" s="8"/>
    </row>
    <row r="1443" spans="1:11" ht="15" x14ac:dyDescent="0.25">
      <c r="A1443" s="3" t="str">
        <f>HYPERLINK("proteomic_fractions_linear_files/Yang_linear_img/25141330.jpg", "25141330")</f>
        <v>25141330</v>
      </c>
      <c r="C1443" s="3" t="str">
        <f>HYPERLINK("http://www.ncbi.nlm.nih.gov/protein/25141330","Cpne1")</f>
        <v>Cpne1</v>
      </c>
      <c r="E1443" t="str">
        <f>HYPERLINK("J:\Depot - mpkCCD Fractions\Main Web Page\Web Pages_old\proteomic_fractions_linear_files/Yang_linear_img/25141330.jpg","show blot")</f>
        <v>show blot</v>
      </c>
      <c r="G1443" t="s">
        <v>1434</v>
      </c>
      <c r="I1443" s="6">
        <v>5.0891610075914384</v>
      </c>
      <c r="K1443" s="8"/>
    </row>
    <row r="1444" spans="1:11" ht="15" x14ac:dyDescent="0.25">
      <c r="A1444" s="3" t="str">
        <f>HYPERLINK("proteomic_fractions_linear_files/Yang_linear_img/23943807.jpg", "23943807")</f>
        <v>23943807</v>
      </c>
      <c r="C1444" s="3" t="str">
        <f>HYPERLINK("http://www.ncbi.nlm.nih.gov/protein/23943807","Cpne2")</f>
        <v>Cpne2</v>
      </c>
      <c r="E1444" t="str">
        <f>HYPERLINK("J:\Depot - mpkCCD Fractions\Main Web Page\Web Pages_old\proteomic_fractions_linear_files/Yang_linear_img/23943807.jpg","show blot")</f>
        <v>show blot</v>
      </c>
      <c r="G1444" t="s">
        <v>1435</v>
      </c>
      <c r="I1444" s="6">
        <v>4.9379697827515603</v>
      </c>
      <c r="K1444" s="8"/>
    </row>
    <row r="1445" spans="1:11" ht="15" x14ac:dyDescent="0.25">
      <c r="A1445" s="3" t="str">
        <f>HYPERLINK("proteomic_fractions_linear_files/Yang_linear_img/25141335.jpg", "25141335")</f>
        <v>25141335</v>
      </c>
      <c r="C1445" s="3" t="str">
        <f>HYPERLINK("http://www.ncbi.nlm.nih.gov/protein/25141335","Cpne3")</f>
        <v>Cpne3</v>
      </c>
      <c r="E1445" t="str">
        <f>HYPERLINK("J:\Depot - mpkCCD Fractions\Main Web Page\Web Pages_old\proteomic_fractions_linear_files/Yang_linear_img/25141335.jpg","show blot")</f>
        <v>show blot</v>
      </c>
      <c r="G1445" t="s">
        <v>1436</v>
      </c>
      <c r="I1445" s="6">
        <v>5.2891365355129247</v>
      </c>
      <c r="K1445" s="8"/>
    </row>
    <row r="1446" spans="1:11" ht="15" x14ac:dyDescent="0.25">
      <c r="A1446" s="3" t="str">
        <f>HYPERLINK("proteomic_fractions_linear_files/Yang_linear_img/58037333.jpg", "58037333")</f>
        <v>58037333</v>
      </c>
      <c r="C1446" s="3" t="str">
        <f>HYPERLINK("http://www.ncbi.nlm.nih.gov/protein/58037333","Cpne4")</f>
        <v>Cpne4</v>
      </c>
      <c r="E1446" t="str">
        <f>HYPERLINK("J:\Depot - mpkCCD Fractions\Main Web Page\Web Pages_old\proteomic_fractions_linear_files/Yang_linear_img/58037333.jpg","show blot")</f>
        <v>show blot</v>
      </c>
      <c r="G1446" t="s">
        <v>1437</v>
      </c>
      <c r="I1446" s="6">
        <v>4.6062537005156718</v>
      </c>
      <c r="K1446" s="8"/>
    </row>
    <row r="1447" spans="1:11" ht="15" x14ac:dyDescent="0.25">
      <c r="A1447" s="3" t="str">
        <f>HYPERLINK("proteomic_fractions_linear_files/Yang_linear_img/23346611.jpg", "23346611")</f>
        <v>23346611</v>
      </c>
      <c r="C1447" s="3" t="str">
        <f>HYPERLINK("http://www.ncbi.nlm.nih.gov/protein/23346611","Cpne5")</f>
        <v>Cpne5</v>
      </c>
      <c r="E1447" t="str">
        <f>HYPERLINK("J:\Depot - mpkCCD Fractions\Main Web Page\Web Pages_old\proteomic_fractions_linear_files/Yang_linear_img/23346611.jpg","show blot")</f>
        <v>show blot</v>
      </c>
      <c r="G1447" t="s">
        <v>1438</v>
      </c>
      <c r="I1447" s="6">
        <v>4.6412755742056957</v>
      </c>
      <c r="K1447" s="8"/>
    </row>
    <row r="1448" spans="1:11" ht="15" x14ac:dyDescent="0.25">
      <c r="A1448" s="3" t="str">
        <f>HYPERLINK("proteomic_fractions_linear_files/Yang_linear_img/226052679.jpg", "226052679")</f>
        <v>226052679</v>
      </c>
      <c r="C1448" s="3" t="str">
        <f>HYPERLINK("http://www.ncbi.nlm.nih.gov/protein/226052679","Cpne6")</f>
        <v>Cpne6</v>
      </c>
      <c r="E1448" t="str">
        <f>HYPERLINK("J:\Depot - mpkCCD Fractions\Main Web Page\Web Pages_old\proteomic_fractions_linear_files/Yang_linear_img/226052679.jpg","show blot")</f>
        <v>show blot</v>
      </c>
      <c r="G1448" t="s">
        <v>1439</v>
      </c>
      <c r="I1448" s="6">
        <v>4.6062537005156718</v>
      </c>
      <c r="K1448" s="8"/>
    </row>
    <row r="1449" spans="1:11" ht="15" x14ac:dyDescent="0.25">
      <c r="A1449" s="3" t="str">
        <f>HYPERLINK("proteomic_fractions_linear_files/Yang_linear_img/6753510.jpg", "6753510")</f>
        <v>6753510</v>
      </c>
      <c r="C1449" s="3" t="str">
        <f>HYPERLINK("http://www.ncbi.nlm.nih.gov/protein/6753510","Cpne6")</f>
        <v>Cpne6</v>
      </c>
      <c r="E1449" t="str">
        <f>HYPERLINK("J:\Depot - mpkCCD Fractions\Main Web Page\Web Pages_old\proteomic_fractions_linear_files/Yang_linear_img/6753510.jpg","show blot")</f>
        <v>show blot</v>
      </c>
      <c r="G1449" t="s">
        <v>1440</v>
      </c>
      <c r="I1449" s="6">
        <v>4.6062537005156718</v>
      </c>
      <c r="K1449" s="8"/>
    </row>
    <row r="1450" spans="1:11" ht="15" x14ac:dyDescent="0.25">
      <c r="A1450" s="3" t="str">
        <f>HYPERLINK("proteomic_fractions_linear_files/Yang_linear_img/25470894.jpg", "25470894")</f>
        <v>25470894</v>
      </c>
      <c r="C1450" s="3" t="str">
        <f>HYPERLINK("http://www.ncbi.nlm.nih.gov/protein/25470894","Cpne7")</f>
        <v>Cpne7</v>
      </c>
      <c r="E1450" t="str">
        <f>HYPERLINK("J:\Depot - mpkCCD Fractions\Main Web Page\Web Pages_old\proteomic_fractions_linear_files/Yang_linear_img/25470894.jpg","show blot")</f>
        <v>show blot</v>
      </c>
      <c r="G1450" t="s">
        <v>1441</v>
      </c>
      <c r="I1450" s="6">
        <v>4.6062537005156718</v>
      </c>
      <c r="K1450" s="8"/>
    </row>
    <row r="1451" spans="1:11" ht="15" x14ac:dyDescent="0.25">
      <c r="A1451" s="3" t="str">
        <f>HYPERLINK("proteomic_fractions_linear_files/Yang_linear_img/76563928.jpg", "76563928")</f>
        <v>76563928</v>
      </c>
      <c r="C1451" s="3" t="str">
        <f>HYPERLINK("http://www.ncbi.nlm.nih.gov/protein/76563928","Cpne8")</f>
        <v>Cpne8</v>
      </c>
      <c r="E1451" t="str">
        <f>HYPERLINK("J:\Depot - mpkCCD Fractions\Main Web Page\Web Pages_old\proteomic_fractions_linear_files/Yang_linear_img/76563928.jpg","show blot")</f>
        <v>show blot</v>
      </c>
      <c r="G1451" t="s">
        <v>1442</v>
      </c>
      <c r="I1451" s="6">
        <v>5.5573594367891896</v>
      </c>
      <c r="K1451" s="8"/>
    </row>
    <row r="1452" spans="1:11" ht="15" x14ac:dyDescent="0.25">
      <c r="A1452" s="3" t="str">
        <f>HYPERLINK("proteomic_fractions_linear_files/Yang_linear_img/21630253.jpg", "21630253")</f>
        <v>21630253</v>
      </c>
      <c r="C1452" s="3" t="str">
        <f>HYPERLINK("http://www.ncbi.nlm.nih.gov/protein/21630253","Cpne8")</f>
        <v>Cpne8</v>
      </c>
      <c r="E1452" t="str">
        <f>HYPERLINK("J:\Depot - mpkCCD Fractions\Main Web Page\Web Pages_old\proteomic_fractions_linear_files/Yang_linear_img/21630253.jpg","show blot")</f>
        <v>show blot</v>
      </c>
      <c r="G1452" t="s">
        <v>1443</v>
      </c>
      <c r="I1452" s="6">
        <v>5.5573594367891896</v>
      </c>
      <c r="K1452" s="8"/>
    </row>
    <row r="1453" spans="1:11" ht="15" x14ac:dyDescent="0.25">
      <c r="A1453" s="3" t="str">
        <f>HYPERLINK("proteomic_fractions_linear_files/Yang_linear_img/28416905.jpg", "28416905")</f>
        <v>28416905</v>
      </c>
      <c r="C1453" s="3" t="str">
        <f>HYPERLINK("http://www.ncbi.nlm.nih.gov/protein/28416905","Cpne9")</f>
        <v>Cpne9</v>
      </c>
      <c r="E1453" t="str">
        <f>HYPERLINK("J:\Depot - mpkCCD Fractions\Main Web Page\Web Pages_old\proteomic_fractions_linear_files/Yang_linear_img/28416905.jpg","show blot")</f>
        <v>show blot</v>
      </c>
      <c r="G1453" t="s">
        <v>1444</v>
      </c>
      <c r="I1453" s="6">
        <v>4.661797241350297</v>
      </c>
      <c r="K1453" s="8"/>
    </row>
    <row r="1454" spans="1:11" ht="15" x14ac:dyDescent="0.25">
      <c r="A1454" s="3" t="str">
        <f>HYPERLINK("proteomic_fractions_linear_files/Yang_linear_img/161484660.jpg", "161484660")</f>
        <v>161484660</v>
      </c>
      <c r="C1454" s="3" t="str">
        <f>HYPERLINK("http://www.ncbi.nlm.nih.gov/protein/161484660","Cpox")</f>
        <v>Cpox</v>
      </c>
      <c r="E1454" t="str">
        <f>HYPERLINK("J:\Depot - mpkCCD Fractions\Main Web Page\Web Pages_old\proteomic_fractions_linear_files/Yang_linear_img/161484660.jpg","show blot")</f>
        <v>show blot</v>
      </c>
      <c r="G1454" t="s">
        <v>1445</v>
      </c>
      <c r="I1454" s="6">
        <v>5.1191646860681157</v>
      </c>
      <c r="K1454" s="8"/>
    </row>
    <row r="1455" spans="1:11" ht="15" x14ac:dyDescent="0.25">
      <c r="A1455" s="3" t="str">
        <f>HYPERLINK("proteomic_fractions_linear_files/Yang_linear_img/31981882.jpg", "31981882")</f>
        <v>31981882</v>
      </c>
      <c r="C1455" s="3" t="str">
        <f>HYPERLINK("http://www.ncbi.nlm.nih.gov/protein/31981882","Cpped1")</f>
        <v>Cpped1</v>
      </c>
      <c r="E1455" t="str">
        <f>HYPERLINK("J:\Depot - mpkCCD Fractions\Main Web Page\Web Pages_old\proteomic_fractions_linear_files/Yang_linear_img/31981882.jpg","show blot")</f>
        <v>show blot</v>
      </c>
      <c r="G1455" t="s">
        <v>1446</v>
      </c>
      <c r="I1455" s="6">
        <v>5.1574344117361894</v>
      </c>
      <c r="K1455" s="8"/>
    </row>
    <row r="1456" spans="1:11" ht="15" x14ac:dyDescent="0.25">
      <c r="A1456" s="3" t="str">
        <f>HYPERLINK("proteomic_fractions_linear_files/Yang_linear_img/124248512.jpg", "124248512")</f>
        <v>124248512</v>
      </c>
      <c r="C1456" s="3" t="str">
        <f>HYPERLINK("http://www.ncbi.nlm.nih.gov/protein/124248512","Cps1")</f>
        <v>Cps1</v>
      </c>
      <c r="E1456" t="str">
        <f>HYPERLINK("J:\Depot - mpkCCD Fractions\Main Web Page\Web Pages_old\proteomic_fractions_linear_files/Yang_linear_img/124248512.jpg","show blot")</f>
        <v>show blot</v>
      </c>
      <c r="G1456" t="s">
        <v>1447</v>
      </c>
      <c r="I1456" s="6">
        <v>3.2070624236864664</v>
      </c>
      <c r="K1456" s="8"/>
    </row>
    <row r="1457" spans="1:11" ht="15" x14ac:dyDescent="0.25">
      <c r="A1457" s="3" t="str">
        <f>HYPERLINK("proteomic_fractions_linear_files/Yang_linear_img/16751835.jpg", "16751835")</f>
        <v>16751835</v>
      </c>
      <c r="C1457" s="3" t="str">
        <f>HYPERLINK("http://www.ncbi.nlm.nih.gov/protein/16751835","Cpsf1")</f>
        <v>Cpsf1</v>
      </c>
      <c r="E1457" t="str">
        <f>HYPERLINK("J:\Depot - mpkCCD Fractions\Main Web Page\Web Pages_old\proteomic_fractions_linear_files/Yang_linear_img/16751835.jpg","show blot")</f>
        <v>show blot</v>
      </c>
      <c r="G1457" t="s">
        <v>1448</v>
      </c>
      <c r="I1457" s="6">
        <v>3.593574394172844</v>
      </c>
      <c r="K1457" s="8"/>
    </row>
    <row r="1458" spans="1:11" ht="15" x14ac:dyDescent="0.25">
      <c r="A1458" s="3" t="str">
        <f>HYPERLINK("proteomic_fractions_linear_files/Yang_linear_img/255918233.jpg", "255918233")</f>
        <v>255918233</v>
      </c>
      <c r="C1458" s="3" t="str">
        <f>HYPERLINK("http://www.ncbi.nlm.nih.gov/protein/255918233","Cpsf1")</f>
        <v>Cpsf1</v>
      </c>
      <c r="E1458" t="str">
        <f>HYPERLINK("J:\Depot - mpkCCD Fractions\Main Web Page\Web Pages_old\proteomic_fractions_linear_files/Yang_linear_img/255918233.jpg","show blot")</f>
        <v>show blot</v>
      </c>
      <c r="G1458" t="s">
        <v>1449</v>
      </c>
      <c r="I1458" s="6">
        <v>3.593574394172844</v>
      </c>
      <c r="K1458" s="8"/>
    </row>
    <row r="1459" spans="1:11" ht="15" x14ac:dyDescent="0.25">
      <c r="A1459" s="3" t="str">
        <f>HYPERLINK("proteomic_fractions_linear_files/Yang_linear_img/8393762.jpg", "8393762")</f>
        <v>8393762</v>
      </c>
      <c r="C1459" s="3" t="str">
        <f>HYPERLINK("http://www.ncbi.nlm.nih.gov/protein/8393762","Cpsf2")</f>
        <v>Cpsf2</v>
      </c>
      <c r="E1459" t="str">
        <f>HYPERLINK("J:\Depot - mpkCCD Fractions\Main Web Page\Web Pages_old\proteomic_fractions_linear_files/Yang_linear_img/8393762.jpg","show blot")</f>
        <v>show blot</v>
      </c>
      <c r="G1459" t="s">
        <v>1450</v>
      </c>
      <c r="I1459" s="6">
        <v>4.370653332026647</v>
      </c>
      <c r="K1459" s="8"/>
    </row>
    <row r="1460" spans="1:11" ht="15" x14ac:dyDescent="0.25">
      <c r="A1460" s="3" t="str">
        <f>HYPERLINK("proteomic_fractions_linear_files/Yang_linear_img/31980904.jpg", "31980904")</f>
        <v>31980904</v>
      </c>
      <c r="C1460" s="3" t="str">
        <f>HYPERLINK("http://www.ncbi.nlm.nih.gov/protein/31980904","Cpsf3")</f>
        <v>Cpsf3</v>
      </c>
      <c r="E1460" t="str">
        <f>HYPERLINK("J:\Depot - mpkCCD Fractions\Main Web Page\Web Pages_old\proteomic_fractions_linear_files/Yang_linear_img/31980904.jpg","show blot")</f>
        <v>show blot</v>
      </c>
      <c r="G1460" t="s">
        <v>1451</v>
      </c>
      <c r="I1460" s="6">
        <v>4.3622548074744687</v>
      </c>
      <c r="K1460" s="8"/>
    </row>
    <row r="1461" spans="1:11" ht="15" x14ac:dyDescent="0.25">
      <c r="A1461" s="3" t="str">
        <f>HYPERLINK("proteomic_fractions_linear_files/Yang_linear_img/21312614.jpg", "21312614")</f>
        <v>21312614</v>
      </c>
      <c r="C1461" s="3" t="str">
        <f>HYPERLINK("http://www.ncbi.nlm.nih.gov/protein/21312614","Cpsf3l")</f>
        <v>Cpsf3l</v>
      </c>
      <c r="E1461" t="str">
        <f>HYPERLINK("J:\Depot - mpkCCD Fractions\Main Web Page\Web Pages_old\proteomic_fractions_linear_files/Yang_linear_img/21312614.jpg","show blot")</f>
        <v>show blot</v>
      </c>
      <c r="G1461" t="s">
        <v>1452</v>
      </c>
      <c r="I1461" s="6">
        <v>3.9213967307689561</v>
      </c>
      <c r="K1461" s="8"/>
    </row>
    <row r="1462" spans="1:11" ht="15" x14ac:dyDescent="0.25">
      <c r="A1462" s="3" t="str">
        <f>HYPERLINK("proteomic_fractions_linear_files/Yang_linear_img/62909983.jpg", "62909983")</f>
        <v>62909983</v>
      </c>
      <c r="C1462" s="3" t="str">
        <f>HYPERLINK("http://www.ncbi.nlm.nih.gov/protein/62909983","Cpsf6")</f>
        <v>Cpsf6</v>
      </c>
      <c r="E1462" t="str">
        <f>HYPERLINK("J:\Depot - mpkCCD Fractions\Main Web Page\Web Pages_old\proteomic_fractions_linear_files/Yang_linear_img/62909983.jpg","show blot")</f>
        <v>show blot</v>
      </c>
      <c r="G1462" t="s">
        <v>1453</v>
      </c>
      <c r="I1462" s="6">
        <v>4.8109130947653274</v>
      </c>
      <c r="K1462" s="8"/>
    </row>
    <row r="1463" spans="1:11" ht="15" x14ac:dyDescent="0.25">
      <c r="A1463" s="3" t="str">
        <f>HYPERLINK("proteomic_fractions_linear_files/Yang_linear_img/256665243.jpg", "256665243")</f>
        <v>256665243</v>
      </c>
      <c r="C1463" s="3" t="str">
        <f>HYPERLINK("http://www.ncbi.nlm.nih.gov/protein/256665243","Cpsf7")</f>
        <v>Cpsf7</v>
      </c>
      <c r="E1463" t="str">
        <f>HYPERLINK("J:\Depot - mpkCCD Fractions\Main Web Page\Web Pages_old\proteomic_fractions_linear_files/Yang_linear_img/256665243.jpg","show blot")</f>
        <v>show blot</v>
      </c>
      <c r="G1463" t="s">
        <v>1454</v>
      </c>
      <c r="I1463" s="6">
        <v>4.8028556377198521</v>
      </c>
      <c r="K1463" s="8"/>
    </row>
    <row r="1464" spans="1:11" ht="15" x14ac:dyDescent="0.25">
      <c r="A1464" s="3" t="str">
        <f>HYPERLINK("proteomic_fractions_linear_files/Yang_linear_img/256665245.jpg", "256665245")</f>
        <v>256665245</v>
      </c>
      <c r="C1464" s="3" t="str">
        <f>HYPERLINK("http://www.ncbi.nlm.nih.gov/protein/256665245","Cpsf7")</f>
        <v>Cpsf7</v>
      </c>
      <c r="E1464" t="str">
        <f>HYPERLINK("J:\Depot - mpkCCD Fractions\Main Web Page\Web Pages_old\proteomic_fractions_linear_files/Yang_linear_img/256665245.jpg","show blot")</f>
        <v>show blot</v>
      </c>
      <c r="G1464" t="s">
        <v>1455</v>
      </c>
      <c r="I1464" s="6">
        <v>4.8028556377198521</v>
      </c>
      <c r="K1464" s="8"/>
    </row>
    <row r="1465" spans="1:11" ht="15" x14ac:dyDescent="0.25">
      <c r="A1465" s="3" t="str">
        <f>HYPERLINK("proteomic_fractions_linear_files/Yang_linear_img/162287142.jpg", "162287142")</f>
        <v>162287142</v>
      </c>
      <c r="C1465" s="3" t="str">
        <f>HYPERLINK("http://www.ncbi.nlm.nih.gov/protein/162287142","Cpt1a")</f>
        <v>Cpt1a</v>
      </c>
      <c r="E1465" t="str">
        <f>HYPERLINK("J:\Depot - mpkCCD Fractions\Main Web Page\Web Pages_old\proteomic_fractions_linear_files/Yang_linear_img/162287142.jpg","show blot")</f>
        <v>show blot</v>
      </c>
      <c r="G1465" t="s">
        <v>1456</v>
      </c>
      <c r="I1465" s="6">
        <v>5.5170821093055178</v>
      </c>
      <c r="K1465" s="8"/>
    </row>
    <row r="1466" spans="1:11" ht="15" x14ac:dyDescent="0.25">
      <c r="A1466" s="3" t="str">
        <f>HYPERLINK("proteomic_fractions_linear_files/Yang_linear_img/162287165.jpg", "162287165")</f>
        <v>162287165</v>
      </c>
      <c r="C1466" s="3" t="str">
        <f>HYPERLINK("http://www.ncbi.nlm.nih.gov/protein/162287165","Cpt1b")</f>
        <v>Cpt1b</v>
      </c>
      <c r="E1466" t="str">
        <f>HYPERLINK("J:\Depot - mpkCCD Fractions\Main Web Page\Web Pages_old\proteomic_fractions_linear_files/Yang_linear_img/162287165.jpg","show blot")</f>
        <v>show blot</v>
      </c>
      <c r="G1466" t="s">
        <v>1457</v>
      </c>
      <c r="I1466" s="6">
        <v>4.1151868862658789</v>
      </c>
      <c r="K1466" s="8"/>
    </row>
    <row r="1467" spans="1:11" ht="15" x14ac:dyDescent="0.25">
      <c r="A1467" s="3" t="str">
        <f>HYPERLINK("proteomic_fractions_linear_files/Yang_linear_img/162138915.jpg", "162138915")</f>
        <v>162138915</v>
      </c>
      <c r="C1467" s="3" t="str">
        <f>HYPERLINK("http://www.ncbi.nlm.nih.gov/protein/162138915","Cpt2")</f>
        <v>Cpt2</v>
      </c>
      <c r="E1467" t="str">
        <f>HYPERLINK("J:\Depot - mpkCCD Fractions\Main Web Page\Web Pages_old\proteomic_fractions_linear_files/Yang_linear_img/162138915.jpg","show blot")</f>
        <v>show blot</v>
      </c>
      <c r="G1467" t="s">
        <v>1458</v>
      </c>
      <c r="I1467" s="6">
        <v>4.4918534657179015</v>
      </c>
      <c r="K1467" s="8"/>
    </row>
    <row r="1468" spans="1:11" ht="15" x14ac:dyDescent="0.25">
      <c r="A1468" s="3" t="str">
        <f>HYPERLINK("proteomic_fractions_linear_files/Yang_linear_img/52426750.jpg", "52426750")</f>
        <v>52426750</v>
      </c>
      <c r="C1468" s="3" t="str">
        <f>HYPERLINK("http://www.ncbi.nlm.nih.gov/protein/52426750","Cr1l")</f>
        <v>Cr1l</v>
      </c>
      <c r="E1468" t="str">
        <f>HYPERLINK("J:\Depot - mpkCCD Fractions\Main Web Page\Web Pages_old\proteomic_fractions_linear_files/Yang_linear_img/52426750.jpg","show blot")</f>
        <v>show blot</v>
      </c>
      <c r="G1468" t="s">
        <v>1459</v>
      </c>
      <c r="I1468" s="6">
        <v>4.2055051452769368</v>
      </c>
      <c r="K1468" s="8"/>
    </row>
    <row r="1469" spans="1:11" ht="15" x14ac:dyDescent="0.25">
      <c r="A1469" s="3" t="str">
        <f>HYPERLINK("proteomic_fractions_linear_files/Yang_linear_img/7304975.jpg", "7304975")</f>
        <v>7304975</v>
      </c>
      <c r="C1469" s="3" t="str">
        <f>HYPERLINK("http://www.ncbi.nlm.nih.gov/protein/7304975","Crabp1")</f>
        <v>Crabp1</v>
      </c>
      <c r="E1469" t="str">
        <f>HYPERLINK("J:\Depot - mpkCCD Fractions\Main Web Page\Web Pages_old\proteomic_fractions_linear_files/Yang_linear_img/7304975.jpg","show blot")</f>
        <v>show blot</v>
      </c>
      <c r="G1469" t="s">
        <v>1460</v>
      </c>
      <c r="I1469" s="6">
        <v>5.7538299936853683</v>
      </c>
      <c r="K1469" s="8"/>
    </row>
    <row r="1470" spans="1:11" ht="15" x14ac:dyDescent="0.25">
      <c r="A1470" s="3" t="str">
        <f>HYPERLINK("proteomic_fractions_linear_files/Yang_linear_img/33469075.jpg", "33469075")</f>
        <v>33469075</v>
      </c>
      <c r="C1470" s="3" t="str">
        <f>HYPERLINK("http://www.ncbi.nlm.nih.gov/protein/33469075","Crabp2")</f>
        <v>Crabp2</v>
      </c>
      <c r="E1470" t="str">
        <f>HYPERLINK("J:\Depot - mpkCCD Fractions\Main Web Page\Web Pages_old\proteomic_fractions_linear_files/Yang_linear_img/33469075.jpg","show blot")</f>
        <v>show blot</v>
      </c>
      <c r="G1470" t="s">
        <v>1461</v>
      </c>
      <c r="I1470" s="6">
        <v>6.3132348163036847</v>
      </c>
      <c r="K1470" s="8"/>
    </row>
    <row r="1471" spans="1:11" ht="15" x14ac:dyDescent="0.25">
      <c r="A1471" s="3" t="str">
        <f>HYPERLINK("proteomic_fractions_linear_files/Yang_linear_img/85662408.jpg", "85662408")</f>
        <v>85662408</v>
      </c>
      <c r="C1471" s="3" t="str">
        <f>HYPERLINK("http://www.ncbi.nlm.nih.gov/protein/85662408","Crat")</f>
        <v>Crat</v>
      </c>
      <c r="E1471" t="str">
        <f>HYPERLINK("J:\Depot - mpkCCD Fractions\Main Web Page\Web Pages_old\proteomic_fractions_linear_files/Yang_linear_img/85662408.jpg","show blot")</f>
        <v>show blot</v>
      </c>
      <c r="G1471" t="s">
        <v>1462</v>
      </c>
      <c r="I1471" s="6">
        <v>3.4481162158298617</v>
      </c>
      <c r="K1471" s="8"/>
    </row>
    <row r="1472" spans="1:11" ht="15" x14ac:dyDescent="0.25">
      <c r="A1472" s="3" t="str">
        <f>HYPERLINK("proteomic_fractions_linear_files/Yang_linear_img/29244038.jpg", "29244038")</f>
        <v>29244038</v>
      </c>
      <c r="C1472" s="3" t="str">
        <f>HYPERLINK("http://www.ncbi.nlm.nih.gov/protein/29244038","Crb3")</f>
        <v>Crb3</v>
      </c>
      <c r="E1472" t="str">
        <f>HYPERLINK("J:\Depot - mpkCCD Fractions\Main Web Page\Web Pages_old\proteomic_fractions_linear_files/Yang_linear_img/29244038.jpg","show blot")</f>
        <v>show blot</v>
      </c>
      <c r="G1472" t="s">
        <v>1463</v>
      </c>
      <c r="I1472" s="6">
        <v>3.7000621149906072</v>
      </c>
      <c r="K1472" s="8"/>
    </row>
    <row r="1473" spans="1:11" ht="15" x14ac:dyDescent="0.25">
      <c r="A1473" s="3" t="str">
        <f>HYPERLINK("proteomic_fractions_linear_files/Yang_linear_img/28202023.jpg", "28202023")</f>
        <v>28202023</v>
      </c>
      <c r="C1473" s="3" t="str">
        <f>HYPERLINK("http://www.ncbi.nlm.nih.gov/protein/28202023","Crbn")</f>
        <v>Crbn</v>
      </c>
      <c r="E1473" t="str">
        <f>HYPERLINK("J:\Depot - mpkCCD Fractions\Main Web Page\Web Pages_old\proteomic_fractions_linear_files/Yang_linear_img/28202023.jpg","show blot")</f>
        <v>show blot</v>
      </c>
      <c r="G1473" t="s">
        <v>1464</v>
      </c>
      <c r="I1473" s="6">
        <v>5.1346604778346485</v>
      </c>
      <c r="K1473" s="8"/>
    </row>
    <row r="1474" spans="1:11" ht="15" x14ac:dyDescent="0.25">
      <c r="A1474" s="3" t="str">
        <f>HYPERLINK("proteomic_fractions_linear_files/Yang_linear_img/90403612.jpg", "90403612")</f>
        <v>90403612</v>
      </c>
      <c r="C1474" s="3" t="str">
        <f>HYPERLINK("http://www.ncbi.nlm.nih.gov/protein/90403612","Crbn")</f>
        <v>Crbn</v>
      </c>
      <c r="E1474" t="str">
        <f>HYPERLINK("J:\Depot - mpkCCD Fractions\Main Web Page\Web Pages_old\proteomic_fractions_linear_files/Yang_linear_img/90403612.jpg","show blot")</f>
        <v>show blot</v>
      </c>
      <c r="G1474" t="s">
        <v>1465</v>
      </c>
      <c r="I1474" s="6">
        <v>5.1346604778346485</v>
      </c>
      <c r="K1474" s="8"/>
    </row>
    <row r="1475" spans="1:11" ht="15" x14ac:dyDescent="0.25">
      <c r="A1475" s="3" t="str">
        <f>HYPERLINK("proteomic_fractions_linear_files/Yang_linear_img/70995311.jpg", "70995311")</f>
        <v>70995311</v>
      </c>
      <c r="C1475" s="3" t="str">
        <f>HYPERLINK("http://www.ncbi.nlm.nih.gov/protein/70995311","Crebbp")</f>
        <v>Crebbp</v>
      </c>
      <c r="E1475" t="str">
        <f>HYPERLINK("J:\Depot - mpkCCD Fractions\Main Web Page\Web Pages_old\proteomic_fractions_linear_files/Yang_linear_img/70995311.jpg","show blot")</f>
        <v>show blot</v>
      </c>
      <c r="G1475" t="s">
        <v>1466</v>
      </c>
      <c r="I1475" s="6">
        <v>3.2301720740875099</v>
      </c>
      <c r="K1475" s="8"/>
    </row>
    <row r="1476" spans="1:11" ht="15" x14ac:dyDescent="0.25">
      <c r="A1476" s="3" t="str">
        <f>HYPERLINK("proteomic_fractions_linear_files/Yang_linear_img/19527148.jpg", "19527148")</f>
        <v>19527148</v>
      </c>
      <c r="C1476" s="3" t="str">
        <f>HYPERLINK("http://www.ncbi.nlm.nih.gov/protein/19527148","Creld1")</f>
        <v>Creld1</v>
      </c>
      <c r="E1476" t="str">
        <f>HYPERLINK("J:\Depot - mpkCCD Fractions\Main Web Page\Web Pages_old\proteomic_fractions_linear_files/Yang_linear_img/19527148.jpg","show blot")</f>
        <v>show blot</v>
      </c>
      <c r="G1476" t="s">
        <v>1467</v>
      </c>
      <c r="I1476" s="6">
        <v>3.0064660422492318</v>
      </c>
      <c r="K1476" s="8"/>
    </row>
    <row r="1477" spans="1:11" ht="15" x14ac:dyDescent="0.25">
      <c r="A1477" s="3" t="str">
        <f>HYPERLINK("proteomic_fractions_linear_files/Yang_linear_img/21313278.jpg", "21313278")</f>
        <v>21313278</v>
      </c>
      <c r="C1477" s="3" t="str">
        <f>HYPERLINK("http://www.ncbi.nlm.nih.gov/protein/21313278","Creld2")</f>
        <v>Creld2</v>
      </c>
      <c r="E1477" t="str">
        <f>HYPERLINK("J:\Depot - mpkCCD Fractions\Main Web Page\Web Pages_old\proteomic_fractions_linear_files/Yang_linear_img/21313278.jpg","show blot")</f>
        <v>show blot</v>
      </c>
      <c r="G1477" t="s">
        <v>1468</v>
      </c>
      <c r="I1477" s="6">
        <v>4.6593044149049643</v>
      </c>
      <c r="K1477" s="8"/>
    </row>
    <row r="1478" spans="1:11" ht="15" x14ac:dyDescent="0.25">
      <c r="A1478" s="3" t="str">
        <f>HYPERLINK("proteomic_fractions_linear_files/Yang_linear_img/6681015.jpg", "6681015")</f>
        <v>6681015</v>
      </c>
      <c r="C1478" s="3" t="str">
        <f>HYPERLINK("http://www.ncbi.nlm.nih.gov/protein/6681015","Crip1")</f>
        <v>Crip1</v>
      </c>
      <c r="E1478" t="str">
        <f>HYPERLINK("J:\Depot - mpkCCD Fractions\Main Web Page\Web Pages_old\proteomic_fractions_linear_files/Yang_linear_img/6681015.jpg","show blot")</f>
        <v>show blot</v>
      </c>
      <c r="G1478" t="s">
        <v>1469</v>
      </c>
      <c r="I1478" s="6">
        <v>5.3271910069854824</v>
      </c>
      <c r="K1478" s="8"/>
    </row>
    <row r="1479" spans="1:11" ht="15" x14ac:dyDescent="0.25">
      <c r="A1479" s="3" t="str">
        <f>HYPERLINK("proteomic_fractions_linear_files/Yang_linear_img/13195646.jpg", "13195646")</f>
        <v>13195646</v>
      </c>
      <c r="C1479" s="3" t="str">
        <f>HYPERLINK("http://www.ncbi.nlm.nih.gov/protein/13195646","Crip2")</f>
        <v>Crip2</v>
      </c>
      <c r="E1479" t="str">
        <f>HYPERLINK("J:\Depot - mpkCCD Fractions\Main Web Page\Web Pages_old\proteomic_fractions_linear_files/Yang_linear_img/13195646.jpg","show blot")</f>
        <v>show blot</v>
      </c>
      <c r="G1479" t="s">
        <v>1470</v>
      </c>
      <c r="I1479" s="6">
        <v>5.9046974525909368</v>
      </c>
      <c r="K1479" s="8"/>
    </row>
    <row r="1480" spans="1:11" ht="15" x14ac:dyDescent="0.25">
      <c r="A1480" s="3" t="str">
        <f>HYPERLINK("proteomic_fractions_linear_files/Yang_linear_img/31559995.jpg", "31559995")</f>
        <v>31559995</v>
      </c>
      <c r="C1480" s="3" t="str">
        <f>HYPERLINK("http://www.ncbi.nlm.nih.gov/protein/31559995","Crk")</f>
        <v>Crk</v>
      </c>
      <c r="E1480" t="str">
        <f>HYPERLINK("J:\Depot - mpkCCD Fractions\Main Web Page\Web Pages_old\proteomic_fractions_linear_files/Yang_linear_img/31559995.jpg","show blot")</f>
        <v>show blot</v>
      </c>
      <c r="G1480" t="s">
        <v>1471</v>
      </c>
      <c r="I1480" s="6">
        <v>5.0816549002367912</v>
      </c>
      <c r="K1480" s="8"/>
    </row>
    <row r="1481" spans="1:11" ht="15" x14ac:dyDescent="0.25">
      <c r="A1481" s="3" t="str">
        <f>HYPERLINK("proteomic_fractions_linear_files/Yang_linear_img/31542421.jpg", "31542421")</f>
        <v>31542421</v>
      </c>
      <c r="C1481" s="3" t="str">
        <f>HYPERLINK("http://www.ncbi.nlm.nih.gov/protein/31542421","Crkl")</f>
        <v>Crkl</v>
      </c>
      <c r="E1481" t="str">
        <f>HYPERLINK("J:\Depot - mpkCCD Fractions\Main Web Page\Web Pages_old\proteomic_fractions_linear_files/Yang_linear_img/31542421.jpg","show blot")</f>
        <v>show blot</v>
      </c>
      <c r="G1481" t="s">
        <v>1472</v>
      </c>
      <c r="I1481" s="6">
        <v>5.3768283935505465</v>
      </c>
      <c r="K1481" s="8"/>
    </row>
    <row r="1482" spans="1:11" ht="15" x14ac:dyDescent="0.25">
      <c r="A1482" s="3" t="str">
        <f>HYPERLINK("proteomic_fractions_linear_files/Yang_linear_img/9055200.jpg", "9055200")</f>
        <v>9055200</v>
      </c>
      <c r="C1482" s="3" t="str">
        <f>HYPERLINK("http://www.ncbi.nlm.nih.gov/protein/9055200","Crlf3")</f>
        <v>Crlf3</v>
      </c>
      <c r="E1482" t="str">
        <f>HYPERLINK("J:\Depot - mpkCCD Fractions\Main Web Page\Web Pages_old\proteomic_fractions_linear_files/Yang_linear_img/9055200.jpg","show blot")</f>
        <v>show blot</v>
      </c>
      <c r="G1482" t="s">
        <v>1473</v>
      </c>
      <c r="I1482" s="6">
        <v>4.7161338235194652</v>
      </c>
      <c r="K1482" s="8"/>
    </row>
    <row r="1483" spans="1:11" ht="15" x14ac:dyDescent="0.25">
      <c r="A1483" s="3" t="str">
        <f>HYPERLINK("proteomic_fractions_linear_files/Yang_linear_img/66932980.jpg", "66932980")</f>
        <v>66932980</v>
      </c>
      <c r="C1483" s="3" t="str">
        <f>HYPERLINK("http://www.ncbi.nlm.nih.gov/protein/66932980","Crls1")</f>
        <v>Crls1</v>
      </c>
      <c r="E1483" t="str">
        <f>HYPERLINK("J:\Depot - mpkCCD Fractions\Main Web Page\Web Pages_old\proteomic_fractions_linear_files/Yang_linear_img/66932980.jpg","show blot")</f>
        <v>show blot</v>
      </c>
      <c r="G1483" t="s">
        <v>1474</v>
      </c>
      <c r="I1483" s="6">
        <v>2.8089478430497374</v>
      </c>
      <c r="K1483" s="8"/>
    </row>
    <row r="1484" spans="1:11" ht="15" x14ac:dyDescent="0.25">
      <c r="A1484" s="3" t="str">
        <f>HYPERLINK("proteomic_fractions_linear_files/Yang_linear_img/209862923.jpg", "209862923")</f>
        <v>209862923</v>
      </c>
      <c r="C1484" s="3" t="str">
        <f>HYPERLINK("http://www.ncbi.nlm.nih.gov/protein/209862923","Crmp1")</f>
        <v>Crmp1</v>
      </c>
      <c r="E1484" t="str">
        <f>HYPERLINK("J:\Depot - mpkCCD Fractions\Main Web Page\Web Pages_old\proteomic_fractions_linear_files/Yang_linear_img/209862923.jpg","show blot")</f>
        <v>show blot</v>
      </c>
      <c r="G1484" t="s">
        <v>1475</v>
      </c>
      <c r="I1484" s="6">
        <v>5.2363247799634474</v>
      </c>
      <c r="K1484" s="8"/>
    </row>
    <row r="1485" spans="1:11" ht="15" x14ac:dyDescent="0.25">
      <c r="A1485" s="3" t="str">
        <f>HYPERLINK("proteomic_fractions_linear_files/Yang_linear_img/40068507.jpg", "40068507")</f>
        <v>40068507</v>
      </c>
      <c r="C1485" s="3" t="str">
        <f>HYPERLINK("http://www.ncbi.nlm.nih.gov/protein/40068507","Crmp1")</f>
        <v>Crmp1</v>
      </c>
      <c r="E1485" t="str">
        <f>HYPERLINK("J:\Depot - mpkCCD Fractions\Main Web Page\Web Pages_old\proteomic_fractions_linear_files/Yang_linear_img/40068507.jpg","show blot")</f>
        <v>show blot</v>
      </c>
      <c r="G1485" t="s">
        <v>1476</v>
      </c>
      <c r="I1485" s="6">
        <v>5.2363247799634474</v>
      </c>
      <c r="K1485" s="8"/>
    </row>
    <row r="1486" spans="1:11" ht="15" x14ac:dyDescent="0.25">
      <c r="A1486" s="3" t="str">
        <f>HYPERLINK("proteomic_fractions_linear_files/Yang_linear_img/13385288.jpg", "13385288")</f>
        <v>13385288</v>
      </c>
      <c r="C1486" s="3" t="str">
        <f>HYPERLINK("http://www.ncbi.nlm.nih.gov/protein/13385288","Crnkl1")</f>
        <v>Crnkl1</v>
      </c>
      <c r="E1486" t="str">
        <f>HYPERLINK("J:\Depot - mpkCCD Fractions\Main Web Page\Web Pages_old\proteomic_fractions_linear_files/Yang_linear_img/13385288.jpg","show blot")</f>
        <v>show blot</v>
      </c>
      <c r="G1486" t="s">
        <v>1477</v>
      </c>
      <c r="I1486" s="6">
        <v>4.6263879969480639</v>
      </c>
      <c r="K1486" s="8"/>
    </row>
    <row r="1487" spans="1:11" ht="15" x14ac:dyDescent="0.25">
      <c r="A1487" s="3" t="str">
        <f>HYPERLINK("proteomic_fractions_linear_files/Yang_linear_img/225543191.jpg", "225543191")</f>
        <v>225543191</v>
      </c>
      <c r="C1487" s="3" t="str">
        <f>HYPERLINK("http://www.ncbi.nlm.nih.gov/protein/225543191","Crocc")</f>
        <v>Crocc</v>
      </c>
      <c r="E1487" t="str">
        <f>HYPERLINK("J:\Depot - mpkCCD Fractions\Main Web Page\Web Pages_old\proteomic_fractions_linear_files/Yang_linear_img/225543191.jpg","show blot")</f>
        <v>show blot</v>
      </c>
      <c r="G1487" t="s">
        <v>1478</v>
      </c>
      <c r="I1487" s="6">
        <v>5.2766941007178731</v>
      </c>
      <c r="K1487" s="8"/>
    </row>
    <row r="1488" spans="1:11" ht="15" x14ac:dyDescent="0.25">
      <c r="A1488" s="3" t="str">
        <f>HYPERLINK("proteomic_fractions_linear_files/Yang_linear_img/225543193.jpg", "225543193")</f>
        <v>225543193</v>
      </c>
      <c r="C1488" s="3" t="str">
        <f>HYPERLINK("http://www.ncbi.nlm.nih.gov/protein/225543193","Crocc")</f>
        <v>Crocc</v>
      </c>
      <c r="E1488" t="str">
        <f>HYPERLINK("J:\Depot - mpkCCD Fractions\Main Web Page\Web Pages_old\proteomic_fractions_linear_files/Yang_linear_img/225543193.jpg","show blot")</f>
        <v>show blot</v>
      </c>
      <c r="G1488" t="s">
        <v>1479</v>
      </c>
      <c r="I1488" s="6">
        <v>5.2766941007178731</v>
      </c>
      <c r="K1488" s="8"/>
    </row>
    <row r="1489" spans="1:11" ht="15" x14ac:dyDescent="0.25">
      <c r="A1489" s="3" t="str">
        <f>HYPERLINK("proteomic_fractions_linear_files/Yang_linear_img/17157983.jpg", "17157983")</f>
        <v>17157983</v>
      </c>
      <c r="C1489" s="3" t="str">
        <f>HYPERLINK("http://www.ncbi.nlm.nih.gov/protein/17157983","Crot")</f>
        <v>Crot</v>
      </c>
      <c r="E1489" t="str">
        <f>HYPERLINK("J:\Depot - mpkCCD Fractions\Main Web Page\Web Pages_old\proteomic_fractions_linear_files/Yang_linear_img/17157983.jpg","show blot")</f>
        <v>show blot</v>
      </c>
      <c r="G1489" t="s">
        <v>1480</v>
      </c>
      <c r="I1489" s="6">
        <v>4.981640983157698</v>
      </c>
      <c r="K1489" s="8"/>
    </row>
    <row r="1490" spans="1:11" ht="15" x14ac:dyDescent="0.25">
      <c r="A1490" s="3" t="str">
        <f>HYPERLINK("proteomic_fractions_linear_files/Yang_linear_img/225543173.jpg", "225543173")</f>
        <v>225543173</v>
      </c>
      <c r="C1490" s="3" t="str">
        <f>HYPERLINK("http://www.ncbi.nlm.nih.gov/protein/225543173","Crtap")</f>
        <v>Crtap</v>
      </c>
      <c r="E1490" t="str">
        <f>HYPERLINK("J:\Depot - mpkCCD Fractions\Main Web Page\Web Pages_old\proteomic_fractions_linear_files/Yang_linear_img/225543173.jpg","show blot")</f>
        <v>show blot</v>
      </c>
      <c r="G1490" t="s">
        <v>1481</v>
      </c>
      <c r="I1490" s="6">
        <v>3.2658657116811129</v>
      </c>
      <c r="K1490" s="8"/>
    </row>
    <row r="1491" spans="1:11" ht="15" x14ac:dyDescent="0.25">
      <c r="A1491" s="3" t="str">
        <f>HYPERLINK("proteomic_fractions_linear_files/Yang_linear_img/6681031.jpg", "6681031")</f>
        <v>6681031</v>
      </c>
      <c r="C1491" s="3" t="str">
        <f>HYPERLINK("http://www.ncbi.nlm.nih.gov/protein/6681031","Cry1")</f>
        <v>Cry1</v>
      </c>
      <c r="E1491" t="str">
        <f>HYPERLINK("J:\Depot - mpkCCD Fractions\Main Web Page\Web Pages_old\proteomic_fractions_linear_files/Yang_linear_img/6681031.jpg","show blot")</f>
        <v>show blot</v>
      </c>
      <c r="G1491" t="s">
        <v>1482</v>
      </c>
      <c r="I1491" s="6">
        <v>4.035161016430262</v>
      </c>
      <c r="K1491" s="8"/>
    </row>
    <row r="1492" spans="1:11" ht="15" x14ac:dyDescent="0.25">
      <c r="A1492" s="3" t="str">
        <f>HYPERLINK("proteomic_fractions_linear_files/Yang_linear_img/27312016.jpg", "27312016")</f>
        <v>27312016</v>
      </c>
      <c r="C1492" s="3" t="str">
        <f>HYPERLINK("http://www.ncbi.nlm.nih.gov/protein/27312016","Cry2")</f>
        <v>Cry2</v>
      </c>
      <c r="E1492" t="str">
        <f>HYPERLINK("J:\Depot - mpkCCD Fractions\Main Web Page\Web Pages_old\proteomic_fractions_linear_files/Yang_linear_img/27312016.jpg","show blot")</f>
        <v>show blot</v>
      </c>
      <c r="G1492" t="s">
        <v>1483</v>
      </c>
      <c r="I1492" s="6">
        <v>3.3593227614020869</v>
      </c>
      <c r="K1492" s="8"/>
    </row>
    <row r="1493" spans="1:11" ht="15" x14ac:dyDescent="0.25">
      <c r="A1493" s="3" t="str">
        <f>HYPERLINK("proteomic_fractions_linear_files/Yang_linear_img/6753530.jpg", "6753530")</f>
        <v>6753530</v>
      </c>
      <c r="C1493" s="3" t="str">
        <f>HYPERLINK("http://www.ncbi.nlm.nih.gov/protein/6753530","Cryab")</f>
        <v>Cryab</v>
      </c>
      <c r="E1493" t="str">
        <f>HYPERLINK("J:\Depot - mpkCCD Fractions\Main Web Page\Web Pages_old\proteomic_fractions_linear_files/Yang_linear_img/6753530.jpg","show blot")</f>
        <v>show blot</v>
      </c>
      <c r="G1493" t="s">
        <v>1484</v>
      </c>
      <c r="I1493" s="6">
        <v>5.5333596971442631</v>
      </c>
      <c r="K1493" s="8"/>
    </row>
    <row r="1494" spans="1:11" ht="15" x14ac:dyDescent="0.25">
      <c r="A1494" s="3" t="str">
        <f>HYPERLINK("proteomic_fractions_linear_files/Yang_linear_img/19525729.jpg", "19525729")</f>
        <v>19525729</v>
      </c>
      <c r="C1494" s="3" t="str">
        <f>HYPERLINK("http://www.ncbi.nlm.nih.gov/protein/19525729","Cryl1")</f>
        <v>Cryl1</v>
      </c>
      <c r="E1494" t="str">
        <f>HYPERLINK("J:\Depot - mpkCCD Fractions\Main Web Page\Web Pages_old\proteomic_fractions_linear_files/Yang_linear_img/19525729.jpg","show blot")</f>
        <v>show blot</v>
      </c>
      <c r="G1494" t="s">
        <v>1485</v>
      </c>
      <c r="I1494" s="6">
        <v>5.0034173822217252</v>
      </c>
      <c r="K1494" s="8"/>
    </row>
    <row r="1495" spans="1:11" ht="15" x14ac:dyDescent="0.25">
      <c r="A1495" s="3" t="str">
        <f>HYPERLINK("proteomic_fractions_linear_files/Yang_linear_img/33859530.jpg", "33859530")</f>
        <v>33859530</v>
      </c>
      <c r="C1495" s="3" t="str">
        <f>HYPERLINK("http://www.ncbi.nlm.nih.gov/protein/33859530","Cryz")</f>
        <v>Cryz</v>
      </c>
      <c r="E1495" t="str">
        <f>HYPERLINK("J:\Depot - mpkCCD Fractions\Main Web Page\Web Pages_old\proteomic_fractions_linear_files/Yang_linear_img/33859530.jpg","show blot")</f>
        <v>show blot</v>
      </c>
      <c r="G1495" t="s">
        <v>1486</v>
      </c>
      <c r="I1495" s="6">
        <v>6.0046428019070115</v>
      </c>
      <c r="K1495" s="8"/>
    </row>
    <row r="1496" spans="1:11" ht="15" x14ac:dyDescent="0.25">
      <c r="A1496" s="3" t="str">
        <f>HYPERLINK("proteomic_fractions_linear_files/Yang_linear_img/21617847.jpg", "21617847")</f>
        <v>21617847</v>
      </c>
      <c r="C1496" s="3" t="str">
        <f>HYPERLINK("http://www.ncbi.nlm.nih.gov/protein/21617847","Cryzl1")</f>
        <v>Cryzl1</v>
      </c>
      <c r="E1496" t="str">
        <f>HYPERLINK("J:\Depot - mpkCCD Fractions\Main Web Page\Web Pages_old\proteomic_fractions_linear_files/Yang_linear_img/21617847.jpg","show blot")</f>
        <v>show blot</v>
      </c>
      <c r="G1496" t="s">
        <v>1487</v>
      </c>
      <c r="I1496" s="6">
        <v>4.827795392190156</v>
      </c>
      <c r="K1496" s="8"/>
    </row>
    <row r="1497" spans="1:11" ht="15" x14ac:dyDescent="0.25">
      <c r="A1497" s="3" t="str">
        <f>HYPERLINK("proteomic_fractions_linear_files/Yang_linear_img/323462200.jpg", "323462200")</f>
        <v>323462200</v>
      </c>
      <c r="C1497" s="3" t="str">
        <f>HYPERLINK("http://www.ncbi.nlm.nih.gov/protein/323462200","Cryzl1")</f>
        <v>Cryzl1</v>
      </c>
      <c r="E1497" t="str">
        <f>HYPERLINK("J:\Depot - mpkCCD Fractions\Main Web Page\Web Pages_old\proteomic_fractions_linear_files/Yang_linear_img/323462200.jpg","show blot")</f>
        <v>show blot</v>
      </c>
      <c r="G1497" t="s">
        <v>1488</v>
      </c>
      <c r="I1497" s="6">
        <v>4.827795392190156</v>
      </c>
      <c r="K1497" s="8"/>
    </row>
    <row r="1498" spans="1:11" ht="15" x14ac:dyDescent="0.25">
      <c r="A1498" s="3" t="str">
        <f>HYPERLINK("proteomic_fractions_linear_files/Yang_linear_img/13385942.jpg", "13385942")</f>
        <v>13385942</v>
      </c>
      <c r="C1498" s="3" t="str">
        <f>HYPERLINK("http://www.ncbi.nlm.nih.gov/protein/13385942","Cs")</f>
        <v>Cs</v>
      </c>
      <c r="E1498" t="str">
        <f>HYPERLINK("J:\Depot - mpkCCD Fractions\Main Web Page\Web Pages_old\proteomic_fractions_linear_files/Yang_linear_img/13385942.jpg","show blot")</f>
        <v>show blot</v>
      </c>
      <c r="G1498" t="s">
        <v>1489</v>
      </c>
      <c r="I1498" s="6">
        <v>6.3308332126489084</v>
      </c>
      <c r="K1498" s="8"/>
    </row>
    <row r="1499" spans="1:11" ht="15" x14ac:dyDescent="0.25">
      <c r="A1499" s="3" t="str">
        <f>HYPERLINK("proteomic_fractions_linear_files/Yang_linear_img/21450351.jpg", "21450351")</f>
        <v>21450351</v>
      </c>
      <c r="C1499" s="3" t="str">
        <f>HYPERLINK("http://www.ncbi.nlm.nih.gov/protein/21450351","Csad")</f>
        <v>Csad</v>
      </c>
      <c r="E1499" t="str">
        <f>HYPERLINK("J:\Depot - mpkCCD Fractions\Main Web Page\Web Pages_old\proteomic_fractions_linear_files/Yang_linear_img/21450351.jpg","show blot")</f>
        <v>show blot</v>
      </c>
      <c r="G1499" t="s">
        <v>1490</v>
      </c>
      <c r="I1499" s="6">
        <v>4.5105823767142583</v>
      </c>
      <c r="K1499" s="8"/>
    </row>
    <row r="1500" spans="1:11" ht="15" x14ac:dyDescent="0.25">
      <c r="A1500" s="3" t="str">
        <f>HYPERLINK("proteomic_fractions_linear_files/Yang_linear_img/21450287.jpg", "21450287")</f>
        <v>21450287</v>
      </c>
      <c r="C1500" s="3" t="str">
        <f>HYPERLINK("http://www.ncbi.nlm.nih.gov/protein/21450287","Csde1")</f>
        <v>Csde1</v>
      </c>
      <c r="E1500" t="str">
        <f>HYPERLINK("J:\Depot - mpkCCD Fractions\Main Web Page\Web Pages_old\proteomic_fractions_linear_files/Yang_linear_img/21450287.jpg","show blot")</f>
        <v>show blot</v>
      </c>
      <c r="G1500" t="s">
        <v>1491</v>
      </c>
      <c r="I1500" s="6">
        <v>5.439961752944007</v>
      </c>
      <c r="K1500" s="8"/>
    </row>
    <row r="1501" spans="1:11" ht="15" x14ac:dyDescent="0.25">
      <c r="A1501" s="3" t="str">
        <f>HYPERLINK("proteomic_fractions_linear_files/Yang_linear_img/240255574.jpg", "240255574")</f>
        <v>240255574</v>
      </c>
      <c r="C1501" s="3" t="str">
        <f>HYPERLINK("http://www.ncbi.nlm.nih.gov/protein/240255574","Csde1")</f>
        <v>Csde1</v>
      </c>
      <c r="E1501" t="str">
        <f>HYPERLINK("J:\Depot - mpkCCD Fractions\Main Web Page\Web Pages_old\proteomic_fractions_linear_files/Yang_linear_img/240255574.jpg","show blot")</f>
        <v>show blot</v>
      </c>
      <c r="G1501" t="s">
        <v>1492</v>
      </c>
      <c r="I1501" s="6">
        <v>5.439961752944007</v>
      </c>
      <c r="K1501" s="8"/>
    </row>
    <row r="1502" spans="1:11" ht="15" x14ac:dyDescent="0.25">
      <c r="A1502" s="3" t="str">
        <f>HYPERLINK("proteomic_fractions_linear_files/Yang_linear_img/12963737.jpg", "12963737")</f>
        <v>12963737</v>
      </c>
      <c r="C1502" s="3" t="str">
        <f>HYPERLINK("http://www.ncbi.nlm.nih.gov/protein/12963737","Cse1l")</f>
        <v>Cse1l</v>
      </c>
      <c r="E1502" t="str">
        <f>HYPERLINK("J:\Depot - mpkCCD Fractions\Main Web Page\Web Pages_old\proteomic_fractions_linear_files/Yang_linear_img/12963737.jpg","show blot")</f>
        <v>show blot</v>
      </c>
      <c r="G1502" t="s">
        <v>1493</v>
      </c>
      <c r="I1502" s="6">
        <v>6.5011760243789274</v>
      </c>
      <c r="K1502" s="8"/>
    </row>
    <row r="1503" spans="1:11" ht="15" x14ac:dyDescent="0.25">
      <c r="A1503" s="3" t="str">
        <f>HYPERLINK("proteomic_fractions_linear_files/Yang_linear_img/6753536.jpg", "6753536")</f>
        <v>6753536</v>
      </c>
      <c r="C1503" s="3" t="str">
        <f>HYPERLINK("http://www.ncbi.nlm.nih.gov/protein/6753536","Csf3")</f>
        <v>Csf3</v>
      </c>
      <c r="E1503" t="str">
        <f>HYPERLINK("J:\Depot - mpkCCD Fractions\Main Web Page\Web Pages_old\proteomic_fractions_linear_files/Yang_linear_img/6753536.jpg","show blot")</f>
        <v>show blot</v>
      </c>
      <c r="G1503" t="s">
        <v>1494</v>
      </c>
      <c r="I1503" s="6">
        <v>4.2108812525337322</v>
      </c>
      <c r="K1503" s="8"/>
    </row>
    <row r="1504" spans="1:11" ht="15" x14ac:dyDescent="0.25">
      <c r="A1504" s="3" t="str">
        <f>HYPERLINK("proteomic_fractions_linear_files/Yang_linear_img/31560712.jpg", "31560712")</f>
        <v>31560712</v>
      </c>
      <c r="C1504" s="3" t="str">
        <f>HYPERLINK("http://www.ncbi.nlm.nih.gov/protein/31560712","Csk")</f>
        <v>Csk</v>
      </c>
      <c r="E1504" t="str">
        <f>HYPERLINK("J:\Depot - mpkCCD Fractions\Main Web Page\Web Pages_old\proteomic_fractions_linear_files/Yang_linear_img/31560712.jpg","show blot")</f>
        <v>show blot</v>
      </c>
      <c r="G1504" t="s">
        <v>1495</v>
      </c>
      <c r="I1504" s="6">
        <v>4.9370772824572766</v>
      </c>
      <c r="K1504" s="8"/>
    </row>
    <row r="1505" spans="1:11" ht="15" x14ac:dyDescent="0.25">
      <c r="A1505" s="3" t="str">
        <f>HYPERLINK("proteomic_fractions_linear_files/Yang_linear_img/269973935.jpg", "269973935")</f>
        <v>269973935</v>
      </c>
      <c r="C1505" s="3" t="str">
        <f>HYPERLINK("http://www.ncbi.nlm.nih.gov/protein/269973935","Csl")</f>
        <v>Csl</v>
      </c>
      <c r="E1505" t="str">
        <f>HYPERLINK("J:\Depot - mpkCCD Fractions\Main Web Page\Web Pages_old\proteomic_fractions_linear_files/Yang_linear_img/269973935.jpg","show blot")</f>
        <v>show blot</v>
      </c>
      <c r="G1505" t="s">
        <v>1496</v>
      </c>
      <c r="I1505" s="6">
        <v>5.8799349541165045</v>
      </c>
      <c r="K1505" s="8"/>
    </row>
    <row r="1506" spans="1:11" ht="15" x14ac:dyDescent="0.25">
      <c r="A1506" s="3" t="str">
        <f>HYPERLINK("proteomic_fractions_linear_files/Yang_linear_img/75677412.jpg", "75677412")</f>
        <v>75677412</v>
      </c>
      <c r="C1506" s="3" t="str">
        <f>HYPERLINK("http://www.ncbi.nlm.nih.gov/protein/75677412","Csn3")</f>
        <v>Csn3</v>
      </c>
      <c r="E1506" t="str">
        <f>HYPERLINK("J:\Depot - mpkCCD Fractions\Main Web Page\Web Pages_old\proteomic_fractions_linear_files/Yang_linear_img/75677412.jpg","show blot")</f>
        <v>show blot</v>
      </c>
      <c r="G1506" t="s">
        <v>1497</v>
      </c>
      <c r="I1506" s="6">
        <v>5.1570885881898541</v>
      </c>
      <c r="K1506" s="8"/>
    </row>
    <row r="1507" spans="1:11" ht="15" x14ac:dyDescent="0.25">
      <c r="A1507" s="3" t="str">
        <f>HYPERLINK("proteomic_fractions_linear_files/Yang_linear_img/22165382.jpg", "22165382")</f>
        <v>22165382</v>
      </c>
      <c r="C1507" s="3" t="str">
        <f>HYPERLINK("http://www.ncbi.nlm.nih.gov/protein/22165382","Csnk1a1")</f>
        <v>Csnk1a1</v>
      </c>
      <c r="E1507" t="str">
        <f>HYPERLINK("J:\Depot - mpkCCD Fractions\Main Web Page\Web Pages_old\proteomic_fractions_linear_files/Yang_linear_img/22165382.jpg","show blot")</f>
        <v>show blot</v>
      </c>
      <c r="G1507" t="s">
        <v>1498</v>
      </c>
      <c r="I1507" s="6">
        <v>5.1887259789288667</v>
      </c>
      <c r="K1507" s="8"/>
    </row>
    <row r="1508" spans="1:11" ht="15" x14ac:dyDescent="0.25">
      <c r="A1508" s="3" t="str">
        <f>HYPERLINK("proteomic_fractions_linear_files/Yang_linear_img/20544147.jpg", "20544147")</f>
        <v>20544147</v>
      </c>
      <c r="C1508" s="3" t="str">
        <f>HYPERLINK("http://www.ncbi.nlm.nih.gov/protein/20544147","Csnk1d")</f>
        <v>Csnk1d</v>
      </c>
      <c r="E1508" t="str">
        <f>HYPERLINK("J:\Depot - mpkCCD Fractions\Main Web Page\Web Pages_old\proteomic_fractions_linear_files/Yang_linear_img/20544147.jpg","show blot")</f>
        <v>show blot</v>
      </c>
      <c r="G1508" t="s">
        <v>1499</v>
      </c>
      <c r="I1508" s="6">
        <v>4.4572513430938541</v>
      </c>
      <c r="K1508" s="8"/>
    </row>
    <row r="1509" spans="1:11" ht="15" x14ac:dyDescent="0.25">
      <c r="A1509" s="3" t="str">
        <f>HYPERLINK("proteomic_fractions_linear_files/Yang_linear_img/20544149.jpg", "20544149")</f>
        <v>20544149</v>
      </c>
      <c r="C1509" s="3" t="str">
        <f>HYPERLINK("http://www.ncbi.nlm.nih.gov/protein/20544149","Csnk1d")</f>
        <v>Csnk1d</v>
      </c>
      <c r="E1509" t="str">
        <f>HYPERLINK("J:\Depot - mpkCCD Fractions\Main Web Page\Web Pages_old\proteomic_fractions_linear_files/Yang_linear_img/20544149.jpg","show blot")</f>
        <v>show blot</v>
      </c>
      <c r="G1509" t="s">
        <v>1500</v>
      </c>
      <c r="I1509" s="6">
        <v>4.4572513430938541</v>
      </c>
      <c r="K1509" s="8"/>
    </row>
    <row r="1510" spans="1:11" ht="15" x14ac:dyDescent="0.25">
      <c r="A1510" s="3" t="str">
        <f>HYPERLINK("proteomic_fractions_linear_files/Yang_linear_img/31542425.jpg", "31542425")</f>
        <v>31542425</v>
      </c>
      <c r="C1510" s="3" t="str">
        <f>HYPERLINK("http://www.ncbi.nlm.nih.gov/protein/31542425","Csnk1e")</f>
        <v>Csnk1e</v>
      </c>
      <c r="E1510" t="str">
        <f>HYPERLINK("J:\Depot - mpkCCD Fractions\Main Web Page\Web Pages_old\proteomic_fractions_linear_files/Yang_linear_img/31542425.jpg","show blot")</f>
        <v>show blot</v>
      </c>
      <c r="G1510" t="s">
        <v>1501</v>
      </c>
      <c r="I1510" s="6">
        <v>4.273786003006653</v>
      </c>
      <c r="K1510" s="8"/>
    </row>
    <row r="1511" spans="1:11" ht="15" x14ac:dyDescent="0.25">
      <c r="A1511" s="3" t="str">
        <f>HYPERLINK("proteomic_fractions_linear_files/Yang_linear_img/31542427.jpg", "31542427")</f>
        <v>31542427</v>
      </c>
      <c r="C1511" s="3" t="str">
        <f>HYPERLINK("http://www.ncbi.nlm.nih.gov/protein/31542427","Csnk2a1")</f>
        <v>Csnk2a1</v>
      </c>
      <c r="E1511" t="str">
        <f>HYPERLINK("J:\Depot - mpkCCD Fractions\Main Web Page\Web Pages_old\proteomic_fractions_linear_files/Yang_linear_img/31542427.jpg","show blot")</f>
        <v>show blot</v>
      </c>
      <c r="G1511" t="s">
        <v>1502</v>
      </c>
      <c r="I1511" s="6">
        <v>6.3311225174489225</v>
      </c>
      <c r="K1511" s="8"/>
    </row>
    <row r="1512" spans="1:11" ht="15" x14ac:dyDescent="0.25">
      <c r="A1512" s="3" t="str">
        <f>HYPERLINK("proteomic_fractions_linear_files/Yang_linear_img/6753540.jpg", "6753540")</f>
        <v>6753540</v>
      </c>
      <c r="C1512" s="3" t="str">
        <f>HYPERLINK("http://www.ncbi.nlm.nih.gov/protein/6753540","Csnk2a2")</f>
        <v>Csnk2a2</v>
      </c>
      <c r="E1512" t="str">
        <f>HYPERLINK("J:\Depot - mpkCCD Fractions\Main Web Page\Web Pages_old\proteomic_fractions_linear_files/Yang_linear_img/6753540.jpg","show blot")</f>
        <v>show blot</v>
      </c>
      <c r="G1512" t="s">
        <v>1503</v>
      </c>
      <c r="I1512" s="6">
        <v>6.2846889267266448</v>
      </c>
      <c r="K1512" s="8"/>
    </row>
    <row r="1513" spans="1:11" ht="15" x14ac:dyDescent="0.25">
      <c r="A1513" s="3" t="str">
        <f>HYPERLINK("proteomic_fractions_linear_files/Yang_linear_img/7106277.jpg", "7106277")</f>
        <v>7106277</v>
      </c>
      <c r="C1513" s="3" t="str">
        <f>HYPERLINK("http://www.ncbi.nlm.nih.gov/protein/7106277","Csnk2b")</f>
        <v>Csnk2b</v>
      </c>
      <c r="E1513" t="str">
        <f>HYPERLINK("J:\Depot - mpkCCD Fractions\Main Web Page\Web Pages_old\proteomic_fractions_linear_files/Yang_linear_img/7106277.jpg","show blot")</f>
        <v>show blot</v>
      </c>
      <c r="G1513" t="s">
        <v>1504</v>
      </c>
      <c r="I1513" s="6">
        <v>5.7210948573622611</v>
      </c>
      <c r="K1513" s="8"/>
    </row>
    <row r="1514" spans="1:11" ht="15" x14ac:dyDescent="0.25">
      <c r="A1514" s="3" t="str">
        <f>HYPERLINK("proteomic_fractions_linear_files/Yang_linear_img/6681069.jpg", "6681069")</f>
        <v>6681069</v>
      </c>
      <c r="C1514" s="3" t="str">
        <f>HYPERLINK("http://www.ncbi.nlm.nih.gov/protein/6681069","Csrp1")</f>
        <v>Csrp1</v>
      </c>
      <c r="E1514" t="str">
        <f>HYPERLINK("J:\Depot - mpkCCD Fractions\Main Web Page\Web Pages_old\proteomic_fractions_linear_files/Yang_linear_img/6681069.jpg","show blot")</f>
        <v>show blot</v>
      </c>
      <c r="G1514" t="s">
        <v>1505</v>
      </c>
      <c r="I1514" s="6">
        <v>6.1855748471132017</v>
      </c>
      <c r="K1514" s="8"/>
    </row>
    <row r="1515" spans="1:11" ht="15" x14ac:dyDescent="0.25">
      <c r="A1515" s="3" t="str">
        <f>HYPERLINK("proteomic_fractions_linear_files/Yang_linear_img/160707987.jpg", "160707987")</f>
        <v>160707987</v>
      </c>
      <c r="C1515" s="3" t="str">
        <f>HYPERLINK("http://www.ncbi.nlm.nih.gov/protein/160707987","Csrp2")</f>
        <v>Csrp2</v>
      </c>
      <c r="E1515" t="str">
        <f>HYPERLINK("J:\Depot - mpkCCD Fractions\Main Web Page\Web Pages_old\proteomic_fractions_linear_files/Yang_linear_img/160707987.jpg","show blot")</f>
        <v>show blot</v>
      </c>
      <c r="G1515" t="s">
        <v>1506</v>
      </c>
      <c r="I1515" s="6">
        <v>4.6548907538546169</v>
      </c>
      <c r="K1515" s="8"/>
    </row>
    <row r="1516" spans="1:11" ht="15" x14ac:dyDescent="0.25">
      <c r="A1516" s="3" t="str">
        <f>HYPERLINK("proteomic_fractions_linear_files/Yang_linear_img/31981822.jpg", "31981822")</f>
        <v>31981822</v>
      </c>
      <c r="C1516" s="3" t="str">
        <f>HYPERLINK("http://www.ncbi.nlm.nih.gov/protein/31981822","Cst3")</f>
        <v>Cst3</v>
      </c>
      <c r="E1516" t="str">
        <f>HYPERLINK("J:\Depot - mpkCCD Fractions\Main Web Page\Web Pages_old\proteomic_fractions_linear_files/Yang_linear_img/31981822.jpg","show blot")</f>
        <v>show blot</v>
      </c>
      <c r="G1516" t="s">
        <v>1507</v>
      </c>
      <c r="I1516" s="6">
        <v>4.3803110613073981</v>
      </c>
      <c r="K1516" s="8"/>
    </row>
    <row r="1517" spans="1:11" ht="15" x14ac:dyDescent="0.25">
      <c r="A1517" s="3" t="str">
        <f>HYPERLINK("proteomic_fractions_linear_files/Yang_linear_img/33469017.jpg", "33469017")</f>
        <v>33469017</v>
      </c>
      <c r="C1517" s="3" t="str">
        <f>HYPERLINK("http://www.ncbi.nlm.nih.gov/protein/33469017","Cstad")</f>
        <v>Cstad</v>
      </c>
      <c r="E1517" t="str">
        <f>HYPERLINK("J:\Depot - mpkCCD Fractions\Main Web Page\Web Pages_old\proteomic_fractions_linear_files/Yang_linear_img/33469017.jpg","show blot")</f>
        <v>show blot</v>
      </c>
      <c r="G1517" t="s">
        <v>1508</v>
      </c>
      <c r="I1517" s="6">
        <v>6.7657508085740741</v>
      </c>
      <c r="K1517" s="8"/>
    </row>
    <row r="1518" spans="1:11" ht="15" x14ac:dyDescent="0.25">
      <c r="A1518" s="3" t="str">
        <f>HYPERLINK("proteomic_fractions_linear_files/Yang_linear_img/6681071.jpg", "6681071")</f>
        <v>6681071</v>
      </c>
      <c r="C1518" s="3" t="str">
        <f>HYPERLINK("http://www.ncbi.nlm.nih.gov/protein/6681071","Cstb")</f>
        <v>Cstb</v>
      </c>
      <c r="E1518" t="str">
        <f>HYPERLINK("J:\Depot - mpkCCD Fractions\Main Web Page\Web Pages_old\proteomic_fractions_linear_files/Yang_linear_img/6681071.jpg","show blot")</f>
        <v>show blot</v>
      </c>
      <c r="G1518" t="s">
        <v>1509</v>
      </c>
      <c r="I1518" s="6">
        <v>5.7312231075071107</v>
      </c>
      <c r="K1518" s="8"/>
    </row>
    <row r="1519" spans="1:11" ht="15" x14ac:dyDescent="0.25">
      <c r="A1519" s="3" t="str">
        <f>HYPERLINK("proteomic_fractions_linear_files/Yang_linear_img/13195628.jpg", "13195628")</f>
        <v>13195628</v>
      </c>
      <c r="C1519" s="3" t="str">
        <f>HYPERLINK("http://www.ncbi.nlm.nih.gov/protein/13195628","Cstf1")</f>
        <v>Cstf1</v>
      </c>
      <c r="E1519" t="str">
        <f>HYPERLINK("J:\Depot - mpkCCD Fractions\Main Web Page\Web Pages_old\proteomic_fractions_linear_files/Yang_linear_img/13195628.jpg","show blot")</f>
        <v>show blot</v>
      </c>
      <c r="G1519" t="s">
        <v>1510</v>
      </c>
      <c r="I1519" s="6">
        <v>3.5593115741352328</v>
      </c>
      <c r="K1519" s="8"/>
    </row>
    <row r="1520" spans="1:11" ht="15" x14ac:dyDescent="0.25">
      <c r="A1520" s="3" t="str">
        <f>HYPERLINK("proteomic_fractions_linear_files/Yang_linear_img/18875338.jpg", "18875338")</f>
        <v>18875338</v>
      </c>
      <c r="C1520" s="3" t="str">
        <f>HYPERLINK("http://www.ncbi.nlm.nih.gov/protein/18875338","Cstf2")</f>
        <v>Cstf2</v>
      </c>
      <c r="E1520" t="str">
        <f>HYPERLINK("J:\Depot - mpkCCD Fractions\Main Web Page\Web Pages_old\proteomic_fractions_linear_files/Yang_linear_img/18875338.jpg","show blot")</f>
        <v>show blot</v>
      </c>
      <c r="G1520" t="s">
        <v>1511</v>
      </c>
      <c r="I1520" s="6">
        <v>3.8599955394129517</v>
      </c>
      <c r="K1520" s="8"/>
    </row>
    <row r="1521" spans="1:11" ht="15" x14ac:dyDescent="0.25">
      <c r="A1521" s="3" t="str">
        <f>HYPERLINK("proteomic_fractions_linear_files/Yang_linear_img/21704042.jpg", "21704042")</f>
        <v>21704042</v>
      </c>
      <c r="C1521" s="3" t="str">
        <f>HYPERLINK("http://www.ncbi.nlm.nih.gov/protein/21704042","Cstf3")</f>
        <v>Cstf3</v>
      </c>
      <c r="E1521" t="str">
        <f>HYPERLINK("J:\Depot - mpkCCD Fractions\Main Web Page\Web Pages_old\proteomic_fractions_linear_files/Yang_linear_img/21704042.jpg","show blot")</f>
        <v>show blot</v>
      </c>
      <c r="G1521" t="s">
        <v>1512</v>
      </c>
      <c r="I1521" s="6">
        <v>4.5132716829745938</v>
      </c>
      <c r="K1521" s="8"/>
    </row>
    <row r="1522" spans="1:11" ht="15" x14ac:dyDescent="0.25">
      <c r="A1522" s="3" t="str">
        <f>HYPERLINK("proteomic_fractions_linear_files/Yang_linear_img/259155334.jpg", "259155334")</f>
        <v>259155334</v>
      </c>
      <c r="C1522" s="3" t="str">
        <f>HYPERLINK("http://www.ncbi.nlm.nih.gov/protein/259155334","Ctage5")</f>
        <v>Ctage5</v>
      </c>
      <c r="E1522" t="str">
        <f>HYPERLINK("J:\Depot - mpkCCD Fractions\Main Web Page\Web Pages_old\proteomic_fractions_linear_files/Yang_linear_img/259155334.jpg","show blot")</f>
        <v>show blot</v>
      </c>
      <c r="G1522" t="s">
        <v>1513</v>
      </c>
      <c r="I1522" s="6">
        <v>2.6840210673032572</v>
      </c>
      <c r="K1522" s="8"/>
    </row>
    <row r="1523" spans="1:11" ht="15" x14ac:dyDescent="0.25">
      <c r="A1523" s="3" t="str">
        <f>HYPERLINK("proteomic_fractions_linear_files/Yang_linear_img/259155336.jpg", "259155336")</f>
        <v>259155336</v>
      </c>
      <c r="C1523" s="3" t="str">
        <f>HYPERLINK("http://www.ncbi.nlm.nih.gov/protein/259155336","Ctage5")</f>
        <v>Ctage5</v>
      </c>
      <c r="E1523" t="str">
        <f>HYPERLINK("J:\Depot - mpkCCD Fractions\Main Web Page\Web Pages_old\proteomic_fractions_linear_files/Yang_linear_img/259155336.jpg","show blot")</f>
        <v>show blot</v>
      </c>
      <c r="G1523" t="s">
        <v>1514</v>
      </c>
      <c r="I1523" s="6">
        <v>2.6840210673032572</v>
      </c>
      <c r="K1523" s="8"/>
    </row>
    <row r="1524" spans="1:11" ht="15" x14ac:dyDescent="0.25">
      <c r="A1524" s="3" t="str">
        <f>HYPERLINK("proteomic_fractions_linear_files/Yang_linear_img/259155338.jpg", "259155338")</f>
        <v>259155338</v>
      </c>
      <c r="C1524" s="3" t="str">
        <f>HYPERLINK("http://www.ncbi.nlm.nih.gov/protein/259155338","Ctage5")</f>
        <v>Ctage5</v>
      </c>
      <c r="E1524" t="str">
        <f>HYPERLINK("J:\Depot - mpkCCD Fractions\Main Web Page\Web Pages_old\proteomic_fractions_linear_files/Yang_linear_img/259155338.jpg","show blot")</f>
        <v>show blot</v>
      </c>
      <c r="G1524" t="s">
        <v>1515</v>
      </c>
      <c r="I1524" s="6">
        <v>2.6840210673032572</v>
      </c>
      <c r="K1524" s="8"/>
    </row>
    <row r="1525" spans="1:11" ht="15" x14ac:dyDescent="0.25">
      <c r="A1525" s="3" t="str">
        <f>HYPERLINK("proteomic_fractions_linear_files/Yang_linear_img/311893324.jpg", "311893324")</f>
        <v>311893324</v>
      </c>
      <c r="C1525" s="3" t="str">
        <f>HYPERLINK("http://www.ncbi.nlm.nih.gov/protein/311893324","Ctbp1")</f>
        <v>Ctbp1</v>
      </c>
      <c r="E1525" t="str">
        <f>HYPERLINK("J:\Depot - mpkCCD Fractions\Main Web Page\Web Pages_old\proteomic_fractions_linear_files/Yang_linear_img/311893324.jpg","show blot")</f>
        <v>show blot</v>
      </c>
      <c r="G1525" t="s">
        <v>1516</v>
      </c>
      <c r="I1525" s="6">
        <v>5.2252837301939428</v>
      </c>
      <c r="K1525" s="8"/>
    </row>
    <row r="1526" spans="1:11" ht="15" x14ac:dyDescent="0.25">
      <c r="A1526" s="3" t="str">
        <f>HYPERLINK("proteomic_fractions_linear_files/Yang_linear_img/311893326.jpg", "311893326")</f>
        <v>311893326</v>
      </c>
      <c r="C1526" s="3" t="str">
        <f>HYPERLINK("http://www.ncbi.nlm.nih.gov/protein/311893326","Ctbp1")</f>
        <v>Ctbp1</v>
      </c>
      <c r="E1526" t="str">
        <f>HYPERLINK("J:\Depot - mpkCCD Fractions\Main Web Page\Web Pages_old\proteomic_fractions_linear_files/Yang_linear_img/311893326.jpg","show blot")</f>
        <v>show blot</v>
      </c>
      <c r="G1526" t="s">
        <v>1517</v>
      </c>
      <c r="I1526" s="6">
        <v>5.2252837301939428</v>
      </c>
      <c r="K1526" s="8"/>
    </row>
    <row r="1527" spans="1:11" ht="15" x14ac:dyDescent="0.25">
      <c r="A1527" s="3" t="str">
        <f>HYPERLINK("proteomic_fractions_linear_files/Yang_linear_img/311893328.jpg", "311893328")</f>
        <v>311893328</v>
      </c>
      <c r="C1527" s="3" t="str">
        <f>HYPERLINK("http://www.ncbi.nlm.nih.gov/protein/311893328","Ctbp1")</f>
        <v>Ctbp1</v>
      </c>
      <c r="E1527" t="str">
        <f>HYPERLINK("J:\Depot - mpkCCD Fractions\Main Web Page\Web Pages_old\proteomic_fractions_linear_files/Yang_linear_img/311893328.jpg","show blot")</f>
        <v>show blot</v>
      </c>
      <c r="G1527" t="s">
        <v>1518</v>
      </c>
      <c r="I1527" s="6">
        <v>5.2252837301939428</v>
      </c>
      <c r="K1527" s="8"/>
    </row>
    <row r="1528" spans="1:11" ht="15" x14ac:dyDescent="0.25">
      <c r="A1528" s="3" t="str">
        <f>HYPERLINK("proteomic_fractions_linear_files/Yang_linear_img/7304989.jpg", "7304989")</f>
        <v>7304989</v>
      </c>
      <c r="C1528" s="3" t="str">
        <f>HYPERLINK("http://www.ncbi.nlm.nih.gov/protein/7304989","Ctbp1")</f>
        <v>Ctbp1</v>
      </c>
      <c r="E1528" t="str">
        <f>HYPERLINK("J:\Depot - mpkCCD Fractions\Main Web Page\Web Pages_old\proteomic_fractions_linear_files/Yang_linear_img/7304989.jpg","show blot")</f>
        <v>show blot</v>
      </c>
      <c r="G1528" t="s">
        <v>1519</v>
      </c>
      <c r="I1528" s="6">
        <v>5.2252837301939428</v>
      </c>
      <c r="K1528" s="8"/>
    </row>
    <row r="1529" spans="1:11" ht="15" x14ac:dyDescent="0.25">
      <c r="A1529" s="3" t="str">
        <f>HYPERLINK("proteomic_fractions_linear_files/Yang_linear_img/282721029.jpg", "282721029")</f>
        <v>282721029</v>
      </c>
      <c r="C1529" s="3" t="str">
        <f>HYPERLINK("http://www.ncbi.nlm.nih.gov/protein/282721029","Ctbp2")</f>
        <v>Ctbp2</v>
      </c>
      <c r="E1529" t="str">
        <f>HYPERLINK("J:\Depot - mpkCCD Fractions\Main Web Page\Web Pages_old\proteomic_fractions_linear_files/Yang_linear_img/282721029.jpg","show blot")</f>
        <v>show blot</v>
      </c>
      <c r="G1529" t="s">
        <v>1520</v>
      </c>
      <c r="I1529" s="6">
        <v>5.4113211537846464</v>
      </c>
      <c r="K1529" s="8"/>
    </row>
    <row r="1530" spans="1:11" ht="15" x14ac:dyDescent="0.25">
      <c r="A1530" s="3" t="str">
        <f>HYPERLINK("proteomic_fractions_linear_files/Yang_linear_img/6753548.jpg", "6753548")</f>
        <v>6753548</v>
      </c>
      <c r="C1530" s="3" t="str">
        <f>HYPERLINK("http://www.ncbi.nlm.nih.gov/protein/6753548","Ctbp2")</f>
        <v>Ctbp2</v>
      </c>
      <c r="E1530" t="str">
        <f>HYPERLINK("J:\Depot - mpkCCD Fractions\Main Web Page\Web Pages_old\proteomic_fractions_linear_files/Yang_linear_img/6753548.jpg","show blot")</f>
        <v>show blot</v>
      </c>
      <c r="G1530" t="s">
        <v>1521</v>
      </c>
      <c r="I1530" s="6">
        <v>5.4113211537846464</v>
      </c>
      <c r="K1530" s="8"/>
    </row>
    <row r="1531" spans="1:11" ht="15" x14ac:dyDescent="0.25">
      <c r="A1531" s="3" t="str">
        <f>HYPERLINK("proteomic_fractions_linear_files/Yang_linear_img/27229204.jpg", "27229204")</f>
        <v>27229204</v>
      </c>
      <c r="C1531" s="3" t="str">
        <f>HYPERLINK("http://www.ncbi.nlm.nih.gov/protein/27229204","Ctbs")</f>
        <v>Ctbs</v>
      </c>
      <c r="E1531" t="str">
        <f>HYPERLINK("J:\Depot - mpkCCD Fractions\Main Web Page\Web Pages_old\proteomic_fractions_linear_files/Yang_linear_img/27229204.jpg","show blot")</f>
        <v>show blot</v>
      </c>
      <c r="G1531" t="s">
        <v>1522</v>
      </c>
      <c r="I1531" s="6">
        <v>3.0488410953597365</v>
      </c>
      <c r="K1531" s="8"/>
    </row>
    <row r="1532" spans="1:11" ht="15" x14ac:dyDescent="0.25">
      <c r="A1532" s="3" t="str">
        <f>HYPERLINK("proteomic_fractions_linear_files/Yang_linear_img/219689064.jpg", "219689064")</f>
        <v>219689064</v>
      </c>
      <c r="C1532" s="3" t="str">
        <f>HYPERLINK("http://www.ncbi.nlm.nih.gov/protein/219689064","Ctc1")</f>
        <v>Ctc1</v>
      </c>
      <c r="E1532" t="str">
        <f>HYPERLINK("J:\Depot - mpkCCD Fractions\Main Web Page\Web Pages_old\proteomic_fractions_linear_files/Yang_linear_img/219689064.jpg","show blot")</f>
        <v>show blot</v>
      </c>
      <c r="G1532" t="s">
        <v>1523</v>
      </c>
      <c r="I1532" s="6">
        <v>4.1402876873784988</v>
      </c>
      <c r="K1532" s="8"/>
    </row>
    <row r="1533" spans="1:11" ht="15" x14ac:dyDescent="0.25">
      <c r="A1533" s="3" t="str">
        <f>HYPERLINK("proteomic_fractions_linear_files/Yang_linear_img/219689066.jpg", "219689066")</f>
        <v>219689066</v>
      </c>
      <c r="C1533" s="3" t="str">
        <f>HYPERLINK("http://www.ncbi.nlm.nih.gov/protein/219689066","Ctc1")</f>
        <v>Ctc1</v>
      </c>
      <c r="E1533" t="str">
        <f>HYPERLINK("J:\Depot - mpkCCD Fractions\Main Web Page\Web Pages_old\proteomic_fractions_linear_files/Yang_linear_img/219689066.jpg","show blot")</f>
        <v>show blot</v>
      </c>
      <c r="G1533" t="s">
        <v>1524</v>
      </c>
      <c r="I1533" s="6">
        <v>4.1402876873784988</v>
      </c>
      <c r="K1533" s="8"/>
    </row>
    <row r="1534" spans="1:11" ht="15" x14ac:dyDescent="0.25">
      <c r="A1534" s="3" t="str">
        <f>HYPERLINK("proteomic_fractions_linear_files/Yang_linear_img/31044459.jpg", "31044459")</f>
        <v>31044459</v>
      </c>
      <c r="C1534" s="3" t="str">
        <f>HYPERLINK("http://www.ncbi.nlm.nih.gov/protein/31044459","Ctcf")</f>
        <v>Ctcf</v>
      </c>
      <c r="E1534" t="str">
        <f>HYPERLINK("J:\Depot - mpkCCD Fractions\Main Web Page\Web Pages_old\proteomic_fractions_linear_files/Yang_linear_img/31044459.jpg","show blot")</f>
        <v>show blot</v>
      </c>
      <c r="G1534" t="s">
        <v>1525</v>
      </c>
      <c r="I1534" s="6">
        <v>3.5491688063314042</v>
      </c>
      <c r="K1534" s="8"/>
    </row>
    <row r="1535" spans="1:11" ht="15" x14ac:dyDescent="0.25">
      <c r="A1535" s="3" t="str">
        <f>HYPERLINK("proteomic_fractions_linear_files/Yang_linear_img/34328280.jpg", "34328280")</f>
        <v>34328280</v>
      </c>
      <c r="C1535" s="3" t="str">
        <f>HYPERLINK("http://www.ncbi.nlm.nih.gov/protein/34328280","Ctdp1")</f>
        <v>Ctdp1</v>
      </c>
      <c r="E1535" t="str">
        <f>HYPERLINK("J:\Depot - mpkCCD Fractions\Main Web Page\Web Pages_old\proteomic_fractions_linear_files/Yang_linear_img/34328280.jpg","show blot")</f>
        <v>show blot</v>
      </c>
      <c r="G1535" t="s">
        <v>1526</v>
      </c>
      <c r="I1535" s="6">
        <v>3.8975903049994423</v>
      </c>
      <c r="K1535" s="8"/>
    </row>
    <row r="1536" spans="1:11" ht="15" x14ac:dyDescent="0.25">
      <c r="A1536" s="3" t="str">
        <f>HYPERLINK("proteomic_fractions_linear_files/Yang_linear_img/23346509.jpg", "23346509")</f>
        <v>23346509</v>
      </c>
      <c r="C1536" s="3" t="str">
        <f>HYPERLINK("http://www.ncbi.nlm.nih.gov/protein/23346509","Ctdsp1")</f>
        <v>Ctdsp1</v>
      </c>
      <c r="E1536" t="str">
        <f>HYPERLINK("J:\Depot - mpkCCD Fractions\Main Web Page\Web Pages_old\proteomic_fractions_linear_files/Yang_linear_img/23346509.jpg","show blot")</f>
        <v>show blot</v>
      </c>
      <c r="G1536" t="s">
        <v>1527</v>
      </c>
      <c r="I1536" s="6">
        <v>3.3585911785170937</v>
      </c>
      <c r="K1536" s="8"/>
    </row>
    <row r="1537" spans="1:11" ht="15" x14ac:dyDescent="0.25">
      <c r="A1537" s="3" t="str">
        <f>HYPERLINK("proteomic_fractions_linear_files/Yang_linear_img/164698411.jpg", "164698411")</f>
        <v>164698411</v>
      </c>
      <c r="C1537" s="3" t="str">
        <f>HYPERLINK("http://www.ncbi.nlm.nih.gov/protein/164698411","Ctdsp2")</f>
        <v>Ctdsp2</v>
      </c>
      <c r="E1537" t="str">
        <f>HYPERLINK("J:\Depot - mpkCCD Fractions\Main Web Page\Web Pages_old\proteomic_fractions_linear_files/Yang_linear_img/164698411.jpg","show blot")</f>
        <v>show blot</v>
      </c>
      <c r="G1537" t="s">
        <v>1528</v>
      </c>
      <c r="I1537" s="6">
        <v>2.6656531389509879</v>
      </c>
      <c r="K1537" s="8"/>
    </row>
    <row r="1538" spans="1:11" ht="15" x14ac:dyDescent="0.25">
      <c r="A1538" s="3" t="str">
        <f>HYPERLINK("proteomic_fractions_linear_files/Yang_linear_img/22122479.jpg", "22122479")</f>
        <v>22122479</v>
      </c>
      <c r="C1538" s="3" t="str">
        <f>HYPERLINK("http://www.ncbi.nlm.nih.gov/protein/22122479","Ctdsp2")</f>
        <v>Ctdsp2</v>
      </c>
      <c r="E1538" t="str">
        <f>HYPERLINK("J:\Depot - mpkCCD Fractions\Main Web Page\Web Pages_old\proteomic_fractions_linear_files/Yang_linear_img/22122479.jpg","show blot")</f>
        <v>show blot</v>
      </c>
      <c r="G1538" t="s">
        <v>1529</v>
      </c>
      <c r="I1538" s="6">
        <v>2.6656531389509879</v>
      </c>
      <c r="K1538" s="8"/>
    </row>
    <row r="1539" spans="1:11" ht="15" x14ac:dyDescent="0.25">
      <c r="A1539" s="3" t="str">
        <f>HYPERLINK("proteomic_fractions_linear_files/Yang_linear_img/171460950.jpg", "171460950")</f>
        <v>171460950</v>
      </c>
      <c r="C1539" s="3" t="str">
        <f>HYPERLINK("http://www.ncbi.nlm.nih.gov/protein/171460950","Ctdspl")</f>
        <v>Ctdspl</v>
      </c>
      <c r="E1539" t="str">
        <f>HYPERLINK("J:\Depot - mpkCCD Fractions\Main Web Page\Web Pages_old\proteomic_fractions_linear_files/Yang_linear_img/171460950.jpg","show blot")</f>
        <v>show blot</v>
      </c>
      <c r="G1539" t="s">
        <v>1530</v>
      </c>
      <c r="I1539" s="6">
        <v>3.2409211120555663</v>
      </c>
      <c r="K1539" s="8"/>
    </row>
    <row r="1540" spans="1:11" ht="15" x14ac:dyDescent="0.25">
      <c r="A1540" s="3" t="str">
        <f>HYPERLINK("proteomic_fractions_linear_files/Yang_linear_img/6681075.jpg", "6681075")</f>
        <v>6681075</v>
      </c>
      <c r="C1540" s="3" t="str">
        <f>HYPERLINK("http://www.ncbi.nlm.nih.gov/protein/6681075","Ctf1")</f>
        <v>Ctf1</v>
      </c>
      <c r="E1540" t="str">
        <f>HYPERLINK("J:\Depot - mpkCCD Fractions\Main Web Page\Web Pages_old\proteomic_fractions_linear_files/Yang_linear_img/6681075.jpg","show blot")</f>
        <v>show blot</v>
      </c>
      <c r="G1540" t="s">
        <v>1531</v>
      </c>
      <c r="I1540" s="6">
        <v>3.4265193639099674</v>
      </c>
      <c r="K1540" s="8"/>
    </row>
    <row r="1541" spans="1:11" ht="15" x14ac:dyDescent="0.25">
      <c r="A1541" s="3" t="str">
        <f>HYPERLINK("proteomic_fractions_linear_files/Yang_linear_img/38524598.jpg", "38524598")</f>
        <v>38524598</v>
      </c>
      <c r="C1541" s="3" t="str">
        <f>HYPERLINK("http://www.ncbi.nlm.nih.gov/protein/38524598","Ctf2")</f>
        <v>Ctf2</v>
      </c>
      <c r="E1541" t="str">
        <f>HYPERLINK("J:\Depot - mpkCCD Fractions\Main Web Page\Web Pages_old\proteomic_fractions_linear_files/Yang_linear_img/38524598.jpg","show blot")</f>
        <v>show blot</v>
      </c>
      <c r="G1541" t="s">
        <v>1532</v>
      </c>
      <c r="I1541" s="6">
        <v>4.0007927083324031</v>
      </c>
      <c r="K1541" s="8"/>
    </row>
    <row r="1542" spans="1:11" ht="15" x14ac:dyDescent="0.25">
      <c r="A1542" s="3" t="str">
        <f>HYPERLINK("proteomic_fractions_linear_files/Yang_linear_img/22122387.jpg", "22122387")</f>
        <v>22122387</v>
      </c>
      <c r="C1542" s="3" t="str">
        <f>HYPERLINK("http://www.ncbi.nlm.nih.gov/protein/22122387","Cth")</f>
        <v>Cth</v>
      </c>
      <c r="E1542" t="str">
        <f>HYPERLINK("J:\Depot - mpkCCD Fractions\Main Web Page\Web Pages_old\proteomic_fractions_linear_files/Yang_linear_img/22122387.jpg","show blot")</f>
        <v>show blot</v>
      </c>
      <c r="G1542" t="s">
        <v>1533</v>
      </c>
      <c r="I1542" s="6">
        <v>5.3220734456814709</v>
      </c>
      <c r="K1542" s="8"/>
    </row>
    <row r="1543" spans="1:11" ht="15" x14ac:dyDescent="0.25">
      <c r="A1543" s="3" t="str">
        <f>HYPERLINK("proteomic_fractions_linear_files/Yang_linear_img/6753294.jpg", "6753294")</f>
        <v>6753294</v>
      </c>
      <c r="C1543" s="3" t="str">
        <f>HYPERLINK("http://www.ncbi.nlm.nih.gov/protein/6753294","Ctnna1")</f>
        <v>Ctnna1</v>
      </c>
      <c r="E1543" t="str">
        <f>HYPERLINK("J:\Depot - mpkCCD Fractions\Main Web Page\Web Pages_old\proteomic_fractions_linear_files/Yang_linear_img/6753294.jpg","show blot")</f>
        <v>show blot</v>
      </c>
      <c r="G1543" t="s">
        <v>1534</v>
      </c>
      <c r="I1543" s="6">
        <v>6.2480111406715473</v>
      </c>
      <c r="K1543" s="8"/>
    </row>
    <row r="1544" spans="1:11" ht="15" x14ac:dyDescent="0.25">
      <c r="A1544" s="3" t="str">
        <f>HYPERLINK("proteomic_fractions_linear_files/Yang_linear_img/157951725.jpg", "157951725")</f>
        <v>157951725</v>
      </c>
      <c r="C1544" s="3" t="str">
        <f>HYPERLINK("http://www.ncbi.nlm.nih.gov/protein/157951725","Ctnna2")</f>
        <v>Ctnna2</v>
      </c>
      <c r="E1544" t="str">
        <f>HYPERLINK("J:\Depot - mpkCCD Fractions\Main Web Page\Web Pages_old\proteomic_fractions_linear_files/Yang_linear_img/157951725.jpg","show blot")</f>
        <v>show blot</v>
      </c>
      <c r="G1544" t="s">
        <v>1535</v>
      </c>
      <c r="I1544" s="6">
        <v>5.617407845035963</v>
      </c>
      <c r="K1544" s="8"/>
    </row>
    <row r="1545" spans="1:11" ht="15" x14ac:dyDescent="0.25">
      <c r="A1545" s="3" t="str">
        <f>HYPERLINK("proteomic_fractions_linear_files/Yang_linear_img/157951727.jpg", "157951727")</f>
        <v>157951727</v>
      </c>
      <c r="C1545" s="3" t="str">
        <f>HYPERLINK("http://www.ncbi.nlm.nih.gov/protein/157951727","Ctnna2")</f>
        <v>Ctnna2</v>
      </c>
      <c r="E1545" t="str">
        <f>HYPERLINK("J:\Depot - mpkCCD Fractions\Main Web Page\Web Pages_old\proteomic_fractions_linear_files/Yang_linear_img/157951727.jpg","show blot")</f>
        <v>show blot</v>
      </c>
      <c r="G1545" t="s">
        <v>1536</v>
      </c>
      <c r="I1545" s="6">
        <v>5.617407845035963</v>
      </c>
      <c r="K1545" s="8"/>
    </row>
    <row r="1546" spans="1:11" ht="15" x14ac:dyDescent="0.25">
      <c r="A1546" s="3" t="str">
        <f>HYPERLINK("proteomic_fractions_linear_files/Yang_linear_img/256985121.jpg", "256985121")</f>
        <v>256985121</v>
      </c>
      <c r="C1546" s="3" t="str">
        <f>HYPERLINK("http://www.ncbi.nlm.nih.gov/protein/256985121","Ctnna3")</f>
        <v>Ctnna3</v>
      </c>
      <c r="E1546" t="str">
        <f>HYPERLINK("J:\Depot - mpkCCD Fractions\Main Web Page\Web Pages_old\proteomic_fractions_linear_files/Yang_linear_img/256985121.jpg","show blot")</f>
        <v>show blot</v>
      </c>
      <c r="G1546" t="s">
        <v>1537</v>
      </c>
      <c r="I1546" s="6">
        <v>5.1784181521629309</v>
      </c>
      <c r="K1546" s="8"/>
    </row>
    <row r="1547" spans="1:11" ht="15" x14ac:dyDescent="0.25">
      <c r="A1547" s="3" t="str">
        <f>HYPERLINK("proteomic_fractions_linear_files/Yang_linear_img/256985121;256985119.jpg", "256985121;256985119")</f>
        <v>256985121;256985119</v>
      </c>
      <c r="C1547" s="3" t="str">
        <f>HYPERLINK("http://www.ncbi.nlm.nih.gov/protein/256985121;256985119","Ctnna3")</f>
        <v>Ctnna3</v>
      </c>
      <c r="E1547" t="str">
        <f>HYPERLINK("J:\Depot - mpkCCD Fractions\Main Web Page\Web Pages_old\proteomic_fractions_linear_files/Yang_linear_img/256985121;256985119.jpg","show blot")</f>
        <v>show blot</v>
      </c>
      <c r="G1547" t="s">
        <v>1537</v>
      </c>
      <c r="I1547" s="6">
        <v>5.1784181521629309</v>
      </c>
      <c r="K1547" s="8"/>
    </row>
    <row r="1548" spans="1:11" ht="15" x14ac:dyDescent="0.25">
      <c r="A1548" s="3" t="str">
        <f>HYPERLINK("proteomic_fractions_linear_files/Yang_linear_img/256985119;256985121.jpg", "256985119;256985121")</f>
        <v>256985119;256985121</v>
      </c>
      <c r="C1548" s="3" t="str">
        <f>HYPERLINK("http://www.ncbi.nlm.nih.gov/protein/256985119;256985121","Ctnna3")</f>
        <v>Ctnna3</v>
      </c>
      <c r="E1548" t="str">
        <f>HYPERLINK("J:\Depot - mpkCCD Fractions\Main Web Page\Web Pages_old\proteomic_fractions_linear_files/Yang_linear_img/256985119;256985121.jpg","show blot")</f>
        <v>show blot</v>
      </c>
      <c r="G1548" t="s">
        <v>1537</v>
      </c>
      <c r="I1548" s="6">
        <v>5.1784181521629309</v>
      </c>
      <c r="K1548" s="8"/>
    </row>
    <row r="1549" spans="1:11" ht="15" x14ac:dyDescent="0.25">
      <c r="A1549" s="3" t="str">
        <f>HYPERLINK("proteomic_fractions_linear_files/Yang_linear_img/256985152.jpg", "256985152")</f>
        <v>256985152</v>
      </c>
      <c r="C1549" s="3" t="str">
        <f>HYPERLINK("http://www.ncbi.nlm.nih.gov/protein/256985152","Ctnna3")</f>
        <v>Ctnna3</v>
      </c>
      <c r="E1549" t="str">
        <f>HYPERLINK("J:\Depot - mpkCCD Fractions\Main Web Page\Web Pages_old\proteomic_fractions_linear_files/Yang_linear_img/256985152.jpg","show blot")</f>
        <v>show blot</v>
      </c>
      <c r="G1549" t="s">
        <v>1538</v>
      </c>
      <c r="I1549" s="6">
        <v>5.1784181521629309</v>
      </c>
      <c r="K1549" s="8"/>
    </row>
    <row r="1550" spans="1:11" ht="15" x14ac:dyDescent="0.25">
      <c r="A1550" s="3" t="str">
        <f>HYPERLINK("proteomic_fractions_linear_files/Yang_linear_img/227330565.jpg", "227330565")</f>
        <v>227330565</v>
      </c>
      <c r="C1550" s="3" t="str">
        <f>HYPERLINK("http://www.ncbi.nlm.nih.gov/protein/227330565","Ctnnal1")</f>
        <v>Ctnnal1</v>
      </c>
      <c r="E1550" t="str">
        <f>HYPERLINK("J:\Depot - mpkCCD Fractions\Main Web Page\Web Pages_old\proteomic_fractions_linear_files/Yang_linear_img/227330565.jpg","show blot")</f>
        <v>show blot</v>
      </c>
      <c r="G1550" t="s">
        <v>1539</v>
      </c>
      <c r="I1550" s="6">
        <v>4.1394553863302397</v>
      </c>
      <c r="K1550" s="8"/>
    </row>
    <row r="1551" spans="1:11" ht="15" x14ac:dyDescent="0.25">
      <c r="A1551" s="3" t="str">
        <f>HYPERLINK("proteomic_fractions_linear_files/Yang_linear_img/260166642.jpg", "260166642")</f>
        <v>260166642</v>
      </c>
      <c r="C1551" s="3" t="str">
        <f>HYPERLINK("http://www.ncbi.nlm.nih.gov/protein/260166642","Ctnnb1")</f>
        <v>Ctnnb1</v>
      </c>
      <c r="E1551" t="str">
        <f>HYPERLINK("J:\Depot - mpkCCD Fractions\Main Web Page\Web Pages_old\proteomic_fractions_linear_files/Yang_linear_img/260166642.jpg","show blot")</f>
        <v>show blot</v>
      </c>
      <c r="G1551" t="s">
        <v>1540</v>
      </c>
      <c r="I1551" s="6">
        <v>6.0184888472790439</v>
      </c>
      <c r="K1551" s="8"/>
    </row>
    <row r="1552" spans="1:11" ht="15" x14ac:dyDescent="0.25">
      <c r="A1552" s="3" t="str">
        <f>HYPERLINK("proteomic_fractions_linear_files/Yang_linear_img/254540032.jpg", "254540032")</f>
        <v>254540032</v>
      </c>
      <c r="C1552" s="3" t="str">
        <f>HYPERLINK("http://www.ncbi.nlm.nih.gov/protein/254540032","Ctnnbl1")</f>
        <v>Ctnnbl1</v>
      </c>
      <c r="E1552" t="str">
        <f>HYPERLINK("J:\Depot - mpkCCD Fractions\Main Web Page\Web Pages_old\proteomic_fractions_linear_files/Yang_linear_img/254540032.jpg","show blot")</f>
        <v>show blot</v>
      </c>
      <c r="G1552" t="s">
        <v>1541</v>
      </c>
      <c r="I1552" s="6">
        <v>4.7426797607924982</v>
      </c>
      <c r="K1552" s="8"/>
    </row>
    <row r="1553" spans="1:11" ht="15" x14ac:dyDescent="0.25">
      <c r="A1553" s="3" t="str">
        <f>HYPERLINK("proteomic_fractions_linear_files/Yang_linear_img/146219835.jpg", "146219835")</f>
        <v>146219835</v>
      </c>
      <c r="C1553" s="3" t="str">
        <f>HYPERLINK("http://www.ncbi.nlm.nih.gov/protein/146219835","Ctnnd1")</f>
        <v>Ctnnd1</v>
      </c>
      <c r="E1553" t="str">
        <f>HYPERLINK("J:\Depot - mpkCCD Fractions\Main Web Page\Web Pages_old\proteomic_fractions_linear_files/Yang_linear_img/146219835.jpg","show blot")</f>
        <v>show blot</v>
      </c>
      <c r="G1553" t="s">
        <v>1542</v>
      </c>
      <c r="I1553" s="6">
        <v>5.8639921790614791</v>
      </c>
      <c r="K1553" s="8"/>
    </row>
    <row r="1554" spans="1:11" ht="15" x14ac:dyDescent="0.25">
      <c r="A1554" s="3" t="str">
        <f>HYPERLINK("proteomic_fractions_linear_files/Yang_linear_img/146219849.jpg", "146219849")</f>
        <v>146219849</v>
      </c>
      <c r="C1554" s="3" t="str">
        <f>HYPERLINK("http://www.ncbi.nlm.nih.gov/protein/146219849","Ctnnd1")</f>
        <v>Ctnnd1</v>
      </c>
      <c r="E1554" t="str">
        <f>HYPERLINK("J:\Depot - mpkCCD Fractions\Main Web Page\Web Pages_old\proteomic_fractions_linear_files/Yang_linear_img/146219849.jpg","show blot")</f>
        <v>show blot</v>
      </c>
      <c r="G1554" t="s">
        <v>1543</v>
      </c>
      <c r="I1554" s="6">
        <v>5.8639921790614791</v>
      </c>
      <c r="K1554" s="8"/>
    </row>
    <row r="1555" spans="1:11" ht="15" x14ac:dyDescent="0.25">
      <c r="A1555" s="3" t="str">
        <f>HYPERLINK("proteomic_fractions_linear_files/Yang_linear_img/146231979.jpg", "146231979")</f>
        <v>146231979</v>
      </c>
      <c r="C1555" s="3" t="str">
        <f>HYPERLINK("http://www.ncbi.nlm.nih.gov/protein/146231979","Ctnnd1")</f>
        <v>Ctnnd1</v>
      </c>
      <c r="E1555" t="str">
        <f>HYPERLINK("J:\Depot - mpkCCD Fractions\Main Web Page\Web Pages_old\proteomic_fractions_linear_files/Yang_linear_img/146231979.jpg","show blot")</f>
        <v>show blot</v>
      </c>
      <c r="G1555" t="s">
        <v>1544</v>
      </c>
      <c r="I1555" s="6">
        <v>5.8639921790614791</v>
      </c>
      <c r="K1555" s="8"/>
    </row>
    <row r="1556" spans="1:11" ht="15" x14ac:dyDescent="0.25">
      <c r="A1556" s="3" t="str">
        <f>HYPERLINK("proteomic_fractions_linear_files/Yang_linear_img/83745122.jpg", "83745122")</f>
        <v>83745122</v>
      </c>
      <c r="C1556" s="3" t="str">
        <f>HYPERLINK("http://www.ncbi.nlm.nih.gov/protein/83745122","Ctnnd1")</f>
        <v>Ctnnd1</v>
      </c>
      <c r="E1556" t="str">
        <f>HYPERLINK("J:\Depot - mpkCCD Fractions\Main Web Page\Web Pages_old\proteomic_fractions_linear_files/Yang_linear_img/83745122.jpg","show blot")</f>
        <v>show blot</v>
      </c>
      <c r="G1556" t="s">
        <v>1545</v>
      </c>
      <c r="I1556" s="6">
        <v>5.8639921790614791</v>
      </c>
      <c r="K1556" s="8"/>
    </row>
    <row r="1557" spans="1:11" ht="15" x14ac:dyDescent="0.25">
      <c r="A1557" s="3" t="str">
        <f>HYPERLINK("proteomic_fractions_linear_files/Yang_linear_img/172072613.jpg", "172072613")</f>
        <v>172072613</v>
      </c>
      <c r="C1557" s="3" t="str">
        <f>HYPERLINK("http://www.ncbi.nlm.nih.gov/protein/172072613","Ctps")</f>
        <v>Ctps</v>
      </c>
      <c r="E1557" t="str">
        <f>HYPERLINK("J:\Depot - mpkCCD Fractions\Main Web Page\Web Pages_old\proteomic_fractions_linear_files/Yang_linear_img/172072613.jpg","show blot")</f>
        <v>show blot</v>
      </c>
      <c r="G1557" t="s">
        <v>1546</v>
      </c>
      <c r="I1557" s="6">
        <v>5.2595770821132453</v>
      </c>
      <c r="K1557" s="8"/>
    </row>
    <row r="1558" spans="1:11" ht="15" x14ac:dyDescent="0.25">
      <c r="A1558" s="3" t="str">
        <f>HYPERLINK("proteomic_fractions_linear_files/Yang_linear_img/270483773;270483771.jpg", "270483773;270483771")</f>
        <v>270483773;270483771</v>
      </c>
      <c r="C1558" s="3" t="str">
        <f>HYPERLINK("http://www.ncbi.nlm.nih.gov/protein/270483773;270483771","Ctps2")</f>
        <v>Ctps2</v>
      </c>
      <c r="E1558" t="str">
        <f>HYPERLINK("J:\Depot - mpkCCD Fractions\Main Web Page\Web Pages_old\proteomic_fractions_linear_files/Yang_linear_img/270483773;270483771.jpg","show blot")</f>
        <v>show blot</v>
      </c>
      <c r="G1558" t="s">
        <v>1547</v>
      </c>
      <c r="I1558" s="6">
        <v>4.7790334501618945</v>
      </c>
      <c r="K1558" s="8"/>
    </row>
    <row r="1559" spans="1:11" ht="15" x14ac:dyDescent="0.25">
      <c r="A1559" s="3" t="str">
        <f>HYPERLINK("proteomic_fractions_linear_files/Yang_linear_img/270483776.jpg", "270483776")</f>
        <v>270483776</v>
      </c>
      <c r="C1559" s="3" t="str">
        <f>HYPERLINK("http://www.ncbi.nlm.nih.gov/protein/270483776","Ctps2")</f>
        <v>Ctps2</v>
      </c>
      <c r="E1559" t="str">
        <f>HYPERLINK("J:\Depot - mpkCCD Fractions\Main Web Page\Web Pages_old\proteomic_fractions_linear_files/Yang_linear_img/270483776.jpg","show blot")</f>
        <v>show blot</v>
      </c>
      <c r="G1559" t="s">
        <v>1548</v>
      </c>
      <c r="I1559" s="6">
        <v>4.7790334501618945</v>
      </c>
      <c r="K1559" s="8"/>
    </row>
    <row r="1560" spans="1:11" ht="15" x14ac:dyDescent="0.25">
      <c r="A1560" s="3" t="str">
        <f>HYPERLINK("proteomic_fractions_linear_files/Yang_linear_img/84042523.jpg", "84042523")</f>
        <v>84042523</v>
      </c>
      <c r="C1560" s="3" t="str">
        <f>HYPERLINK("http://www.ncbi.nlm.nih.gov/protein/84042523","Ctsa")</f>
        <v>Ctsa</v>
      </c>
      <c r="E1560" t="str">
        <f>HYPERLINK("J:\Depot - mpkCCD Fractions\Main Web Page\Web Pages_old\proteomic_fractions_linear_files/Yang_linear_img/84042523.jpg","show blot")</f>
        <v>show blot</v>
      </c>
      <c r="G1560" t="s">
        <v>1549</v>
      </c>
      <c r="I1560" s="6">
        <v>5.7703083993322908</v>
      </c>
      <c r="K1560" s="8"/>
    </row>
    <row r="1561" spans="1:11" ht="15" x14ac:dyDescent="0.25">
      <c r="A1561" s="3" t="str">
        <f>HYPERLINK("proteomic_fractions_linear_files/Yang_linear_img/84042525.jpg", "84042525")</f>
        <v>84042525</v>
      </c>
      <c r="C1561" s="3" t="str">
        <f>HYPERLINK("http://www.ncbi.nlm.nih.gov/protein/84042525","Ctsa")</f>
        <v>Ctsa</v>
      </c>
      <c r="E1561" t="str">
        <f>HYPERLINK("J:\Depot - mpkCCD Fractions\Main Web Page\Web Pages_old\proteomic_fractions_linear_files/Yang_linear_img/84042525.jpg","show blot")</f>
        <v>show blot</v>
      </c>
      <c r="G1561" t="s">
        <v>1550</v>
      </c>
      <c r="I1561" s="6">
        <v>5.7703083993322908</v>
      </c>
      <c r="K1561" s="8"/>
    </row>
    <row r="1562" spans="1:11" ht="15" x14ac:dyDescent="0.25">
      <c r="A1562" s="3" t="str">
        <f>HYPERLINK("proteomic_fractions_linear_files/Yang_linear_img/6681079.jpg", "6681079")</f>
        <v>6681079</v>
      </c>
      <c r="C1562" s="3" t="str">
        <f>HYPERLINK("http://www.ncbi.nlm.nih.gov/protein/6681079","Ctsb")</f>
        <v>Ctsb</v>
      </c>
      <c r="E1562" t="str">
        <f>HYPERLINK("J:\Depot - mpkCCD Fractions\Main Web Page\Web Pages_old\proteomic_fractions_linear_files/Yang_linear_img/6681079.jpg","show blot")</f>
        <v>show blot</v>
      </c>
      <c r="G1562" t="s">
        <v>1551</v>
      </c>
      <c r="I1562" s="6">
        <v>6.0929514466482209</v>
      </c>
      <c r="K1562" s="8"/>
    </row>
    <row r="1563" spans="1:11" ht="15" x14ac:dyDescent="0.25">
      <c r="A1563" s="3" t="str">
        <f>HYPERLINK("proteomic_fractions_linear_files/Yang_linear_img/160707990.jpg", "160707990")</f>
        <v>160707990</v>
      </c>
      <c r="C1563" s="3" t="str">
        <f>HYPERLINK("http://www.ncbi.nlm.nih.gov/protein/160707990","Ctsc")</f>
        <v>Ctsc</v>
      </c>
      <c r="E1563" t="str">
        <f>HYPERLINK("J:\Depot - mpkCCD Fractions\Main Web Page\Web Pages_old\proteomic_fractions_linear_files/Yang_linear_img/160707990.jpg","show blot")</f>
        <v>show blot</v>
      </c>
      <c r="G1563" t="s">
        <v>1552</v>
      </c>
      <c r="I1563" s="6">
        <v>5.2092943711490642</v>
      </c>
      <c r="K1563" s="8"/>
    </row>
    <row r="1564" spans="1:11" ht="15" x14ac:dyDescent="0.25">
      <c r="A1564" s="3" t="str">
        <f>HYPERLINK("proteomic_fractions_linear_files/Yang_linear_img/6753556.jpg", "6753556")</f>
        <v>6753556</v>
      </c>
      <c r="C1564" s="3" t="str">
        <f>HYPERLINK("http://www.ncbi.nlm.nih.gov/protein/6753556","Ctsd")</f>
        <v>Ctsd</v>
      </c>
      <c r="E1564" t="str">
        <f>HYPERLINK("J:\Depot - mpkCCD Fractions\Main Web Page\Web Pages_old\proteomic_fractions_linear_files/Yang_linear_img/6753556.jpg","show blot")</f>
        <v>show blot</v>
      </c>
      <c r="G1564" t="s">
        <v>1553</v>
      </c>
      <c r="I1564" s="6">
        <v>6.3513174419146594</v>
      </c>
      <c r="K1564" s="8"/>
    </row>
    <row r="1565" spans="1:11" ht="15" x14ac:dyDescent="0.25">
      <c r="A1565" s="3" t="str">
        <f>HYPERLINK("proteomic_fractions_linear_files/Yang_linear_img/166235890.jpg", "166235890")</f>
        <v>166235890</v>
      </c>
      <c r="C1565" s="3" t="str">
        <f>HYPERLINK("http://www.ncbi.nlm.nih.gov/protein/166235890","Ctsh")</f>
        <v>Ctsh</v>
      </c>
      <c r="E1565" t="str">
        <f>HYPERLINK("J:\Depot - mpkCCD Fractions\Main Web Page\Web Pages_old\proteomic_fractions_linear_files/Yang_linear_img/166235890.jpg","show blot")</f>
        <v>show blot</v>
      </c>
      <c r="G1565" t="s">
        <v>1554</v>
      </c>
      <c r="I1565" s="6">
        <v>5.7032252099810385</v>
      </c>
      <c r="K1565" s="8"/>
    </row>
    <row r="1566" spans="1:11" ht="15" x14ac:dyDescent="0.25">
      <c r="A1566" s="3" t="str">
        <f>HYPERLINK("proteomic_fractions_linear_files/Yang_linear_img/6753558.jpg", "6753558")</f>
        <v>6753558</v>
      </c>
      <c r="C1566" s="3" t="str">
        <f>HYPERLINK("http://www.ncbi.nlm.nih.gov/protein/6753558","Ctsl")</f>
        <v>Ctsl</v>
      </c>
      <c r="E1566" t="str">
        <f>HYPERLINK("J:\Depot - mpkCCD Fractions\Main Web Page\Web Pages_old\proteomic_fractions_linear_files/Yang_linear_img/6753558.jpg","show blot")</f>
        <v>show blot</v>
      </c>
      <c r="G1566" t="s">
        <v>1555</v>
      </c>
      <c r="I1566" s="6">
        <v>3.5449522455456779</v>
      </c>
      <c r="K1566" s="8"/>
    </row>
    <row r="1567" spans="1:11" ht="15" x14ac:dyDescent="0.25">
      <c r="A1567" s="3" t="str">
        <f>HYPERLINK("proteomic_fractions_linear_files/Yang_linear_img/11968166.jpg", "11968166")</f>
        <v>11968166</v>
      </c>
      <c r="C1567" s="3" t="str">
        <f>HYPERLINK("http://www.ncbi.nlm.nih.gov/protein/11968166","Ctsz")</f>
        <v>Ctsz</v>
      </c>
      <c r="E1567" t="str">
        <f>HYPERLINK("J:\Depot - mpkCCD Fractions\Main Web Page\Web Pages_old\proteomic_fractions_linear_files/Yang_linear_img/11968166.jpg","show blot")</f>
        <v>show blot</v>
      </c>
      <c r="G1567" t="s">
        <v>1556</v>
      </c>
      <c r="I1567" s="6">
        <v>5.4719945508944798</v>
      </c>
      <c r="K1567" s="8"/>
    </row>
    <row r="1568" spans="1:11" ht="15" x14ac:dyDescent="0.25">
      <c r="A1568" s="3" t="str">
        <f>HYPERLINK("proteomic_fractions_linear_files/Yang_linear_img/357588432.jpg", "357588432")</f>
        <v>357588432</v>
      </c>
      <c r="C1568" s="3" t="str">
        <f>HYPERLINK("http://www.ncbi.nlm.nih.gov/protein/357588432","Cttn")</f>
        <v>Cttn</v>
      </c>
      <c r="E1568" t="str">
        <f>HYPERLINK("J:\Depot - mpkCCD Fractions\Main Web Page\Web Pages_old\proteomic_fractions_linear_files/Yang_linear_img/357588432.jpg","show blot")</f>
        <v>show blot</v>
      </c>
      <c r="G1568" t="s">
        <v>1557</v>
      </c>
      <c r="I1568" s="6">
        <v>5.4243855406996762</v>
      </c>
      <c r="K1568" s="8"/>
    </row>
    <row r="1569" spans="1:11" ht="15" x14ac:dyDescent="0.25">
      <c r="A1569" s="3" t="str">
        <f>HYPERLINK("proteomic_fractions_linear_files/Yang_linear_img/75677414.jpg", "75677414")</f>
        <v>75677414</v>
      </c>
      <c r="C1569" s="3" t="str">
        <f>HYPERLINK("http://www.ncbi.nlm.nih.gov/protein/75677414","Cttn")</f>
        <v>Cttn</v>
      </c>
      <c r="E1569" t="str">
        <f>HYPERLINK("J:\Depot - mpkCCD Fractions\Main Web Page\Web Pages_old\proteomic_fractions_linear_files/Yang_linear_img/75677414.jpg","show blot")</f>
        <v>show blot</v>
      </c>
      <c r="G1569" t="s">
        <v>1558</v>
      </c>
      <c r="I1569" s="6">
        <v>5.4243855406996762</v>
      </c>
      <c r="K1569" s="8"/>
    </row>
    <row r="1570" spans="1:11" ht="15" x14ac:dyDescent="0.25">
      <c r="A1570" s="3" t="str">
        <f>HYPERLINK("proteomic_fractions_linear_files/Yang_linear_img/254039644.jpg", "254039644")</f>
        <v>254039644</v>
      </c>
      <c r="C1570" s="3" t="str">
        <f>HYPERLINK("http://www.ncbi.nlm.nih.gov/protein/254039644","Cttnbp2nl")</f>
        <v>Cttnbp2nl</v>
      </c>
      <c r="E1570" t="str">
        <f>HYPERLINK("J:\Depot - mpkCCD Fractions\Main Web Page\Web Pages_old\proteomic_fractions_linear_files/Yang_linear_img/254039644.jpg","show blot")</f>
        <v>show blot</v>
      </c>
      <c r="G1570" t="s">
        <v>1559</v>
      </c>
      <c r="I1570" s="6">
        <v>4.3017490688074185</v>
      </c>
      <c r="K1570" s="8"/>
    </row>
    <row r="1571" spans="1:11" ht="15" x14ac:dyDescent="0.25">
      <c r="A1571" s="3" t="str">
        <f>HYPERLINK("proteomic_fractions_linear_files/Yang_linear_img/21704170.jpg", "21704170")</f>
        <v>21704170</v>
      </c>
      <c r="C1571" s="3" t="str">
        <f>HYPERLINK("http://www.ncbi.nlm.nih.gov/protein/21704170","Ctu1")</f>
        <v>Ctu1</v>
      </c>
      <c r="E1571" t="str">
        <f>HYPERLINK("J:\Depot - mpkCCD Fractions\Main Web Page\Web Pages_old\proteomic_fractions_linear_files/Yang_linear_img/21704170.jpg","show blot")</f>
        <v>show blot</v>
      </c>
      <c r="G1571" t="s">
        <v>1560</v>
      </c>
      <c r="I1571" s="6">
        <v>4.4130344112039843</v>
      </c>
      <c r="K1571" s="8"/>
    </row>
    <row r="1572" spans="1:11" ht="15" x14ac:dyDescent="0.25">
      <c r="A1572" s="3" t="str">
        <f>HYPERLINK("proteomic_fractions_linear_files/Yang_linear_img/225735586.jpg", "225735586")</f>
        <v>225735586</v>
      </c>
      <c r="C1572" s="3" t="str">
        <f>HYPERLINK("http://www.ncbi.nlm.nih.gov/protein/225735586","Ctu2")</f>
        <v>Ctu2</v>
      </c>
      <c r="E1572" t="str">
        <f>HYPERLINK("J:\Depot - mpkCCD Fractions\Main Web Page\Web Pages_old\proteomic_fractions_linear_files/Yang_linear_img/225735586.jpg","show blot")</f>
        <v>show blot</v>
      </c>
      <c r="G1572" t="s">
        <v>1561</v>
      </c>
      <c r="I1572" s="6">
        <v>4.1419000348386144</v>
      </c>
      <c r="K1572" s="8"/>
    </row>
    <row r="1573" spans="1:11" ht="15" x14ac:dyDescent="0.25">
      <c r="A1573" s="3" t="str">
        <f>HYPERLINK("proteomic_fractions_linear_files/Yang_linear_img/124487348.jpg", "124487348")</f>
        <v>124487348</v>
      </c>
      <c r="C1573" s="3" t="str">
        <f>HYPERLINK("http://www.ncbi.nlm.nih.gov/protein/124487348","Cubn")</f>
        <v>Cubn</v>
      </c>
      <c r="E1573" t="str">
        <f>HYPERLINK("J:\Depot - mpkCCD Fractions\Main Web Page\Web Pages_old\proteomic_fractions_linear_files/Yang_linear_img/124487348.jpg","show blot")</f>
        <v>show blot</v>
      </c>
      <c r="G1573" t="s">
        <v>1562</v>
      </c>
      <c r="I1573" s="6">
        <v>3.8146659073676474</v>
      </c>
      <c r="K1573" s="8"/>
    </row>
    <row r="1574" spans="1:11" ht="15" x14ac:dyDescent="0.25">
      <c r="A1574" s="3" t="str">
        <f>HYPERLINK("proteomic_fractions_linear_files/Yang_linear_img/256773254.jpg", "256773254")</f>
        <v>256773254</v>
      </c>
      <c r="C1574" s="3" t="str">
        <f>HYPERLINK("http://www.ncbi.nlm.nih.gov/protein/256773254","Cuedc2")</f>
        <v>Cuedc2</v>
      </c>
      <c r="E1574" t="str">
        <f>HYPERLINK("J:\Depot - mpkCCD Fractions\Main Web Page\Web Pages_old\proteomic_fractions_linear_files/Yang_linear_img/256773254.jpg","show blot")</f>
        <v>show blot</v>
      </c>
      <c r="G1574" t="s">
        <v>1563</v>
      </c>
      <c r="I1574" s="6">
        <v>3.9626921044639709</v>
      </c>
      <c r="K1574" s="8"/>
    </row>
    <row r="1575" spans="1:11" ht="15" x14ac:dyDescent="0.25">
      <c r="A1575" s="3" t="str">
        <f>HYPERLINK("proteomic_fractions_linear_files/Yang_linear_img/256773258.jpg", "256773258")</f>
        <v>256773258</v>
      </c>
      <c r="C1575" s="3" t="str">
        <f>HYPERLINK("http://www.ncbi.nlm.nih.gov/protein/256773258","Cuedc2")</f>
        <v>Cuedc2</v>
      </c>
      <c r="E1575" t="str">
        <f>HYPERLINK("J:\Depot - mpkCCD Fractions\Main Web Page\Web Pages_old\proteomic_fractions_linear_files/Yang_linear_img/256773258.jpg","show blot")</f>
        <v>show blot</v>
      </c>
      <c r="G1575" t="s">
        <v>1564</v>
      </c>
      <c r="I1575" s="6">
        <v>3.9626921044639709</v>
      </c>
      <c r="K1575" s="8"/>
    </row>
    <row r="1576" spans="1:11" ht="15" x14ac:dyDescent="0.25">
      <c r="A1576" s="3" t="str">
        <f>HYPERLINK("proteomic_fractions_linear_files/Yang_linear_img/256773262.jpg", "256773262")</f>
        <v>256773262</v>
      </c>
      <c r="C1576" s="3" t="str">
        <f>HYPERLINK("http://www.ncbi.nlm.nih.gov/protein/256773262","Cuedc2")</f>
        <v>Cuedc2</v>
      </c>
      <c r="E1576" t="str">
        <f>HYPERLINK("J:\Depot - mpkCCD Fractions\Main Web Page\Web Pages_old\proteomic_fractions_linear_files/Yang_linear_img/256773262.jpg","show blot")</f>
        <v>show blot</v>
      </c>
      <c r="G1576" t="s">
        <v>1565</v>
      </c>
      <c r="I1576" s="6">
        <v>3.9626921044639709</v>
      </c>
      <c r="K1576" s="8"/>
    </row>
    <row r="1577" spans="1:11" ht="15" x14ac:dyDescent="0.25">
      <c r="A1577" s="3" t="str">
        <f>HYPERLINK("proteomic_fractions_linear_files/Yang_linear_img/7549752.jpg", "7549752")</f>
        <v>7549752</v>
      </c>
      <c r="C1577" s="3" t="str">
        <f>HYPERLINK("http://www.ncbi.nlm.nih.gov/protein/7549752","Cul1")</f>
        <v>Cul1</v>
      </c>
      <c r="E1577" t="str">
        <f>HYPERLINK("J:\Depot - mpkCCD Fractions\Main Web Page\Web Pages_old\proteomic_fractions_linear_files/Yang_linear_img/7549752.jpg","show blot")</f>
        <v>show blot</v>
      </c>
      <c r="G1577" t="s">
        <v>1566</v>
      </c>
      <c r="I1577" s="6">
        <v>5.2592656088550234</v>
      </c>
      <c r="K1577" s="8"/>
    </row>
    <row r="1578" spans="1:11" ht="15" x14ac:dyDescent="0.25">
      <c r="A1578" s="3" t="str">
        <f>HYPERLINK("proteomic_fractions_linear_files/Yang_linear_img/170014698.jpg", "170014698")</f>
        <v>170014698</v>
      </c>
      <c r="C1578" s="3" t="str">
        <f>HYPERLINK("http://www.ncbi.nlm.nih.gov/protein/170014698","Cul2")</f>
        <v>Cul2</v>
      </c>
      <c r="E1578" t="str">
        <f>HYPERLINK("J:\Depot - mpkCCD Fractions\Main Web Page\Web Pages_old\proteomic_fractions_linear_files/Yang_linear_img/170014698.jpg","show blot")</f>
        <v>show blot</v>
      </c>
      <c r="G1578" t="s">
        <v>1567</v>
      </c>
      <c r="I1578" s="6">
        <v>4.8254410393813991</v>
      </c>
      <c r="K1578" s="8"/>
    </row>
    <row r="1579" spans="1:11" ht="15" x14ac:dyDescent="0.25">
      <c r="A1579" s="3" t="str">
        <f>HYPERLINK("proteomic_fractions_linear_files/Yang_linear_img/7710014.jpg", "7710014")</f>
        <v>7710014</v>
      </c>
      <c r="C1579" s="3" t="str">
        <f>HYPERLINK("http://www.ncbi.nlm.nih.gov/protein/7710014","Cul3")</f>
        <v>Cul3</v>
      </c>
      <c r="E1579" t="str">
        <f>HYPERLINK("J:\Depot - mpkCCD Fractions\Main Web Page\Web Pages_old\proteomic_fractions_linear_files/Yang_linear_img/7710014.jpg","show blot")</f>
        <v>show blot</v>
      </c>
      <c r="G1579" t="s">
        <v>1568</v>
      </c>
      <c r="I1579" s="6">
        <v>5.0552243114242259</v>
      </c>
      <c r="K1579" s="8"/>
    </row>
    <row r="1580" spans="1:11" ht="15" x14ac:dyDescent="0.25">
      <c r="A1580" s="3" t="str">
        <f>HYPERLINK("proteomic_fractions_linear_files/Yang_linear_img/167466258.jpg", "167466258")</f>
        <v>167466258</v>
      </c>
      <c r="C1580" s="3" t="str">
        <f>HYPERLINK("http://www.ncbi.nlm.nih.gov/protein/167466258","Cul4a")</f>
        <v>Cul4a</v>
      </c>
      <c r="E1580" t="str">
        <f>HYPERLINK("J:\Depot - mpkCCD Fractions\Main Web Page\Web Pages_old\proteomic_fractions_linear_files/Yang_linear_img/167466258.jpg","show blot")</f>
        <v>show blot</v>
      </c>
      <c r="G1580" t="s">
        <v>1569</v>
      </c>
      <c r="I1580" s="6">
        <v>4.8113253604740454</v>
      </c>
      <c r="K1580" s="8"/>
    </row>
    <row r="1581" spans="1:11" ht="15" x14ac:dyDescent="0.25">
      <c r="A1581" s="3" t="str">
        <f>HYPERLINK("proteomic_fractions_linear_files/Yang_linear_img/158711665.jpg", "158711665")</f>
        <v>158711665</v>
      </c>
      <c r="C1581" s="3" t="str">
        <f>HYPERLINK("http://www.ncbi.nlm.nih.gov/protein/158711665","Cul4b")</f>
        <v>Cul4b</v>
      </c>
      <c r="E1581" t="str">
        <f>HYPERLINK("J:\Depot - mpkCCD Fractions\Main Web Page\Web Pages_old\proteomic_fractions_linear_files/Yang_linear_img/158711665.jpg","show blot")</f>
        <v>show blot</v>
      </c>
      <c r="G1581" t="s">
        <v>1570</v>
      </c>
      <c r="I1581" s="6">
        <v>4.8069707385534475</v>
      </c>
      <c r="K1581" s="8"/>
    </row>
    <row r="1582" spans="1:11" ht="15" x14ac:dyDescent="0.25">
      <c r="A1582" s="3" t="str">
        <f>HYPERLINK("proteomic_fractions_linear_files/Yang_linear_img/239051067.jpg", "239051067")</f>
        <v>239051067</v>
      </c>
      <c r="C1582" s="3" t="str">
        <f>HYPERLINK("http://www.ncbi.nlm.nih.gov/protein/239051067","Cul5")</f>
        <v>Cul5</v>
      </c>
      <c r="E1582" t="str">
        <f>HYPERLINK("J:\Depot - mpkCCD Fractions\Main Web Page\Web Pages_old\proteomic_fractions_linear_files/Yang_linear_img/239051067.jpg","show blot")</f>
        <v>show blot</v>
      </c>
      <c r="G1582" t="s">
        <v>1571</v>
      </c>
      <c r="I1582" s="6">
        <v>4.7462917669279303</v>
      </c>
      <c r="K1582" s="8"/>
    </row>
    <row r="1583" spans="1:11" ht="15" x14ac:dyDescent="0.25">
      <c r="A1583" s="3" t="str">
        <f>HYPERLINK("proteomic_fractions_linear_files/Yang_linear_img/239051082.jpg", "239051082")</f>
        <v>239051082</v>
      </c>
      <c r="C1583" s="3" t="str">
        <f>HYPERLINK("http://www.ncbi.nlm.nih.gov/protein/239051082","Cul5")</f>
        <v>Cul5</v>
      </c>
      <c r="E1583" t="str">
        <f>HYPERLINK("J:\Depot - mpkCCD Fractions\Main Web Page\Web Pages_old\proteomic_fractions_linear_files/Yang_linear_img/239051082.jpg","show blot")</f>
        <v>show blot</v>
      </c>
      <c r="G1583" t="s">
        <v>1572</v>
      </c>
      <c r="I1583" s="6">
        <v>4.7462917669279303</v>
      </c>
      <c r="K1583" s="8"/>
    </row>
    <row r="1584" spans="1:11" ht="15" x14ac:dyDescent="0.25">
      <c r="A1584" s="3" t="str">
        <f>HYPERLINK("proteomic_fractions_linear_files/Yang_linear_img/57013279.jpg", "57013279")</f>
        <v>57013279</v>
      </c>
      <c r="C1584" s="3" t="str">
        <f>HYPERLINK("http://www.ncbi.nlm.nih.gov/protein/57013279","Cul7")</f>
        <v>Cul7</v>
      </c>
      <c r="E1584" t="str">
        <f>HYPERLINK("J:\Depot - mpkCCD Fractions\Main Web Page\Web Pages_old\proteomic_fractions_linear_files/Yang_linear_img/57013279.jpg","show blot")</f>
        <v>show blot</v>
      </c>
      <c r="G1584" t="s">
        <v>1573</v>
      </c>
      <c r="I1584" s="7" t="s">
        <v>8360</v>
      </c>
      <c r="K1584" s="8"/>
    </row>
    <row r="1585" spans="1:11" ht="15" x14ac:dyDescent="0.25">
      <c r="A1585" s="3" t="str">
        <f>HYPERLINK("proteomic_fractions_linear_files/Yang_linear_img/62198210.jpg", "62198210")</f>
        <v>62198210</v>
      </c>
      <c r="C1585" s="3" t="str">
        <f>HYPERLINK("http://www.ncbi.nlm.nih.gov/protein/62198210","Cuta")</f>
        <v>Cuta</v>
      </c>
      <c r="E1585" t="str">
        <f>HYPERLINK("J:\Depot - mpkCCD Fractions\Main Web Page\Web Pages_old\proteomic_fractions_linear_files/Yang_linear_img/62198210.jpg","show blot")</f>
        <v>show blot</v>
      </c>
      <c r="G1585" t="s">
        <v>1574</v>
      </c>
      <c r="I1585" s="6">
        <v>4.6861910854059854</v>
      </c>
      <c r="K1585" s="8"/>
    </row>
    <row r="1586" spans="1:11" ht="15" x14ac:dyDescent="0.25">
      <c r="A1586" s="3" t="str">
        <f>HYPERLINK("proteomic_fractions_linear_files/Yang_linear_img/62198239.jpg", "62198239")</f>
        <v>62198239</v>
      </c>
      <c r="C1586" s="3" t="str">
        <f>HYPERLINK("http://www.ncbi.nlm.nih.gov/protein/62198239","Cuta")</f>
        <v>Cuta</v>
      </c>
      <c r="E1586" t="str">
        <f>HYPERLINK("J:\Depot - mpkCCD Fractions\Main Web Page\Web Pages_old\proteomic_fractions_linear_files/Yang_linear_img/62198239.jpg","show blot")</f>
        <v>show blot</v>
      </c>
      <c r="G1586" t="s">
        <v>1575</v>
      </c>
      <c r="I1586" s="6">
        <v>4.6861910854059854</v>
      </c>
      <c r="K1586" s="8"/>
    </row>
    <row r="1587" spans="1:11" ht="15" x14ac:dyDescent="0.25">
      <c r="A1587" s="3" t="str">
        <f>HYPERLINK("proteomic_fractions_linear_files/Yang_linear_img/165932339.jpg", "165932339")</f>
        <v>165932339</v>
      </c>
      <c r="C1587" s="3" t="str">
        <f>HYPERLINK("http://www.ncbi.nlm.nih.gov/protein/165932339","Cutc")</f>
        <v>Cutc</v>
      </c>
      <c r="E1587" t="str">
        <f>HYPERLINK("J:\Depot - mpkCCD Fractions\Main Web Page\Web Pages_old\proteomic_fractions_linear_files/Yang_linear_img/165932339.jpg","show blot")</f>
        <v>show blot</v>
      </c>
      <c r="G1587" t="s">
        <v>1576</v>
      </c>
      <c r="I1587" s="6">
        <v>2.6242157512758912</v>
      </c>
      <c r="K1587" s="8"/>
    </row>
    <row r="1588" spans="1:11" ht="15" x14ac:dyDescent="0.25">
      <c r="A1588" s="3" t="str">
        <f>HYPERLINK("proteomic_fractions_linear_files/Yang_linear_img/165932350.jpg", "165932350")</f>
        <v>165932350</v>
      </c>
      <c r="C1588" s="3" t="str">
        <f>HYPERLINK("http://www.ncbi.nlm.nih.gov/protein/165932350","Cutc")</f>
        <v>Cutc</v>
      </c>
      <c r="E1588" t="str">
        <f>HYPERLINK("J:\Depot - mpkCCD Fractions\Main Web Page\Web Pages_old\proteomic_fractions_linear_files/Yang_linear_img/165932350.jpg","show blot")</f>
        <v>show blot</v>
      </c>
      <c r="G1588" t="s">
        <v>1577</v>
      </c>
      <c r="I1588" s="6">
        <v>2.6242157512758912</v>
      </c>
      <c r="K1588" s="8"/>
    </row>
    <row r="1589" spans="1:11" ht="15" x14ac:dyDescent="0.25">
      <c r="A1589" s="3" t="str">
        <f>HYPERLINK("proteomic_fractions_linear_files/Yang_linear_img/110835729.jpg", "110835729")</f>
        <v>110835729</v>
      </c>
      <c r="C1589" s="3" t="str">
        <f>HYPERLINK("http://www.ncbi.nlm.nih.gov/protein/110835729","Cux1")</f>
        <v>Cux1</v>
      </c>
      <c r="E1589" t="str">
        <f>HYPERLINK("J:\Depot - mpkCCD Fractions\Main Web Page\Web Pages_old\proteomic_fractions_linear_files/Yang_linear_img/110835729.jpg","show blot")</f>
        <v>show blot</v>
      </c>
      <c r="G1589" t="s">
        <v>1578</v>
      </c>
      <c r="I1589" s="6">
        <v>2.5865091145761205</v>
      </c>
      <c r="K1589" s="8"/>
    </row>
    <row r="1590" spans="1:11" ht="15" x14ac:dyDescent="0.25">
      <c r="A1590" s="3" t="str">
        <f>HYPERLINK("proteomic_fractions_linear_files/Yang_linear_img/110815859.jpg", "110815859")</f>
        <v>110815859</v>
      </c>
      <c r="C1590" s="3" t="str">
        <f>HYPERLINK("http://www.ncbi.nlm.nih.gov/protein/110815859","Cux1")</f>
        <v>Cux1</v>
      </c>
      <c r="E1590" t="str">
        <f>HYPERLINK("J:\Depot - mpkCCD Fractions\Main Web Page\Web Pages_old\proteomic_fractions_linear_files/Yang_linear_img/110815859.jpg","show blot")</f>
        <v>show blot</v>
      </c>
      <c r="G1590" t="s">
        <v>1579</v>
      </c>
      <c r="I1590" s="6">
        <v>2.5865091145761205</v>
      </c>
      <c r="K1590" s="8"/>
    </row>
    <row r="1591" spans="1:11" ht="15" x14ac:dyDescent="0.25">
      <c r="A1591" s="3" t="str">
        <f>HYPERLINK("proteomic_fractions_linear_files/Yang_linear_img/12963537.jpg", "12963537")</f>
        <v>12963537</v>
      </c>
      <c r="C1591" s="3" t="str">
        <f>HYPERLINK("http://www.ncbi.nlm.nih.gov/protein/12963537","Cwc15")</f>
        <v>Cwc15</v>
      </c>
      <c r="E1591" t="str">
        <f>HYPERLINK("J:\Depot - mpkCCD Fractions\Main Web Page\Web Pages_old\proteomic_fractions_linear_files/Yang_linear_img/12963537.jpg","show blot")</f>
        <v>show blot</v>
      </c>
      <c r="G1591" t="s">
        <v>1580</v>
      </c>
      <c r="I1591" s="6">
        <v>3.9811016401088311</v>
      </c>
      <c r="K1591" s="8"/>
    </row>
    <row r="1592" spans="1:11" ht="15" x14ac:dyDescent="0.25">
      <c r="A1592" s="3" t="str">
        <f>HYPERLINK("proteomic_fractions_linear_files/Yang_linear_img/27881425.jpg", "27881425")</f>
        <v>27881425</v>
      </c>
      <c r="C1592" s="3" t="str">
        <f>HYPERLINK("http://www.ncbi.nlm.nih.gov/protein/27881425","Cwc22")</f>
        <v>Cwc22</v>
      </c>
      <c r="E1592" t="str">
        <f>HYPERLINK("J:\Depot - mpkCCD Fractions\Main Web Page\Web Pages_old\proteomic_fractions_linear_files/Yang_linear_img/27881425.jpg","show blot")</f>
        <v>show blot</v>
      </c>
      <c r="G1592" t="s">
        <v>1581</v>
      </c>
      <c r="I1592" s="6">
        <v>3.8265621280354574</v>
      </c>
      <c r="K1592" s="8"/>
    </row>
    <row r="1593" spans="1:11" ht="15" x14ac:dyDescent="0.25">
      <c r="A1593" s="3" t="str">
        <f>HYPERLINK("proteomic_fractions_linear_files/Yang_linear_img/323462203.jpg", "323462203")</f>
        <v>323462203</v>
      </c>
      <c r="C1593" s="3" t="str">
        <f>HYPERLINK("http://www.ncbi.nlm.nih.gov/protein/323462203","Cwc22")</f>
        <v>Cwc22</v>
      </c>
      <c r="E1593" t="str">
        <f>HYPERLINK("J:\Depot - mpkCCD Fractions\Main Web Page\Web Pages_old\proteomic_fractions_linear_files/Yang_linear_img/323462203.jpg","show blot")</f>
        <v>show blot</v>
      </c>
      <c r="G1593" t="s">
        <v>1582</v>
      </c>
      <c r="I1593" s="6">
        <v>3.8265621280354574</v>
      </c>
      <c r="K1593" s="8"/>
    </row>
    <row r="1594" spans="1:11" ht="15" x14ac:dyDescent="0.25">
      <c r="A1594" s="3" t="str">
        <f>HYPERLINK("proteomic_fractions_linear_files/Yang_linear_img/262072988.jpg", "262072988")</f>
        <v>262072988</v>
      </c>
      <c r="C1594" s="3" t="str">
        <f>HYPERLINK("http://www.ncbi.nlm.nih.gov/protein/262072988","Cwc25")</f>
        <v>Cwc25</v>
      </c>
      <c r="E1594" t="str">
        <f>HYPERLINK("J:\Depot - mpkCCD Fractions\Main Web Page\Web Pages_old\proteomic_fractions_linear_files/Yang_linear_img/262072988.jpg","show blot")</f>
        <v>show blot</v>
      </c>
      <c r="G1594" t="s">
        <v>1583</v>
      </c>
      <c r="I1594" s="6">
        <v>3.4451145798411895</v>
      </c>
      <c r="K1594" s="8"/>
    </row>
    <row r="1595" spans="1:11" ht="15" x14ac:dyDescent="0.25">
      <c r="A1595" s="3" t="str">
        <f>HYPERLINK("proteomic_fractions_linear_files/Yang_linear_img/110625681.jpg", "110625681")</f>
        <v>110625681</v>
      </c>
      <c r="C1595" s="3" t="str">
        <f>HYPERLINK("http://www.ncbi.nlm.nih.gov/protein/110625681","Cwc27")</f>
        <v>Cwc27</v>
      </c>
      <c r="E1595" t="str">
        <f>HYPERLINK("J:\Depot - mpkCCD Fractions\Main Web Page\Web Pages_old\proteomic_fractions_linear_files/Yang_linear_img/110625681.jpg","show blot")</f>
        <v>show blot</v>
      </c>
      <c r="G1595" t="s">
        <v>1584</v>
      </c>
      <c r="I1595" s="6">
        <v>3.865866276318624</v>
      </c>
      <c r="K1595" s="8"/>
    </row>
    <row r="1596" spans="1:11" ht="15" x14ac:dyDescent="0.25">
      <c r="A1596" s="3" t="str">
        <f>HYPERLINK("proteomic_fractions_linear_files/Yang_linear_img/124487291.jpg", "124487291")</f>
        <v>124487291</v>
      </c>
      <c r="C1596" s="3" t="str">
        <f>HYPERLINK("http://www.ncbi.nlm.nih.gov/protein/124487291","Cwf19l1")</f>
        <v>Cwf19l1</v>
      </c>
      <c r="E1596" t="str">
        <f>HYPERLINK("J:\Depot - mpkCCD Fractions\Main Web Page\Web Pages_old\proteomic_fractions_linear_files/Yang_linear_img/124487291.jpg","show blot")</f>
        <v>show blot</v>
      </c>
      <c r="G1596" t="s">
        <v>1585</v>
      </c>
      <c r="I1596" s="6">
        <v>4.4372671049078436</v>
      </c>
      <c r="K1596" s="8"/>
    </row>
    <row r="1597" spans="1:11" ht="15" x14ac:dyDescent="0.25">
      <c r="A1597" s="3" t="str">
        <f>HYPERLINK("proteomic_fractions_linear_files/Yang_linear_img/30842792.jpg", "30842792")</f>
        <v>30842792</v>
      </c>
      <c r="C1597" s="3" t="str">
        <f>HYPERLINK("http://www.ncbi.nlm.nih.gov/protein/30842792","Cwf19l2")</f>
        <v>Cwf19l2</v>
      </c>
      <c r="E1597" t="str">
        <f>HYPERLINK("J:\Depot - mpkCCD Fractions\Main Web Page\Web Pages_old\proteomic_fractions_linear_files/Yang_linear_img/30842792.jpg","show blot")</f>
        <v>show blot</v>
      </c>
      <c r="G1597" t="s">
        <v>1586</v>
      </c>
      <c r="I1597" s="6">
        <v>2.7042451071234672</v>
      </c>
      <c r="K1597" s="8"/>
    </row>
    <row r="1598" spans="1:11" ht="15" x14ac:dyDescent="0.25">
      <c r="A1598" s="3" t="str">
        <f>HYPERLINK("proteomic_fractions_linear_files/Yang_linear_img/442796434.jpg", "442796434")</f>
        <v>442796434</v>
      </c>
      <c r="C1598" s="3" t="str">
        <f>HYPERLINK("http://www.ncbi.nlm.nih.gov/protein/442796434","Cxadr")</f>
        <v>Cxadr</v>
      </c>
      <c r="E1598" t="str">
        <f>HYPERLINK("J:\Depot - mpkCCD Fractions\Main Web Page\Web Pages_old\proteomic_fractions_linear_files/Yang_linear_img/442796434.jpg","show blot")</f>
        <v>show blot</v>
      </c>
      <c r="G1598" t="s">
        <v>1587</v>
      </c>
      <c r="I1598" s="6">
        <v>5.6948464516213297</v>
      </c>
      <c r="K1598" s="8"/>
    </row>
    <row r="1599" spans="1:11" ht="15" x14ac:dyDescent="0.25">
      <c r="A1599" s="3" t="str">
        <f>HYPERLINK("proteomic_fractions_linear_files/Yang_linear_img/68510034.jpg", "68510034")</f>
        <v>68510034</v>
      </c>
      <c r="C1599" s="3" t="str">
        <f>HYPERLINK("http://www.ncbi.nlm.nih.gov/protein/68510034","Cxadr")</f>
        <v>Cxadr</v>
      </c>
      <c r="E1599" t="str">
        <f>HYPERLINK("J:\Depot - mpkCCD Fractions\Main Web Page\Web Pages_old\proteomic_fractions_linear_files/Yang_linear_img/68510034.jpg","show blot")</f>
        <v>show blot</v>
      </c>
      <c r="G1599" t="s">
        <v>1588</v>
      </c>
      <c r="I1599" s="6">
        <v>5.6948464516213297</v>
      </c>
      <c r="K1599" s="8"/>
    </row>
    <row r="1600" spans="1:11" ht="15" x14ac:dyDescent="0.25">
      <c r="A1600" s="3" t="str">
        <f>HYPERLINK("proteomic_fractions_linear_files/Yang_linear_img/6857775.jpg", "6857775")</f>
        <v>6857775</v>
      </c>
      <c r="C1600" s="3" t="str">
        <f>HYPERLINK("http://www.ncbi.nlm.nih.gov/protein/6857775","Cxadr")</f>
        <v>Cxadr</v>
      </c>
      <c r="E1600" t="str">
        <f>HYPERLINK("J:\Depot - mpkCCD Fractions\Main Web Page\Web Pages_old\proteomic_fractions_linear_files/Yang_linear_img/6857775.jpg","show blot")</f>
        <v>show blot</v>
      </c>
      <c r="G1600" t="s">
        <v>1589</v>
      </c>
      <c r="I1600" s="6">
        <v>5.6948464516213297</v>
      </c>
      <c r="K1600" s="8"/>
    </row>
    <row r="1601" spans="1:11" ht="15" x14ac:dyDescent="0.25">
      <c r="A1601" s="3" t="str">
        <f>HYPERLINK("proteomic_fractions_linear_files/Yang_linear_img/18390325.jpg", "18390325")</f>
        <v>18390325</v>
      </c>
      <c r="C1601" s="3" t="str">
        <f>HYPERLINK("http://www.ncbi.nlm.nih.gov/protein/18390325","Cxxc1")</f>
        <v>Cxxc1</v>
      </c>
      <c r="E1601" t="str">
        <f>HYPERLINK("J:\Depot - mpkCCD Fractions\Main Web Page\Web Pages_old\proteomic_fractions_linear_files/Yang_linear_img/18390325.jpg","show blot")</f>
        <v>show blot</v>
      </c>
      <c r="G1601" t="s">
        <v>1590</v>
      </c>
      <c r="I1601" s="6">
        <v>1.9960374044860343</v>
      </c>
      <c r="K1601" s="8"/>
    </row>
    <row r="1602" spans="1:11" ht="15" x14ac:dyDescent="0.25">
      <c r="A1602" s="3" t="str">
        <f>HYPERLINK("proteomic_fractions_linear_files/Yang_linear_img/13385268.jpg", "13385268")</f>
        <v>13385268</v>
      </c>
      <c r="C1602" s="3" t="str">
        <f>HYPERLINK("http://www.ncbi.nlm.nih.gov/protein/13385268","Cyb5")</f>
        <v>Cyb5</v>
      </c>
      <c r="E1602" t="str">
        <f>HYPERLINK("J:\Depot - mpkCCD Fractions\Main Web Page\Web Pages_old\proteomic_fractions_linear_files/Yang_linear_img/13385268.jpg","show blot")</f>
        <v>show blot</v>
      </c>
      <c r="G1602" t="s">
        <v>1591</v>
      </c>
      <c r="I1602" s="6">
        <v>5.3700702571382006</v>
      </c>
      <c r="K1602" s="8"/>
    </row>
    <row r="1603" spans="1:11" ht="15" x14ac:dyDescent="0.25">
      <c r="A1603" s="3" t="str">
        <f>HYPERLINK("proteomic_fractions_linear_files/Yang_linear_img/31542436.jpg", "31542436")</f>
        <v>31542436</v>
      </c>
      <c r="C1603" s="3" t="str">
        <f>HYPERLINK("http://www.ncbi.nlm.nih.gov/protein/31542436","Cyb561")</f>
        <v>Cyb561</v>
      </c>
      <c r="E1603" t="str">
        <f>HYPERLINK("J:\Depot - mpkCCD Fractions\Main Web Page\Web Pages_old\proteomic_fractions_linear_files/Yang_linear_img/31542436.jpg","show blot")</f>
        <v>show blot</v>
      </c>
      <c r="G1603" t="s">
        <v>1592</v>
      </c>
      <c r="I1603" s="6">
        <v>2.5499224041295117</v>
      </c>
      <c r="K1603" s="8"/>
    </row>
    <row r="1604" spans="1:11" ht="15" x14ac:dyDescent="0.25">
      <c r="A1604" s="3" t="str">
        <f>HYPERLINK("proteomic_fractions_linear_files/Yang_linear_img/9790029.jpg", "9790029")</f>
        <v>9790029</v>
      </c>
      <c r="C1604" s="3" t="str">
        <f>HYPERLINK("http://www.ncbi.nlm.nih.gov/protein/9790029","Cyb561d2")</f>
        <v>Cyb561d2</v>
      </c>
      <c r="E1604" t="str">
        <f>HYPERLINK("J:\Depot - mpkCCD Fractions\Main Web Page\Web Pages_old\proteomic_fractions_linear_files/Yang_linear_img/9790029.jpg","show blot")</f>
        <v>show blot</v>
      </c>
      <c r="G1604" t="s">
        <v>1593</v>
      </c>
      <c r="I1604" s="6">
        <v>2.7297665970021128</v>
      </c>
      <c r="K1604" s="8"/>
    </row>
    <row r="1605" spans="1:11" ht="15" x14ac:dyDescent="0.25">
      <c r="A1605" s="3" t="str">
        <f>HYPERLINK("proteomic_fractions_linear_files/Yang_linear_img/31542438.jpg", "31542438")</f>
        <v>31542438</v>
      </c>
      <c r="C1605" s="3" t="str">
        <f>HYPERLINK("http://www.ncbi.nlm.nih.gov/protein/31542438","Cyb5b")</f>
        <v>Cyb5b</v>
      </c>
      <c r="E1605" t="str">
        <f>HYPERLINK("J:\Depot - mpkCCD Fractions\Main Web Page\Web Pages_old\proteomic_fractions_linear_files/Yang_linear_img/31542438.jpg","show blot")</f>
        <v>show blot</v>
      </c>
      <c r="G1605" t="s">
        <v>1594</v>
      </c>
      <c r="I1605" s="6">
        <v>6.3967502824204487</v>
      </c>
      <c r="K1605" s="8"/>
    </row>
    <row r="1606" spans="1:11" ht="15" x14ac:dyDescent="0.25">
      <c r="A1606" s="3" t="str">
        <f>HYPERLINK("proteomic_fractions_linear_files/Yang_linear_img/21312524.jpg", "21312524")</f>
        <v>21312524</v>
      </c>
      <c r="C1606" s="3" t="str">
        <f>HYPERLINK("http://www.ncbi.nlm.nih.gov/protein/21312524","Cyb5r1")</f>
        <v>Cyb5r1</v>
      </c>
      <c r="E1606" t="str">
        <f>HYPERLINK("J:\Depot - mpkCCD Fractions\Main Web Page\Web Pages_old\proteomic_fractions_linear_files/Yang_linear_img/21312524.jpg","show blot")</f>
        <v>show blot</v>
      </c>
      <c r="G1606" t="s">
        <v>1595</v>
      </c>
      <c r="I1606" s="6">
        <v>5.3579908009439707</v>
      </c>
      <c r="K1606" s="8"/>
    </row>
    <row r="1607" spans="1:11" ht="15" x14ac:dyDescent="0.25">
      <c r="A1607" s="3" t="str">
        <f>HYPERLINK("proteomic_fractions_linear_files/Yang_linear_img/19745150.jpg", "19745150")</f>
        <v>19745150</v>
      </c>
      <c r="C1607" s="3" t="str">
        <f>HYPERLINK("http://www.ncbi.nlm.nih.gov/protein/19745150","Cyb5r3")</f>
        <v>Cyb5r3</v>
      </c>
      <c r="E1607" t="str">
        <f>HYPERLINK("J:\Depot - mpkCCD Fractions\Main Web Page\Web Pages_old\proteomic_fractions_linear_files/Yang_linear_img/19745150.jpg","show blot")</f>
        <v>show blot</v>
      </c>
      <c r="G1607" t="s">
        <v>1596</v>
      </c>
      <c r="I1607" s="6">
        <v>6.9099715100561463</v>
      </c>
      <c r="K1607" s="8"/>
    </row>
    <row r="1608" spans="1:11" ht="15" x14ac:dyDescent="0.25">
      <c r="A1608" s="3" t="str">
        <f>HYPERLINK("proteomic_fractions_linear_files/Yang_linear_img/13385006.jpg", "13385006")</f>
        <v>13385006</v>
      </c>
      <c r="C1608" s="3" t="str">
        <f>HYPERLINK("http://www.ncbi.nlm.nih.gov/protein/13385006","Cyc1")</f>
        <v>Cyc1</v>
      </c>
      <c r="E1608" t="str">
        <f>HYPERLINK("J:\Depot - mpkCCD Fractions\Main Web Page\Web Pages_old\proteomic_fractions_linear_files/Yang_linear_img/13385006.jpg","show blot")</f>
        <v>show blot</v>
      </c>
      <c r="G1608" t="s">
        <v>1597</v>
      </c>
      <c r="I1608" s="6">
        <v>5.8791724245789556</v>
      </c>
      <c r="K1608" s="8"/>
    </row>
    <row r="1609" spans="1:11" ht="15" x14ac:dyDescent="0.25">
      <c r="A1609" s="3" t="str">
        <f>HYPERLINK("proteomic_fractions_linear_files/Yang_linear_img/6681095.jpg", "6681095")</f>
        <v>6681095</v>
      </c>
      <c r="C1609" s="3" t="str">
        <f>HYPERLINK("http://www.ncbi.nlm.nih.gov/protein/6681095","Cycs")</f>
        <v>Cycs</v>
      </c>
      <c r="E1609" t="str">
        <f>HYPERLINK("J:\Depot - mpkCCD Fractions\Main Web Page\Web Pages_old\proteomic_fractions_linear_files/Yang_linear_img/6681095.jpg","show blot")</f>
        <v>show blot</v>
      </c>
      <c r="G1609" t="s">
        <v>1598</v>
      </c>
      <c r="I1609" s="6">
        <v>5.8611172645445615</v>
      </c>
      <c r="K1609" s="8"/>
    </row>
    <row r="1610" spans="1:11" ht="15" x14ac:dyDescent="0.25">
      <c r="A1610" s="3" t="str">
        <f>HYPERLINK("proteomic_fractions_linear_files/Yang_linear_img/164698474.jpg", "164698474")</f>
        <v>164698474</v>
      </c>
      <c r="C1610" s="3" t="str">
        <f>HYPERLINK("http://www.ncbi.nlm.nih.gov/protein/164698474","Cyfip1")</f>
        <v>Cyfip1</v>
      </c>
      <c r="E1610" t="str">
        <f>HYPERLINK("J:\Depot - mpkCCD Fractions\Main Web Page\Web Pages_old\proteomic_fractions_linear_files/Yang_linear_img/164698474.jpg","show blot")</f>
        <v>show blot</v>
      </c>
      <c r="G1610" t="s">
        <v>1599</v>
      </c>
      <c r="I1610" s="6">
        <v>5.0713817008343609</v>
      </c>
      <c r="K1610" s="8"/>
    </row>
    <row r="1611" spans="1:11" ht="15" x14ac:dyDescent="0.25">
      <c r="A1611" s="3" t="str">
        <f>HYPERLINK("proteomic_fractions_linear_files/Yang_linear_img/258547119.jpg", "258547119")</f>
        <v>258547119</v>
      </c>
      <c r="C1611" s="3" t="str">
        <f>HYPERLINK("http://www.ncbi.nlm.nih.gov/protein/258547119","Cyfip1")</f>
        <v>Cyfip1</v>
      </c>
      <c r="E1611" t="str">
        <f>HYPERLINK("J:\Depot - mpkCCD Fractions\Main Web Page\Web Pages_old\proteomic_fractions_linear_files/Yang_linear_img/258547119.jpg","show blot")</f>
        <v>show blot</v>
      </c>
      <c r="G1611" t="s">
        <v>1600</v>
      </c>
      <c r="I1611" s="6">
        <v>5.0713817008343609</v>
      </c>
      <c r="K1611" s="8"/>
    </row>
    <row r="1612" spans="1:11" ht="15" x14ac:dyDescent="0.25">
      <c r="A1612" s="3" t="str">
        <f>HYPERLINK("proteomic_fractions_linear_files/Yang_linear_img/84370256.jpg", "84370256")</f>
        <v>84370256</v>
      </c>
      <c r="C1612" s="3" t="str">
        <f>HYPERLINK("http://www.ncbi.nlm.nih.gov/protein/84370256","Cyfip2")</f>
        <v>Cyfip2</v>
      </c>
      <c r="E1612" t="str">
        <f>HYPERLINK("J:\Depot - mpkCCD Fractions\Main Web Page\Web Pages_old\proteomic_fractions_linear_files/Yang_linear_img/84370256.jpg","show blot")</f>
        <v>show blot</v>
      </c>
      <c r="G1612" t="s">
        <v>1601</v>
      </c>
      <c r="I1612" s="6">
        <v>4.8231164699930087</v>
      </c>
      <c r="K1612" s="8"/>
    </row>
    <row r="1613" spans="1:11" ht="15" x14ac:dyDescent="0.25">
      <c r="A1613" s="3" t="str">
        <f>HYPERLINK("proteomic_fractions_linear_files/Yang_linear_img/30725867.jpg", "30725867")</f>
        <v>30725867</v>
      </c>
      <c r="C1613" s="3" t="str">
        <f>HYPERLINK("http://www.ncbi.nlm.nih.gov/protein/30725867","Cyhr1")</f>
        <v>Cyhr1</v>
      </c>
      <c r="E1613" t="str">
        <f>HYPERLINK("J:\Depot - mpkCCD Fractions\Main Web Page\Web Pages_old\proteomic_fractions_linear_files/Yang_linear_img/30725867.jpg","show blot")</f>
        <v>show blot</v>
      </c>
      <c r="G1613" t="s">
        <v>1602</v>
      </c>
      <c r="I1613" s="6">
        <v>4.4084980933526614</v>
      </c>
      <c r="K1613" s="8"/>
    </row>
    <row r="1614" spans="1:11" ht="15" x14ac:dyDescent="0.25">
      <c r="A1614" s="3" t="str">
        <f>HYPERLINK("proteomic_fractions_linear_files/Yang_linear_img/444741673.jpg", "444741673")</f>
        <v>444741673</v>
      </c>
      <c r="C1614" s="3" t="str">
        <f>HYPERLINK("http://www.ncbi.nlm.nih.gov/protein/444741673","Cyhr1")</f>
        <v>Cyhr1</v>
      </c>
      <c r="E1614" t="str">
        <f>HYPERLINK("J:\Depot - mpkCCD Fractions\Main Web Page\Web Pages_old\proteomic_fractions_linear_files/Yang_linear_img/444741673.jpg","show blot")</f>
        <v>show blot</v>
      </c>
      <c r="G1614" t="s">
        <v>1603</v>
      </c>
      <c r="I1614" s="6">
        <v>4.4084980933526614</v>
      </c>
      <c r="K1614" s="8"/>
    </row>
    <row r="1615" spans="1:11" ht="15" x14ac:dyDescent="0.25">
      <c r="A1615" s="3" t="str">
        <f>HYPERLINK("proteomic_fractions_linear_files/Yang_linear_img/9506491.jpg", "9506491")</f>
        <v>9506491</v>
      </c>
      <c r="C1615" s="3" t="str">
        <f>HYPERLINK("http://www.ncbi.nlm.nih.gov/protein/9506491","Cyhr1")</f>
        <v>Cyhr1</v>
      </c>
      <c r="E1615" t="str">
        <f>HYPERLINK("J:\Depot - mpkCCD Fractions\Main Web Page\Web Pages_old\proteomic_fractions_linear_files/Yang_linear_img/9506491.jpg","show blot")</f>
        <v>show blot</v>
      </c>
      <c r="G1615" t="s">
        <v>1604</v>
      </c>
      <c r="I1615" s="6">
        <v>4.4084980933526614</v>
      </c>
      <c r="K1615" s="8"/>
    </row>
    <row r="1616" spans="1:11" ht="15" x14ac:dyDescent="0.25">
      <c r="A1616" s="3" t="str">
        <f>HYPERLINK("proteomic_fractions_linear_files/Yang_linear_img/74271886.jpg", "74271886")</f>
        <v>74271886</v>
      </c>
      <c r="C1616" s="3" t="str">
        <f>HYPERLINK("http://www.ncbi.nlm.nih.gov/protein/74271886","Cyp20a1")</f>
        <v>Cyp20a1</v>
      </c>
      <c r="E1616" t="str">
        <f>HYPERLINK("J:\Depot - mpkCCD Fractions\Main Web Page\Web Pages_old\proteomic_fractions_linear_files/Yang_linear_img/74271886.jpg","show blot")</f>
        <v>show blot</v>
      </c>
      <c r="G1616" t="s">
        <v>1605</v>
      </c>
      <c r="I1616" s="6">
        <v>4.1521260162255373</v>
      </c>
      <c r="K1616" s="8"/>
    </row>
    <row r="1617" spans="1:11" ht="15" x14ac:dyDescent="0.25">
      <c r="A1617" s="3" t="str">
        <f>HYPERLINK("proteomic_fractions_linear_files/Yang_linear_img/21311915.jpg", "21311915")</f>
        <v>21311915</v>
      </c>
      <c r="C1617" s="3" t="str">
        <f>HYPERLINK("http://www.ncbi.nlm.nih.gov/protein/21311915","Cyp2s1")</f>
        <v>Cyp2s1</v>
      </c>
      <c r="E1617" t="str">
        <f>HYPERLINK("J:\Depot - mpkCCD Fractions\Main Web Page\Web Pages_old\proteomic_fractions_linear_files/Yang_linear_img/21311915.jpg","show blot")</f>
        <v>show blot</v>
      </c>
      <c r="G1617" t="s">
        <v>1606</v>
      </c>
      <c r="I1617" s="6">
        <v>3.3792512382582132</v>
      </c>
      <c r="K1617" s="8"/>
    </row>
    <row r="1618" spans="1:11" ht="15" x14ac:dyDescent="0.25">
      <c r="A1618" s="3" t="str">
        <f>HYPERLINK("proteomic_fractions_linear_files/Yang_linear_img/9256529.jpg", "9256529")</f>
        <v>9256529</v>
      </c>
      <c r="C1618" s="3" t="str">
        <f>HYPERLINK("http://www.ncbi.nlm.nih.gov/protein/9256529","Cyp39a1")</f>
        <v>Cyp39a1</v>
      </c>
      <c r="E1618" t="str">
        <f>HYPERLINK("J:\Depot - mpkCCD Fractions\Main Web Page\Web Pages_old\proteomic_fractions_linear_files/Yang_linear_img/9256529.jpg","show blot")</f>
        <v>show blot</v>
      </c>
      <c r="G1618" t="s">
        <v>1607</v>
      </c>
      <c r="I1618" s="6">
        <v>3.3416765143593028</v>
      </c>
      <c r="K1618" s="8"/>
    </row>
    <row r="1619" spans="1:11" ht="15" x14ac:dyDescent="0.25">
      <c r="A1619" s="3" t="str">
        <f>HYPERLINK("proteomic_fractions_linear_files/Yang_linear_img/13277362.jpg", "13277362")</f>
        <v>13277362</v>
      </c>
      <c r="C1619" s="3" t="str">
        <f>HYPERLINK("http://www.ncbi.nlm.nih.gov/protein/13277362","Cyp4f16")</f>
        <v>Cyp4f16</v>
      </c>
      <c r="E1619" t="str">
        <f>HYPERLINK("J:\Depot - mpkCCD Fractions\Main Web Page\Web Pages_old\proteomic_fractions_linear_files/Yang_linear_img/13277362.jpg","show blot")</f>
        <v>show blot</v>
      </c>
      <c r="G1619" t="s">
        <v>1608</v>
      </c>
      <c r="I1619" s="6">
        <v>2.6540458830639944</v>
      </c>
      <c r="K1619" s="8"/>
    </row>
    <row r="1620" spans="1:11" ht="15" x14ac:dyDescent="0.25">
      <c r="A1620" s="3" t="str">
        <f>HYPERLINK("proteomic_fractions_linear_files/Yang_linear_img/71061451.jpg", "71061451")</f>
        <v>71061451</v>
      </c>
      <c r="C1620" s="3" t="str">
        <f>HYPERLINK("http://www.ncbi.nlm.nih.gov/protein/71061451","Cyp51")</f>
        <v>Cyp51</v>
      </c>
      <c r="E1620" t="str">
        <f>HYPERLINK("J:\Depot - mpkCCD Fractions\Main Web Page\Web Pages_old\proteomic_fractions_linear_files/Yang_linear_img/71061451.jpg","show blot")</f>
        <v>show blot</v>
      </c>
      <c r="G1620" t="s">
        <v>1609</v>
      </c>
      <c r="I1620" s="6">
        <v>4.5513624069183214</v>
      </c>
      <c r="K1620" s="8"/>
    </row>
    <row r="1621" spans="1:11" ht="15" x14ac:dyDescent="0.25">
      <c r="A1621" s="3" t="str">
        <f>HYPERLINK("proteomic_fractions_linear_files/Yang_linear_img/240120154.jpg", "240120154")</f>
        <v>240120154</v>
      </c>
      <c r="C1621" s="3" t="str">
        <f>HYPERLINK("http://www.ncbi.nlm.nih.gov/protein/240120154","Cys1")</f>
        <v>Cys1</v>
      </c>
      <c r="E1621" t="str">
        <f>HYPERLINK("J:\Depot - mpkCCD Fractions\Main Web Page\Web Pages_old\proteomic_fractions_linear_files/Yang_linear_img/240120154.jpg","show blot")</f>
        <v>show blot</v>
      </c>
      <c r="G1621" t="s">
        <v>1610</v>
      </c>
      <c r="I1621" s="7" t="s">
        <v>8360</v>
      </c>
      <c r="K1621" s="8"/>
    </row>
    <row r="1622" spans="1:11" ht="15" x14ac:dyDescent="0.25">
      <c r="A1622" s="3" t="str">
        <f>HYPERLINK("proteomic_fractions_linear_files/Yang_linear_img/167716849.jpg", "167716849")</f>
        <v>167716849</v>
      </c>
      <c r="C1622" s="3" t="str">
        <f>HYPERLINK("http://www.ncbi.nlm.nih.gov/protein/167716849","CYTB")</f>
        <v>CYTB</v>
      </c>
      <c r="E1622" t="str">
        <f>HYPERLINK("J:\Depot - mpkCCD Fractions\Main Web Page\Web Pages_old\proteomic_fractions_linear_files/Yang_linear_img/167716849.jpg","show blot")</f>
        <v>show blot</v>
      </c>
      <c r="G1622" t="s">
        <v>1611</v>
      </c>
      <c r="I1622" s="6">
        <v>3.7285529181072397</v>
      </c>
      <c r="K1622" s="8"/>
    </row>
    <row r="1623" spans="1:11" ht="15" x14ac:dyDescent="0.25">
      <c r="A1623" s="3" t="str">
        <f>HYPERLINK("proteomic_fractions_linear_files/Yang_linear_img/226453487.jpg", "226453487")</f>
        <v>226453487</v>
      </c>
      <c r="C1623" s="3" t="str">
        <f>HYPERLINK("http://www.ncbi.nlm.nih.gov/protein/226453487","CYTB")</f>
        <v>CYTB</v>
      </c>
      <c r="E1623" t="str">
        <f>HYPERLINK("J:\Depot - mpkCCD Fractions\Main Web Page\Web Pages_old\proteomic_fractions_linear_files/Yang_linear_img/226453487.jpg","show blot")</f>
        <v>show blot</v>
      </c>
      <c r="G1623" t="s">
        <v>1612</v>
      </c>
      <c r="I1623" s="6">
        <v>3.7285529181072397</v>
      </c>
      <c r="K1623" s="8"/>
    </row>
    <row r="1624" spans="1:11" ht="15" x14ac:dyDescent="0.25">
      <c r="A1624" s="3" t="str">
        <f>HYPERLINK("proteomic_fractions_linear_files/Yang_linear_img/34538610.jpg", "34538610")</f>
        <v>34538610</v>
      </c>
      <c r="C1624" s="3" t="str">
        <f>HYPERLINK("http://www.ncbi.nlm.nih.gov/protein/34538610","CYTB")</f>
        <v>CYTB</v>
      </c>
      <c r="E1624" t="str">
        <f>HYPERLINK("J:\Depot - mpkCCD Fractions\Main Web Page\Web Pages_old\proteomic_fractions_linear_files/Yang_linear_img/34538610.jpg","show blot")</f>
        <v>show blot</v>
      </c>
      <c r="G1624" t="s">
        <v>1613</v>
      </c>
      <c r="I1624" s="6">
        <v>3.7285529181072397</v>
      </c>
      <c r="K1624" s="8"/>
    </row>
    <row r="1625" spans="1:11" ht="15" x14ac:dyDescent="0.25">
      <c r="A1625" s="3" t="str">
        <f>HYPERLINK("proteomic_fractions_linear_files/Yang_linear_img/162951835.jpg", "162951835")</f>
        <v>162951835</v>
      </c>
      <c r="C1625" s="3" t="str">
        <f>HYPERLINK("http://www.ncbi.nlm.nih.gov/protein/162951835","Cyth1")</f>
        <v>Cyth1</v>
      </c>
      <c r="E1625" t="str">
        <f>HYPERLINK("J:\Depot - mpkCCD Fractions\Main Web Page\Web Pages_old\proteomic_fractions_linear_files/Yang_linear_img/162951835.jpg","show blot")</f>
        <v>show blot</v>
      </c>
      <c r="G1625" t="s">
        <v>1614</v>
      </c>
      <c r="I1625" s="6">
        <v>3.1275625249680234</v>
      </c>
      <c r="K1625" s="8"/>
    </row>
    <row r="1626" spans="1:11" ht="15" x14ac:dyDescent="0.25">
      <c r="A1626" s="3" t="str">
        <f>HYPERLINK("proteomic_fractions_linear_files/Yang_linear_img/162951837.jpg", "162951837")</f>
        <v>162951837</v>
      </c>
      <c r="C1626" s="3" t="str">
        <f>HYPERLINK("http://www.ncbi.nlm.nih.gov/protein/162951837","Cyth1")</f>
        <v>Cyth1</v>
      </c>
      <c r="E1626" t="str">
        <f>HYPERLINK("J:\Depot - mpkCCD Fractions\Main Web Page\Web Pages_old\proteomic_fractions_linear_files/Yang_linear_img/162951837.jpg","show blot")</f>
        <v>show blot</v>
      </c>
      <c r="G1626" t="s">
        <v>1615</v>
      </c>
      <c r="I1626" s="6">
        <v>3.1275625249680234</v>
      </c>
      <c r="K1626" s="8"/>
    </row>
    <row r="1627" spans="1:11" ht="15" x14ac:dyDescent="0.25">
      <c r="A1627" s="3" t="str">
        <f>HYPERLINK("proteomic_fractions_linear_files/Yang_linear_img/31543516.jpg", "31543516")</f>
        <v>31543516</v>
      </c>
      <c r="C1627" s="3" t="str">
        <f>HYPERLINK("http://www.ncbi.nlm.nih.gov/protein/31543516","Cyth1")</f>
        <v>Cyth1</v>
      </c>
      <c r="E1627" t="str">
        <f>HYPERLINK("J:\Depot - mpkCCD Fractions\Main Web Page\Web Pages_old\proteomic_fractions_linear_files/Yang_linear_img/31543516.jpg","show blot")</f>
        <v>show blot</v>
      </c>
      <c r="G1627" t="s">
        <v>1616</v>
      </c>
      <c r="I1627" s="6">
        <v>3.1275625249680234</v>
      </c>
      <c r="K1627" s="8"/>
    </row>
    <row r="1628" spans="1:11" ht="15" x14ac:dyDescent="0.25">
      <c r="A1628" s="3" t="str">
        <f>HYPERLINK("proteomic_fractions_linear_files/Yang_linear_img/162951840.jpg", "162951840")</f>
        <v>162951840</v>
      </c>
      <c r="C1628" s="3" t="str">
        <f>HYPERLINK("http://www.ncbi.nlm.nih.gov/protein/162951840","Cyth2")</f>
        <v>Cyth2</v>
      </c>
      <c r="E1628" t="str">
        <f>HYPERLINK("J:\Depot - mpkCCD Fractions\Main Web Page\Web Pages_old\proteomic_fractions_linear_files/Yang_linear_img/162951840.jpg","show blot")</f>
        <v>show blot</v>
      </c>
      <c r="G1628" t="s">
        <v>1617</v>
      </c>
      <c r="I1628" s="6">
        <v>3.6096576386289483</v>
      </c>
      <c r="K1628" s="8"/>
    </row>
    <row r="1629" spans="1:11" ht="15" x14ac:dyDescent="0.25">
      <c r="A1629" s="3" t="str">
        <f>HYPERLINK("proteomic_fractions_linear_files/Yang_linear_img/6755186.jpg", "6755186")</f>
        <v>6755186</v>
      </c>
      <c r="C1629" s="3" t="str">
        <f>HYPERLINK("http://www.ncbi.nlm.nih.gov/protein/6755186","Cyth2")</f>
        <v>Cyth2</v>
      </c>
      <c r="E1629" t="str">
        <f>HYPERLINK("J:\Depot - mpkCCD Fractions\Main Web Page\Web Pages_old\proteomic_fractions_linear_files/Yang_linear_img/6755186.jpg","show blot")</f>
        <v>show blot</v>
      </c>
      <c r="G1629" t="s">
        <v>1618</v>
      </c>
      <c r="I1629" s="6">
        <v>3.6096576386289483</v>
      </c>
      <c r="K1629" s="8"/>
    </row>
    <row r="1630" spans="1:11" ht="15" x14ac:dyDescent="0.25">
      <c r="A1630" s="3" t="str">
        <f>HYPERLINK("proteomic_fractions_linear_files/Yang_linear_img/29244042.jpg", "29244042")</f>
        <v>29244042</v>
      </c>
      <c r="C1630" s="3" t="str">
        <f>HYPERLINK("http://www.ncbi.nlm.nih.gov/protein/29244042","D030056L22Rik")</f>
        <v>D030056L22Rik</v>
      </c>
      <c r="E1630" t="str">
        <f>HYPERLINK("J:\Depot - mpkCCD Fractions\Main Web Page\Web Pages_old\proteomic_fractions_linear_files/Yang_linear_img/29244042.jpg","show blot")</f>
        <v>show blot</v>
      </c>
      <c r="G1630" t="s">
        <v>1619</v>
      </c>
      <c r="I1630" s="6">
        <v>4.3891272028560122</v>
      </c>
      <c r="K1630" s="8"/>
    </row>
    <row r="1631" spans="1:11" ht="15" x14ac:dyDescent="0.25">
      <c r="A1631" s="3" t="str">
        <f>HYPERLINK("proteomic_fractions_linear_files/Yang_linear_img/85701756.jpg", "85701756")</f>
        <v>85701756</v>
      </c>
      <c r="C1631" s="3" t="str">
        <f>HYPERLINK("http://www.ncbi.nlm.nih.gov/protein/85701756","D10Bwg1379e")</f>
        <v>D10Bwg1379e</v>
      </c>
      <c r="E1631" t="str">
        <f>HYPERLINK("J:\Depot - mpkCCD Fractions\Main Web Page\Web Pages_old\proteomic_fractions_linear_files/Yang_linear_img/85701756.jpg","show blot")</f>
        <v>show blot</v>
      </c>
      <c r="G1631" t="s">
        <v>1620</v>
      </c>
      <c r="I1631" s="6">
        <v>2.8546646726541653</v>
      </c>
      <c r="K1631" s="8"/>
    </row>
    <row r="1632" spans="1:11" ht="15" x14ac:dyDescent="0.25">
      <c r="A1632" s="3" t="str">
        <f>HYPERLINK("proteomic_fractions_linear_files/Yang_linear_img/163838637.jpg", "163838637")</f>
        <v>163838637</v>
      </c>
      <c r="C1632" s="3" t="str">
        <f>HYPERLINK("http://www.ncbi.nlm.nih.gov/protein/163838637","D14Abb1e")</f>
        <v>D14Abb1e</v>
      </c>
      <c r="E1632" t="str">
        <f>HYPERLINK("J:\Depot - mpkCCD Fractions\Main Web Page\Web Pages_old\proteomic_fractions_linear_files/Yang_linear_img/163838637.jpg","show blot")</f>
        <v>show blot</v>
      </c>
      <c r="G1632" t="s">
        <v>1621</v>
      </c>
      <c r="I1632" s="6">
        <v>0.55170978664415105</v>
      </c>
      <c r="K1632" s="8"/>
    </row>
    <row r="1633" spans="1:11" ht="15" x14ac:dyDescent="0.25">
      <c r="A1633" s="3" t="str">
        <f>HYPERLINK("proteomic_fractions_linear_files/Yang_linear_img/168823452.jpg", "168823452")</f>
        <v>168823452</v>
      </c>
      <c r="C1633" s="3" t="str">
        <f>HYPERLINK("http://www.ncbi.nlm.nih.gov/protein/168823452","D14Abb1e")</f>
        <v>D14Abb1e</v>
      </c>
      <c r="E1633" t="str">
        <f>HYPERLINK("J:\Depot - mpkCCD Fractions\Main Web Page\Web Pages_old\proteomic_fractions_linear_files/Yang_linear_img/168823452.jpg","show blot")</f>
        <v>show blot</v>
      </c>
      <c r="G1633" t="s">
        <v>1622</v>
      </c>
      <c r="I1633" s="6">
        <v>0.55170978664415105</v>
      </c>
      <c r="K1633" s="8"/>
    </row>
    <row r="1634" spans="1:11" ht="15" x14ac:dyDescent="0.25">
      <c r="A1634" s="3" t="str">
        <f>HYPERLINK("proteomic_fractions_linear_files/Yang_linear_img/112817622.jpg", "112817622")</f>
        <v>112817622</v>
      </c>
      <c r="C1634" s="3" t="str">
        <f>HYPERLINK("http://www.ncbi.nlm.nih.gov/protein/112817622","D15Ertd621e")</f>
        <v>D15Ertd621e</v>
      </c>
      <c r="E1634" t="str">
        <f>HYPERLINK("J:\Depot - mpkCCD Fractions\Main Web Page\Web Pages_old\proteomic_fractions_linear_files/Yang_linear_img/112817622.jpg","show blot")</f>
        <v>show blot</v>
      </c>
      <c r="G1634" t="s">
        <v>1623</v>
      </c>
      <c r="I1634" s="6">
        <v>4.5343105643386084</v>
      </c>
      <c r="K1634" s="8"/>
    </row>
    <row r="1635" spans="1:11" ht="15" x14ac:dyDescent="0.25">
      <c r="A1635" s="3" t="str">
        <f>HYPERLINK("proteomic_fractions_linear_files/Yang_linear_img/51591905.jpg", "51591905")</f>
        <v>51591905</v>
      </c>
      <c r="C1635" s="3" t="str">
        <f>HYPERLINK("http://www.ncbi.nlm.nih.gov/protein/51591905","D17H6S53E")</f>
        <v>D17H6S53E</v>
      </c>
      <c r="E1635" t="str">
        <f>HYPERLINK("J:\Depot - mpkCCD Fractions\Main Web Page\Web Pages_old\proteomic_fractions_linear_files/Yang_linear_img/51591905.jpg","show blot")</f>
        <v>show blot</v>
      </c>
      <c r="G1635" t="s">
        <v>1624</v>
      </c>
      <c r="I1635" s="6">
        <v>2.0525977633215624</v>
      </c>
      <c r="K1635" s="8"/>
    </row>
    <row r="1636" spans="1:11" ht="15" x14ac:dyDescent="0.25">
      <c r="A1636" s="3" t="str">
        <f>HYPERLINK("proteomic_fractions_linear_files/Yang_linear_img/18250288.jpg", "18250288")</f>
        <v>18250288</v>
      </c>
      <c r="C1636" s="3" t="str">
        <f>HYPERLINK("http://www.ncbi.nlm.nih.gov/protein/18250288","D17Wsu104e")</f>
        <v>D17Wsu104e</v>
      </c>
      <c r="E1636" t="str">
        <f>HYPERLINK("J:\Depot - mpkCCD Fractions\Main Web Page\Web Pages_old\proteomic_fractions_linear_files/Yang_linear_img/18250288.jpg","show blot")</f>
        <v>show blot</v>
      </c>
      <c r="G1636" t="s">
        <v>1625</v>
      </c>
      <c r="I1636" s="6">
        <v>5.147750354620694</v>
      </c>
      <c r="K1636" s="8"/>
    </row>
    <row r="1637" spans="1:11" ht="15" x14ac:dyDescent="0.25">
      <c r="A1637" s="3" t="str">
        <f>HYPERLINK("proteomic_fractions_linear_files/Yang_linear_img/19527042.jpg", "19527042")</f>
        <v>19527042</v>
      </c>
      <c r="C1637" s="3" t="str">
        <f>HYPERLINK("http://www.ncbi.nlm.nih.gov/protein/19527042","D1Ertd622e")</f>
        <v>D1Ertd622e</v>
      </c>
      <c r="E1637" t="str">
        <f>HYPERLINK("J:\Depot - mpkCCD Fractions\Main Web Page\Web Pages_old\proteomic_fractions_linear_files/Yang_linear_img/19527042.jpg","show blot")</f>
        <v>show blot</v>
      </c>
      <c r="G1637" t="s">
        <v>1626</v>
      </c>
      <c r="I1637" s="6">
        <v>2.7676378935782044</v>
      </c>
      <c r="K1637" s="8"/>
    </row>
    <row r="1638" spans="1:11" ht="15" x14ac:dyDescent="0.25">
      <c r="A1638" s="3" t="str">
        <f>HYPERLINK("proteomic_fractions_linear_files/Yang_linear_img/14861844.jpg", "14861844")</f>
        <v>14861844</v>
      </c>
      <c r="C1638" s="3" t="str">
        <f>HYPERLINK("http://www.ncbi.nlm.nih.gov/protein/14861844","D1Pas1")</f>
        <v>D1Pas1</v>
      </c>
      <c r="E1638" t="str">
        <f>HYPERLINK("J:\Depot - mpkCCD Fractions\Main Web Page\Web Pages_old\proteomic_fractions_linear_files/Yang_linear_img/14861844.jpg","show blot")</f>
        <v>show blot</v>
      </c>
      <c r="G1638" t="s">
        <v>1627</v>
      </c>
      <c r="I1638" s="6">
        <v>5.99105503839486</v>
      </c>
      <c r="K1638" s="8"/>
    </row>
    <row r="1639" spans="1:11" ht="15" x14ac:dyDescent="0.25">
      <c r="A1639" s="3" t="str">
        <f>HYPERLINK("proteomic_fractions_linear_files/Yang_linear_img/170014723.jpg", "170014723")</f>
        <v>170014723</v>
      </c>
      <c r="C1639" s="3" t="str">
        <f>HYPERLINK("http://www.ncbi.nlm.nih.gov/protein/170014723","D2hgdh")</f>
        <v>D2hgdh</v>
      </c>
      <c r="E1639" t="str">
        <f>HYPERLINK("J:\Depot - mpkCCD Fractions\Main Web Page\Web Pages_old\proteomic_fractions_linear_files/Yang_linear_img/170014723.jpg","show blot")</f>
        <v>show blot</v>
      </c>
      <c r="G1639" t="s">
        <v>1628</v>
      </c>
      <c r="I1639" s="6">
        <v>3.6874551863960066</v>
      </c>
      <c r="K1639" s="8"/>
    </row>
    <row r="1640" spans="1:11" ht="15" x14ac:dyDescent="0.25">
      <c r="A1640" s="3" t="str">
        <f>HYPERLINK("proteomic_fractions_linear_files/Yang_linear_img/305682577.jpg", "305682577")</f>
        <v>305682577</v>
      </c>
      <c r="C1640" s="3" t="str">
        <f>HYPERLINK("http://www.ncbi.nlm.nih.gov/protein/305682577","D2Wsu81e")</f>
        <v>D2Wsu81e</v>
      </c>
      <c r="E1640" t="str">
        <f>HYPERLINK("J:\Depot - mpkCCD Fractions\Main Web Page\Web Pages_old\proteomic_fractions_linear_files/Yang_linear_img/305682577.jpg","show blot")</f>
        <v>show blot</v>
      </c>
      <c r="G1640" t="s">
        <v>1629</v>
      </c>
      <c r="I1640" s="6">
        <v>2.8363241157067516</v>
      </c>
      <c r="K1640" s="8"/>
    </row>
    <row r="1641" spans="1:11" ht="15" x14ac:dyDescent="0.25">
      <c r="A1641" s="3" t="str">
        <f>HYPERLINK("proteomic_fractions_linear_files/Yang_linear_img/30425010.jpg", "30425010")</f>
        <v>30425010</v>
      </c>
      <c r="C1641" s="3" t="str">
        <f>HYPERLINK("http://www.ncbi.nlm.nih.gov/protein/30425010","D330045A20Rik")</f>
        <v>D330045A20Rik</v>
      </c>
      <c r="E1641" t="str">
        <f>HYPERLINK("J:\Depot - mpkCCD Fractions\Main Web Page\Web Pages_old\proteomic_fractions_linear_files/Yang_linear_img/30425010.jpg","show blot")</f>
        <v>show blot</v>
      </c>
      <c r="G1641" t="s">
        <v>1630</v>
      </c>
      <c r="I1641" s="6">
        <v>1.4460372707669233</v>
      </c>
      <c r="K1641" s="8"/>
    </row>
    <row r="1642" spans="1:11" ht="15" x14ac:dyDescent="0.25">
      <c r="A1642" s="3" t="str">
        <f>HYPERLINK("proteomic_fractions_linear_files/Yang_linear_img/153281116.jpg", "153281116")</f>
        <v>153281116</v>
      </c>
      <c r="C1642" s="3" t="str">
        <f>HYPERLINK("http://www.ncbi.nlm.nih.gov/protein/153281116","D3Ertd751e")</f>
        <v>D3Ertd751e</v>
      </c>
      <c r="E1642" t="str">
        <f>HYPERLINK("J:\Depot - mpkCCD Fractions\Main Web Page\Web Pages_old\proteomic_fractions_linear_files/Yang_linear_img/153281116.jpg","show blot")</f>
        <v>show blot</v>
      </c>
      <c r="G1642" t="s">
        <v>1631</v>
      </c>
      <c r="I1642" s="6">
        <v>4.4503269759662949</v>
      </c>
      <c r="K1642" s="8"/>
    </row>
    <row r="1643" spans="1:11" ht="15" x14ac:dyDescent="0.25">
      <c r="A1643" s="3" t="str">
        <f>HYPERLINK("proteomic_fractions_linear_files/Yang_linear_img/153281135.jpg", "153281135")</f>
        <v>153281135</v>
      </c>
      <c r="C1643" s="3" t="str">
        <f>HYPERLINK("http://www.ncbi.nlm.nih.gov/protein/153281135","D3Ertd751e")</f>
        <v>D3Ertd751e</v>
      </c>
      <c r="E1643" t="str">
        <f>HYPERLINK("J:\Depot - mpkCCD Fractions\Main Web Page\Web Pages_old\proteomic_fractions_linear_files/Yang_linear_img/153281135.jpg","show blot")</f>
        <v>show blot</v>
      </c>
      <c r="G1643" t="s">
        <v>1632</v>
      </c>
      <c r="I1643" s="6">
        <v>4.4503269759662949</v>
      </c>
      <c r="K1643" s="8"/>
    </row>
    <row r="1644" spans="1:11" ht="15" x14ac:dyDescent="0.25">
      <c r="A1644" s="3" t="str">
        <f>HYPERLINK("proteomic_fractions_linear_files/Yang_linear_img/20070406.jpg", "20070406")</f>
        <v>20070406</v>
      </c>
      <c r="C1644" s="3" t="str">
        <f>HYPERLINK("http://www.ncbi.nlm.nih.gov/protein/20070406","D6Wsu163e")</f>
        <v>D6Wsu163e</v>
      </c>
      <c r="E1644" t="str">
        <f>HYPERLINK("J:\Depot - mpkCCD Fractions\Main Web Page\Web Pages_old\proteomic_fractions_linear_files/Yang_linear_img/20070406.jpg","show blot")</f>
        <v>show blot</v>
      </c>
      <c r="G1644" t="s">
        <v>1633</v>
      </c>
      <c r="I1644" s="6">
        <v>3.4156411598781391</v>
      </c>
      <c r="K1644" s="8"/>
    </row>
    <row r="1645" spans="1:11" ht="15" x14ac:dyDescent="0.25">
      <c r="A1645" s="3" t="str">
        <f>HYPERLINK("proteomic_fractions_linear_files/Yang_linear_img/56090602.jpg", "56090602")</f>
        <v>56090602</v>
      </c>
      <c r="C1645" s="3" t="str">
        <f>HYPERLINK("http://www.ncbi.nlm.nih.gov/protein/56090602","D8Ertd738e")</f>
        <v>D8Ertd738e</v>
      </c>
      <c r="E1645" t="str">
        <f>HYPERLINK("J:\Depot - mpkCCD Fractions\Main Web Page\Web Pages_old\proteomic_fractions_linear_files/Yang_linear_img/56090602.jpg","show blot")</f>
        <v>show blot</v>
      </c>
      <c r="G1645" t="s">
        <v>1634</v>
      </c>
      <c r="I1645" s="6">
        <v>4.6840637543697374</v>
      </c>
      <c r="K1645" s="8"/>
    </row>
    <row r="1646" spans="1:11" ht="15" x14ac:dyDescent="0.25">
      <c r="A1646" s="3" t="str">
        <f>HYPERLINK("proteomic_fractions_linear_files/Yang_linear_img/161333828.jpg", "161333828")</f>
        <v>161333828</v>
      </c>
      <c r="C1646" s="3" t="str">
        <f>HYPERLINK("http://www.ncbi.nlm.nih.gov/protein/161333828","D8Ertd82e")</f>
        <v>D8Ertd82e</v>
      </c>
      <c r="E1646" t="str">
        <f>HYPERLINK("J:\Depot - mpkCCD Fractions\Main Web Page\Web Pages_old\proteomic_fractions_linear_files/Yang_linear_img/161333828.jpg","show blot")</f>
        <v>show blot</v>
      </c>
      <c r="G1646" t="s">
        <v>1635</v>
      </c>
      <c r="I1646" s="6">
        <v>4.4365635670714241</v>
      </c>
      <c r="K1646" s="8"/>
    </row>
    <row r="1647" spans="1:11" ht="15" x14ac:dyDescent="0.25">
      <c r="A1647" s="3" t="str">
        <f>HYPERLINK("proteomic_fractions_linear_files/Yang_linear_img/78191777.jpg", "78191777")</f>
        <v>78191777</v>
      </c>
      <c r="C1647" s="3" t="str">
        <f>HYPERLINK("http://www.ncbi.nlm.nih.gov/protein/78191777","Daam1")</f>
        <v>Daam1</v>
      </c>
      <c r="E1647" t="str">
        <f>HYPERLINK("J:\Depot - mpkCCD Fractions\Main Web Page\Web Pages_old\proteomic_fractions_linear_files/Yang_linear_img/78191777.jpg","show blot")</f>
        <v>show blot</v>
      </c>
      <c r="G1647" t="s">
        <v>1636</v>
      </c>
      <c r="I1647" s="6">
        <v>2.5647526432101269</v>
      </c>
      <c r="K1647" s="8"/>
    </row>
    <row r="1648" spans="1:11" ht="15" x14ac:dyDescent="0.25">
      <c r="A1648" s="3" t="str">
        <f>HYPERLINK("proteomic_fractions_linear_files/Yang_linear_img/6753598.jpg", "6753598")</f>
        <v>6753598</v>
      </c>
      <c r="C1648" s="3" t="str">
        <f>HYPERLINK("http://www.ncbi.nlm.nih.gov/protein/6753598","Dad1")</f>
        <v>Dad1</v>
      </c>
      <c r="E1648" t="str">
        <f>HYPERLINK("J:\Depot - mpkCCD Fractions\Main Web Page\Web Pages_old\proteomic_fractions_linear_files/Yang_linear_img/6753598.jpg","show blot")</f>
        <v>show blot</v>
      </c>
      <c r="G1648" t="s">
        <v>1637</v>
      </c>
      <c r="I1648" s="6">
        <v>6.0387633068529247</v>
      </c>
      <c r="K1648" s="8"/>
    </row>
    <row r="1649" spans="1:11" ht="15" x14ac:dyDescent="0.25">
      <c r="A1649" s="3" t="str">
        <f>HYPERLINK("proteomic_fractions_linear_files/Yang_linear_img/451898099;33859532.jpg", "451898099;33859532")</f>
        <v>451898099;33859532</v>
      </c>
      <c r="C1649" s="3" t="str">
        <f>HYPERLINK("http://www.ncbi.nlm.nih.gov/protein/451898099;33859532","Dag1")</f>
        <v>Dag1</v>
      </c>
      <c r="E1649" t="str">
        <f>HYPERLINK("J:\Depot - mpkCCD Fractions\Main Web Page\Web Pages_old\proteomic_fractions_linear_files/Yang_linear_img/451898099;33859532.jpg","show blot")</f>
        <v>show blot</v>
      </c>
      <c r="G1649" t="s">
        <v>1638</v>
      </c>
      <c r="I1649" s="6">
        <v>4.7221510458498166</v>
      </c>
      <c r="K1649" s="8"/>
    </row>
    <row r="1650" spans="1:11" ht="15" x14ac:dyDescent="0.25">
      <c r="A1650" s="3" t="str">
        <f>HYPERLINK("proteomic_fractions_linear_files/Yang_linear_img/33859532.jpg", "33859532")</f>
        <v>33859532</v>
      </c>
      <c r="C1650" s="3" t="str">
        <f>HYPERLINK("http://www.ncbi.nlm.nih.gov/protein/33859532","Dag1")</f>
        <v>Dag1</v>
      </c>
      <c r="E1650" t="str">
        <f>HYPERLINK("J:\Depot - mpkCCD Fractions\Main Web Page\Web Pages_old\proteomic_fractions_linear_files/Yang_linear_img/33859532.jpg","show blot")</f>
        <v>show blot</v>
      </c>
      <c r="G1650" t="s">
        <v>1638</v>
      </c>
      <c r="I1650" s="6">
        <v>4.7221510458498166</v>
      </c>
      <c r="K1650" s="8"/>
    </row>
    <row r="1651" spans="1:11" ht="15" x14ac:dyDescent="0.25">
      <c r="A1651" s="3" t="str">
        <f>HYPERLINK("proteomic_fractions_linear_files/Yang_linear_img/21703976.jpg", "21703976")</f>
        <v>21703976</v>
      </c>
      <c r="C1651" s="3" t="str">
        <f>HYPERLINK("http://www.ncbi.nlm.nih.gov/protein/21703976","Dak")</f>
        <v>Dak</v>
      </c>
      <c r="E1651" t="str">
        <f>HYPERLINK("J:\Depot - mpkCCD Fractions\Main Web Page\Web Pages_old\proteomic_fractions_linear_files/Yang_linear_img/21703976.jpg","show blot")</f>
        <v>show blot</v>
      </c>
      <c r="G1651" t="s">
        <v>1639</v>
      </c>
      <c r="I1651" s="6">
        <v>4.3645270942989676</v>
      </c>
      <c r="K1651" s="8"/>
    </row>
    <row r="1652" spans="1:11" ht="15" x14ac:dyDescent="0.25">
      <c r="A1652" s="3" t="str">
        <f>HYPERLINK("proteomic_fractions_linear_files/Yang_linear_img/110815857.jpg", "110815857")</f>
        <v>110815857</v>
      </c>
      <c r="C1652" s="3" t="str">
        <f>HYPERLINK("http://www.ncbi.nlm.nih.gov/protein/110815857","Dao")</f>
        <v>Dao</v>
      </c>
      <c r="E1652" t="str">
        <f>HYPERLINK("J:\Depot - mpkCCD Fractions\Main Web Page\Web Pages_old\proteomic_fractions_linear_files/Yang_linear_img/110815857.jpg","show blot")</f>
        <v>show blot</v>
      </c>
      <c r="G1652" t="s">
        <v>1640</v>
      </c>
      <c r="I1652" s="6">
        <v>3.3340480483240329</v>
      </c>
      <c r="K1652" s="8"/>
    </row>
    <row r="1653" spans="1:11" ht="15" x14ac:dyDescent="0.25">
      <c r="A1653" s="3" t="str">
        <f>HYPERLINK("proteomic_fractions_linear_files/Yang_linear_img/256985203.jpg", "256985203")</f>
        <v>256985203</v>
      </c>
      <c r="C1653" s="3" t="str">
        <f>HYPERLINK("http://www.ncbi.nlm.nih.gov/protein/256985203","Dap3")</f>
        <v>Dap3</v>
      </c>
      <c r="E1653" t="str">
        <f>HYPERLINK("J:\Depot - mpkCCD Fractions\Main Web Page\Web Pages_old\proteomic_fractions_linear_files/Yang_linear_img/256985203.jpg","show blot")</f>
        <v>show blot</v>
      </c>
      <c r="G1653" t="s">
        <v>1641</v>
      </c>
      <c r="I1653" s="6">
        <v>4.2169433029425729</v>
      </c>
      <c r="K1653" s="8"/>
    </row>
    <row r="1654" spans="1:11" ht="15" x14ac:dyDescent="0.25">
      <c r="A1654" s="3" t="str">
        <f>HYPERLINK("proteomic_fractions_linear_files/Yang_linear_img/256985205.jpg", "256985205")</f>
        <v>256985205</v>
      </c>
      <c r="C1654" s="3" t="str">
        <f>HYPERLINK("http://www.ncbi.nlm.nih.gov/protein/256985205","Dap3")</f>
        <v>Dap3</v>
      </c>
      <c r="E1654" t="str">
        <f>HYPERLINK("J:\Depot - mpkCCD Fractions\Main Web Page\Web Pages_old\proteomic_fractions_linear_files/Yang_linear_img/256985205.jpg","show blot")</f>
        <v>show blot</v>
      </c>
      <c r="G1654" t="s">
        <v>1642</v>
      </c>
      <c r="I1654" s="6">
        <v>4.2169433029425729</v>
      </c>
      <c r="K1654" s="8"/>
    </row>
    <row r="1655" spans="1:11" ht="15" x14ac:dyDescent="0.25">
      <c r="A1655" s="3" t="str">
        <f>HYPERLINK("proteomic_fractions_linear_files/Yang_linear_img/410812207.jpg", "410812207")</f>
        <v>410812207</v>
      </c>
      <c r="C1655" s="3" t="str">
        <f>HYPERLINK("http://www.ncbi.nlm.nih.gov/protein/410812207","Dapk3")</f>
        <v>Dapk3</v>
      </c>
      <c r="E1655" t="str">
        <f>HYPERLINK("J:\Depot - mpkCCD Fractions\Main Web Page\Web Pages_old\proteomic_fractions_linear_files/Yang_linear_img/410812207.jpg","show blot")</f>
        <v>show blot</v>
      </c>
      <c r="G1655" t="s">
        <v>1643</v>
      </c>
      <c r="I1655" s="6">
        <v>3.4083033333382122</v>
      </c>
      <c r="K1655" s="8"/>
    </row>
    <row r="1656" spans="1:11" ht="15" x14ac:dyDescent="0.25">
      <c r="A1656" s="3" t="str">
        <f>HYPERLINK("proteomic_fractions_linear_files/Yang_linear_img/6681133.jpg", "6681133")</f>
        <v>6681133</v>
      </c>
      <c r="C1656" s="3" t="str">
        <f>HYPERLINK("http://www.ncbi.nlm.nih.gov/protein/6681133","Dapk3")</f>
        <v>Dapk3</v>
      </c>
      <c r="E1656" t="str">
        <f>HYPERLINK("J:\Depot - mpkCCD Fractions\Main Web Page\Web Pages_old\proteomic_fractions_linear_files/Yang_linear_img/6681133.jpg","show blot")</f>
        <v>show blot</v>
      </c>
      <c r="G1656" t="s">
        <v>1644</v>
      </c>
      <c r="I1656" s="6">
        <v>3.4083033333382122</v>
      </c>
      <c r="K1656" s="8"/>
    </row>
    <row r="1657" spans="1:11" ht="15" x14ac:dyDescent="0.25">
      <c r="A1657" s="3" t="str">
        <f>HYPERLINK("proteomic_fractions_linear_files/Yang_linear_img/210147402.jpg", "210147402")</f>
        <v>210147402</v>
      </c>
      <c r="C1657" s="3" t="str">
        <f>HYPERLINK("http://www.ncbi.nlm.nih.gov/protein/210147402","Dars")</f>
        <v>Dars</v>
      </c>
      <c r="E1657" t="str">
        <f>HYPERLINK("J:\Depot - mpkCCD Fractions\Main Web Page\Web Pages_old\proteomic_fractions_linear_files/Yang_linear_img/210147402.jpg","show blot")</f>
        <v>show blot</v>
      </c>
      <c r="G1657" t="s">
        <v>1645</v>
      </c>
      <c r="I1657" s="6">
        <v>7.421329628457185</v>
      </c>
      <c r="K1657" s="8"/>
    </row>
    <row r="1658" spans="1:11" ht="15" x14ac:dyDescent="0.25">
      <c r="A1658" s="3" t="str">
        <f>HYPERLINK("proteomic_fractions_linear_files/Yang_linear_img/211065507.jpg", "211065507")</f>
        <v>211065507</v>
      </c>
      <c r="C1658" s="3" t="str">
        <f>HYPERLINK("http://www.ncbi.nlm.nih.gov/protein/211065507","Dars")</f>
        <v>Dars</v>
      </c>
      <c r="E1658" t="str">
        <f>HYPERLINK("J:\Depot - mpkCCD Fractions\Main Web Page\Web Pages_old\proteomic_fractions_linear_files/Yang_linear_img/211065507.jpg","show blot")</f>
        <v>show blot</v>
      </c>
      <c r="G1658" t="s">
        <v>1646</v>
      </c>
      <c r="I1658" s="6">
        <v>7.421329628457185</v>
      </c>
      <c r="K1658" s="8"/>
    </row>
    <row r="1659" spans="1:11" ht="15" x14ac:dyDescent="0.25">
      <c r="A1659" s="3" t="str">
        <f>HYPERLINK("proteomic_fractions_linear_files/Yang_linear_img/27369928.jpg", "27369928")</f>
        <v>27369928</v>
      </c>
      <c r="C1659" s="3" t="str">
        <f>HYPERLINK("http://www.ncbi.nlm.nih.gov/protein/27369928","Dars2")</f>
        <v>Dars2</v>
      </c>
      <c r="E1659" t="str">
        <f>HYPERLINK("J:\Depot - mpkCCD Fractions\Main Web Page\Web Pages_old\proteomic_fractions_linear_files/Yang_linear_img/27369928.jpg","show blot")</f>
        <v>show blot</v>
      </c>
      <c r="G1659" t="s">
        <v>1647</v>
      </c>
      <c r="I1659" s="6">
        <v>3.2579004822427082</v>
      </c>
      <c r="K1659" s="8"/>
    </row>
    <row r="1660" spans="1:11" ht="15" x14ac:dyDescent="0.25">
      <c r="A1660" s="3" t="str">
        <f>HYPERLINK("proteomic_fractions_linear_files/Yang_linear_img/169790818.jpg", "169790818")</f>
        <v>169790818</v>
      </c>
      <c r="C1660" s="3" t="str">
        <f>HYPERLINK("http://www.ncbi.nlm.nih.gov/protein/169790818","Dazap1")</f>
        <v>Dazap1</v>
      </c>
      <c r="E1660" t="str">
        <f>HYPERLINK("J:\Depot - mpkCCD Fractions\Main Web Page\Web Pages_old\proteomic_fractions_linear_files/Yang_linear_img/169790818.jpg","show blot")</f>
        <v>show blot</v>
      </c>
      <c r="G1660" t="s">
        <v>1648</v>
      </c>
      <c r="I1660" s="6">
        <v>5.1981971507963154</v>
      </c>
      <c r="K1660" s="8"/>
    </row>
    <row r="1661" spans="1:11" ht="15" x14ac:dyDescent="0.25">
      <c r="A1661" s="3" t="str">
        <f>HYPERLINK("proteomic_fractions_linear_files/Yang_linear_img/169790820.jpg", "169790820")</f>
        <v>169790820</v>
      </c>
      <c r="C1661" s="3" t="str">
        <f>HYPERLINK("http://www.ncbi.nlm.nih.gov/protein/169790820","Dazap1")</f>
        <v>Dazap1</v>
      </c>
      <c r="E1661" t="str">
        <f>HYPERLINK("J:\Depot - mpkCCD Fractions\Main Web Page\Web Pages_old\proteomic_fractions_linear_files/Yang_linear_img/169790820.jpg","show blot")</f>
        <v>show blot</v>
      </c>
      <c r="G1661" t="s">
        <v>1649</v>
      </c>
      <c r="I1661" s="6">
        <v>5.1981971507963154</v>
      </c>
      <c r="K1661" s="8"/>
    </row>
    <row r="1662" spans="1:11" ht="15" x14ac:dyDescent="0.25">
      <c r="A1662" s="3" t="str">
        <f>HYPERLINK("proteomic_fractions_linear_files/Yang_linear_img/169790823.jpg", "169790823")</f>
        <v>169790823</v>
      </c>
      <c r="C1662" s="3" t="str">
        <f>HYPERLINK("http://www.ncbi.nlm.nih.gov/protein/169790823","Dazap1")</f>
        <v>Dazap1</v>
      </c>
      <c r="E1662" t="str">
        <f>HYPERLINK("J:\Depot - mpkCCD Fractions\Main Web Page\Web Pages_old\proteomic_fractions_linear_files/Yang_linear_img/169790823.jpg","show blot")</f>
        <v>show blot</v>
      </c>
      <c r="G1662" t="s">
        <v>1650</v>
      </c>
      <c r="I1662" s="6">
        <v>5.1981971507963154</v>
      </c>
      <c r="K1662" s="8"/>
    </row>
    <row r="1663" spans="1:11" ht="15" x14ac:dyDescent="0.25">
      <c r="A1663" s="3" t="str">
        <f>HYPERLINK("proteomic_fractions_linear_files/Yang_linear_img/110815861.jpg", "110815861")</f>
        <v>110815861</v>
      </c>
      <c r="C1663" s="3" t="str">
        <f>HYPERLINK("http://www.ncbi.nlm.nih.gov/protein/110815861","Dbh")</f>
        <v>Dbh</v>
      </c>
      <c r="E1663" t="str">
        <f>HYPERLINK("J:\Depot - mpkCCD Fractions\Main Web Page\Web Pages_old\proteomic_fractions_linear_files/Yang_linear_img/110815861.jpg","show blot")</f>
        <v>show blot</v>
      </c>
      <c r="G1663" t="s">
        <v>1651</v>
      </c>
      <c r="I1663" s="6">
        <v>4.0943067690359989</v>
      </c>
      <c r="K1663" s="8"/>
    </row>
    <row r="1664" spans="1:11" ht="15" x14ac:dyDescent="0.25">
      <c r="A1664" s="3" t="str">
        <f>HYPERLINK("proteomic_fractions_linear_files/Yang_linear_img/6681137.jpg", "6681137")</f>
        <v>6681137</v>
      </c>
      <c r="C1664" s="3" t="str">
        <f>HYPERLINK("http://www.ncbi.nlm.nih.gov/protein/6681137","Dbi")</f>
        <v>Dbi</v>
      </c>
      <c r="E1664" t="str">
        <f>HYPERLINK("J:\Depot - mpkCCD Fractions\Main Web Page\Web Pages_old\proteomic_fractions_linear_files/Yang_linear_img/6681137.jpg","show blot")</f>
        <v>show blot</v>
      </c>
      <c r="G1664" t="s">
        <v>1652</v>
      </c>
      <c r="I1664" s="6">
        <v>4.7034692230250545</v>
      </c>
      <c r="K1664" s="8"/>
    </row>
    <row r="1665" spans="1:11" ht="15" x14ac:dyDescent="0.25">
      <c r="A1665" s="3" t="str">
        <f>HYPERLINK("proteomic_fractions_linear_files/Yang_linear_img/83921595.jpg", "83921595")</f>
        <v>83921595</v>
      </c>
      <c r="C1665" s="3" t="str">
        <f>HYPERLINK("http://www.ncbi.nlm.nih.gov/protein/83921595","Dbi")</f>
        <v>Dbi</v>
      </c>
      <c r="E1665" t="str">
        <f>HYPERLINK("J:\Depot - mpkCCD Fractions\Main Web Page\Web Pages_old\proteomic_fractions_linear_files/Yang_linear_img/83921595.jpg","show blot")</f>
        <v>show blot</v>
      </c>
      <c r="G1665" t="s">
        <v>1653</v>
      </c>
      <c r="I1665" s="6">
        <v>4.7034692230250545</v>
      </c>
      <c r="K1665" s="8"/>
    </row>
    <row r="1666" spans="1:11" ht="15" x14ac:dyDescent="0.25">
      <c r="A1666" s="3" t="str">
        <f>HYPERLINK("proteomic_fractions_linear_files/Yang_linear_img/30794440.jpg", "30794440")</f>
        <v>30794440</v>
      </c>
      <c r="C1666" s="3" t="str">
        <f>HYPERLINK("http://www.ncbi.nlm.nih.gov/protein/30794440","Dbndd2")</f>
        <v>Dbndd2</v>
      </c>
      <c r="E1666" t="str">
        <f>HYPERLINK("J:\Depot - mpkCCD Fractions\Main Web Page\Web Pages_old\proteomic_fractions_linear_files/Yang_linear_img/30794440.jpg","show blot")</f>
        <v>show blot</v>
      </c>
      <c r="G1666" t="s">
        <v>1654</v>
      </c>
      <c r="I1666" s="6">
        <v>4.5597056545601751</v>
      </c>
      <c r="K1666" s="8"/>
    </row>
    <row r="1667" spans="1:11" ht="15" x14ac:dyDescent="0.25">
      <c r="A1667" s="3" t="str">
        <f>HYPERLINK("proteomic_fractions_linear_files/Yang_linear_img/226423871.jpg", "226423871")</f>
        <v>226423871</v>
      </c>
      <c r="C1667" s="3" t="str">
        <f>HYPERLINK("http://www.ncbi.nlm.nih.gov/protein/226423871","Dbnl")</f>
        <v>Dbnl</v>
      </c>
      <c r="E1667" t="str">
        <f>HYPERLINK("J:\Depot - mpkCCD Fractions\Main Web Page\Web Pages_old\proteomic_fractions_linear_files/Yang_linear_img/226423871.jpg","show blot")</f>
        <v>show blot</v>
      </c>
      <c r="G1667" t="s">
        <v>1655</v>
      </c>
      <c r="I1667" s="6">
        <v>5.4977763516875466</v>
      </c>
      <c r="K1667" s="8"/>
    </row>
    <row r="1668" spans="1:11" ht="15" x14ac:dyDescent="0.25">
      <c r="A1668" s="3" t="str">
        <f>HYPERLINK("proteomic_fractions_linear_files/Yang_linear_img/226423873.jpg", "226423873")</f>
        <v>226423873</v>
      </c>
      <c r="C1668" s="3" t="str">
        <f>HYPERLINK("http://www.ncbi.nlm.nih.gov/protein/226423873","Dbnl")</f>
        <v>Dbnl</v>
      </c>
      <c r="E1668" t="str">
        <f>HYPERLINK("J:\Depot - mpkCCD Fractions\Main Web Page\Web Pages_old\proteomic_fractions_linear_files/Yang_linear_img/226423873.jpg","show blot")</f>
        <v>show blot</v>
      </c>
      <c r="G1668" t="s">
        <v>1656</v>
      </c>
      <c r="I1668" s="6">
        <v>5.4977763516875466</v>
      </c>
      <c r="K1668" s="8"/>
    </row>
    <row r="1669" spans="1:11" ht="15" x14ac:dyDescent="0.25">
      <c r="A1669" s="3" t="str">
        <f>HYPERLINK("proteomic_fractions_linear_files/Yang_linear_img/7304993.jpg", "7304993")</f>
        <v>7304993</v>
      </c>
      <c r="C1669" s="3" t="str">
        <f>HYPERLINK("http://www.ncbi.nlm.nih.gov/protein/7304993","Dbnl")</f>
        <v>Dbnl</v>
      </c>
      <c r="E1669" t="str">
        <f>HYPERLINK("J:\Depot - mpkCCD Fractions\Main Web Page\Web Pages_old\proteomic_fractions_linear_files/Yang_linear_img/7304993.jpg","show blot")</f>
        <v>show blot</v>
      </c>
      <c r="G1669" t="s">
        <v>1657</v>
      </c>
      <c r="I1669" s="6">
        <v>5.4977763516875466</v>
      </c>
      <c r="K1669" s="8"/>
    </row>
    <row r="1670" spans="1:11" ht="15" x14ac:dyDescent="0.25">
      <c r="A1670" s="3" t="str">
        <f>HYPERLINK("proteomic_fractions_linear_files/Yang_linear_img/50399860.jpg", "50399860")</f>
        <v>50399860</v>
      </c>
      <c r="C1670" s="3" t="str">
        <f>HYPERLINK("http://www.ncbi.nlm.nih.gov/protein/50399860","Dbr1")</f>
        <v>Dbr1</v>
      </c>
      <c r="E1670" t="str">
        <f>HYPERLINK("J:\Depot - mpkCCD Fractions\Main Web Page\Web Pages_old\proteomic_fractions_linear_files/Yang_linear_img/50399860.jpg","show blot")</f>
        <v>show blot</v>
      </c>
      <c r="G1670" t="s">
        <v>1658</v>
      </c>
      <c r="I1670" s="6">
        <v>4.4219988153874548</v>
      </c>
      <c r="K1670" s="8"/>
    </row>
    <row r="1671" spans="1:11" ht="15" x14ac:dyDescent="0.25">
      <c r="A1671" s="3" t="str">
        <f>HYPERLINK("proteomic_fractions_linear_files/Yang_linear_img/170172520.jpg", "170172520")</f>
        <v>170172520</v>
      </c>
      <c r="C1671" s="3" t="str">
        <f>HYPERLINK("http://www.ncbi.nlm.nih.gov/protein/170172520","Dbt")</f>
        <v>Dbt</v>
      </c>
      <c r="E1671" t="str">
        <f>HYPERLINK("J:\Depot - mpkCCD Fractions\Main Web Page\Web Pages_old\proteomic_fractions_linear_files/Yang_linear_img/170172520.jpg","show blot")</f>
        <v>show blot</v>
      </c>
      <c r="G1671" t="s">
        <v>1659</v>
      </c>
      <c r="I1671" s="6">
        <v>4.7326615361622872</v>
      </c>
      <c r="K1671" s="8"/>
    </row>
    <row r="1672" spans="1:11" ht="15" x14ac:dyDescent="0.25">
      <c r="A1672" s="3" t="str">
        <f>HYPERLINK("proteomic_fractions_linear_files/Yang_linear_img/19526930.jpg", "19526930")</f>
        <v>19526930</v>
      </c>
      <c r="C1672" s="3" t="str">
        <f>HYPERLINK("http://www.ncbi.nlm.nih.gov/protein/19526930","Dcaf11")</f>
        <v>Dcaf11</v>
      </c>
      <c r="E1672" t="str">
        <f>HYPERLINK("J:\Depot - mpkCCD Fractions\Main Web Page\Web Pages_old\proteomic_fractions_linear_files/Yang_linear_img/19526930.jpg","show blot")</f>
        <v>show blot</v>
      </c>
      <c r="G1672" t="s">
        <v>1660</v>
      </c>
      <c r="I1672" s="6">
        <v>4.7344163618545601</v>
      </c>
      <c r="K1672" s="8"/>
    </row>
    <row r="1673" spans="1:11" ht="15" x14ac:dyDescent="0.25">
      <c r="A1673" s="3" t="str">
        <f>HYPERLINK("proteomic_fractions_linear_files/Yang_linear_img/21313612.jpg", "21313612")</f>
        <v>21313612</v>
      </c>
      <c r="C1673" s="3" t="str">
        <f>HYPERLINK("http://www.ncbi.nlm.nih.gov/protein/21313612","Dcaf4")</f>
        <v>Dcaf4</v>
      </c>
      <c r="E1673" t="str">
        <f>HYPERLINK("J:\Depot - mpkCCD Fractions\Main Web Page\Web Pages_old\proteomic_fractions_linear_files/Yang_linear_img/21313612.jpg","show blot")</f>
        <v>show blot</v>
      </c>
      <c r="G1673" t="s">
        <v>1661</v>
      </c>
      <c r="I1673" s="6">
        <v>2.0373577967648253</v>
      </c>
      <c r="K1673" s="8"/>
    </row>
    <row r="1674" spans="1:11" ht="15" x14ac:dyDescent="0.25">
      <c r="A1674" s="3" t="str">
        <f>HYPERLINK("proteomic_fractions_linear_files/Yang_linear_img/259155342.jpg", "259155342")</f>
        <v>259155342</v>
      </c>
      <c r="C1674" s="3" t="str">
        <f>HYPERLINK("http://www.ncbi.nlm.nih.gov/protein/259155342","Dcaf4")</f>
        <v>Dcaf4</v>
      </c>
      <c r="E1674" t="str">
        <f>HYPERLINK("J:\Depot - mpkCCD Fractions\Main Web Page\Web Pages_old\proteomic_fractions_linear_files/Yang_linear_img/259155342.jpg","show blot")</f>
        <v>show blot</v>
      </c>
      <c r="G1674" t="s">
        <v>1662</v>
      </c>
      <c r="I1674" s="6">
        <v>2.0373577967648253</v>
      </c>
      <c r="K1674" s="8"/>
    </row>
    <row r="1675" spans="1:11" ht="15" x14ac:dyDescent="0.25">
      <c r="A1675" s="3" t="str">
        <f>HYPERLINK("proteomic_fractions_linear_files/Yang_linear_img/56090231.jpg", "56090231")</f>
        <v>56090231</v>
      </c>
      <c r="C1675" s="3" t="str">
        <f>HYPERLINK("http://www.ncbi.nlm.nih.gov/protein/56090231","Dcaf5")</f>
        <v>Dcaf5</v>
      </c>
      <c r="E1675" t="str">
        <f>HYPERLINK("J:\Depot - mpkCCD Fractions\Main Web Page\Web Pages_old\proteomic_fractions_linear_files/Yang_linear_img/56090231.jpg","show blot")</f>
        <v>show blot</v>
      </c>
      <c r="G1675" t="s">
        <v>1663</v>
      </c>
      <c r="I1675" s="6">
        <v>3.8349060275874471</v>
      </c>
      <c r="K1675" s="8"/>
    </row>
    <row r="1676" spans="1:11" ht="15" x14ac:dyDescent="0.25">
      <c r="A1676" s="3" t="str">
        <f>HYPERLINK("proteomic_fractions_linear_files/Yang_linear_img/58037257.jpg", "58037257")</f>
        <v>58037257</v>
      </c>
      <c r="C1676" s="3" t="str">
        <f>HYPERLINK("http://www.ncbi.nlm.nih.gov/protein/58037257","Dcaf7")</f>
        <v>Dcaf7</v>
      </c>
      <c r="E1676" t="str">
        <f>HYPERLINK("J:\Depot - mpkCCD Fractions\Main Web Page\Web Pages_old\proteomic_fractions_linear_files/Yang_linear_img/58037257.jpg","show blot")</f>
        <v>show blot</v>
      </c>
      <c r="G1676" t="s">
        <v>1664</v>
      </c>
      <c r="I1676" s="6">
        <v>4.7752291224175547</v>
      </c>
      <c r="K1676" s="8"/>
    </row>
    <row r="1677" spans="1:11" ht="15" x14ac:dyDescent="0.25">
      <c r="A1677" s="3" t="str">
        <f>HYPERLINK("proteomic_fractions_linear_files/Yang_linear_img/23956326.jpg", "23956326")</f>
        <v>23956326</v>
      </c>
      <c r="C1677" s="3" t="str">
        <f>HYPERLINK("http://www.ncbi.nlm.nih.gov/protein/23956326","Dcaf8")</f>
        <v>Dcaf8</v>
      </c>
      <c r="E1677" t="str">
        <f>HYPERLINK("J:\Depot - mpkCCD Fractions\Main Web Page\Web Pages_old\proteomic_fractions_linear_files/Yang_linear_img/23956326.jpg","show blot")</f>
        <v>show blot</v>
      </c>
      <c r="G1677" t="s">
        <v>1665</v>
      </c>
      <c r="I1677" s="6">
        <v>4.4627037357752286</v>
      </c>
      <c r="K1677" s="8"/>
    </row>
    <row r="1678" spans="1:11" ht="15" x14ac:dyDescent="0.25">
      <c r="A1678" s="3" t="str">
        <f>HYPERLINK("proteomic_fractions_linear_files/Yang_linear_img/27754054.jpg", "27754054")</f>
        <v>27754054</v>
      </c>
      <c r="C1678" s="3" t="str">
        <f>HYPERLINK("http://www.ncbi.nlm.nih.gov/protein/27754054","Dcakd")</f>
        <v>Dcakd</v>
      </c>
      <c r="E1678" t="str">
        <f>HYPERLINK("J:\Depot - mpkCCD Fractions\Main Web Page\Web Pages_old\proteomic_fractions_linear_files/Yang_linear_img/27754054.jpg","show blot")</f>
        <v>show blot</v>
      </c>
      <c r="G1678" t="s">
        <v>1666</v>
      </c>
      <c r="I1678" s="6">
        <v>5.3331284933589371</v>
      </c>
      <c r="K1678" s="8"/>
    </row>
    <row r="1679" spans="1:11" ht="15" x14ac:dyDescent="0.25">
      <c r="A1679" s="3" t="str">
        <f>HYPERLINK("proteomic_fractions_linear_files/Yang_linear_img/94369682.jpg", "94369682")</f>
        <v>94369682</v>
      </c>
      <c r="C1679" s="3" t="str">
        <f>HYPERLINK("http://www.ncbi.nlm.nih.gov/protein/94369682","Dchs2")</f>
        <v>Dchs2</v>
      </c>
      <c r="E1679" t="str">
        <f>HYPERLINK("J:\Depot - mpkCCD Fractions\Main Web Page\Web Pages_old\proteomic_fractions_linear_files/Yang_linear_img/94369682.jpg","show blot")</f>
        <v>show blot</v>
      </c>
      <c r="G1679" t="s">
        <v>1667</v>
      </c>
      <c r="I1679" s="6">
        <v>3.8237807354591316</v>
      </c>
      <c r="K1679" s="8"/>
    </row>
    <row r="1680" spans="1:11" ht="15" x14ac:dyDescent="0.25">
      <c r="A1680" s="3" t="str">
        <f>HYPERLINK("proteomic_fractions_linear_files/Yang_linear_img/6681141.jpg", "6681141")</f>
        <v>6681141</v>
      </c>
      <c r="C1680" s="3" t="str">
        <f>HYPERLINK("http://www.ncbi.nlm.nih.gov/protein/6681141","Dck")</f>
        <v>Dck</v>
      </c>
      <c r="E1680" t="str">
        <f>HYPERLINK("J:\Depot - mpkCCD Fractions\Main Web Page\Web Pages_old\proteomic_fractions_linear_files/Yang_linear_img/6681141.jpg","show blot")</f>
        <v>show blot</v>
      </c>
      <c r="G1680" t="s">
        <v>1668</v>
      </c>
      <c r="I1680" s="6">
        <v>4.691216609885565</v>
      </c>
      <c r="K1680" s="8"/>
    </row>
    <row r="1681" spans="1:11" ht="15" x14ac:dyDescent="0.25">
      <c r="A1681" s="3" t="str">
        <f>HYPERLINK("proteomic_fractions_linear_files/Yang_linear_img/133778958.jpg", "133778958")</f>
        <v>133778958</v>
      </c>
      <c r="C1681" s="3" t="str">
        <f>HYPERLINK("http://www.ncbi.nlm.nih.gov/protein/133778958","Dcp1a")</f>
        <v>Dcp1a</v>
      </c>
      <c r="E1681" t="str">
        <f>HYPERLINK("J:\Depot - mpkCCD Fractions\Main Web Page\Web Pages_old\proteomic_fractions_linear_files/Yang_linear_img/133778958.jpg","show blot")</f>
        <v>show blot</v>
      </c>
      <c r="G1681" t="s">
        <v>1669</v>
      </c>
      <c r="I1681" s="6">
        <v>2.9556877503135057</v>
      </c>
      <c r="K1681" s="8"/>
    </row>
    <row r="1682" spans="1:11" ht="15" x14ac:dyDescent="0.25">
      <c r="A1682" s="3" t="str">
        <f>HYPERLINK("proteomic_fractions_linear_files/Yang_linear_img/21312256.jpg", "21312256")</f>
        <v>21312256</v>
      </c>
      <c r="C1682" s="3" t="str">
        <f>HYPERLINK("http://www.ncbi.nlm.nih.gov/protein/21312256","Dcps")</f>
        <v>Dcps</v>
      </c>
      <c r="E1682" t="str">
        <f>HYPERLINK("J:\Depot - mpkCCD Fractions\Main Web Page\Web Pages_old\proteomic_fractions_linear_files/Yang_linear_img/21312256.jpg","show blot")</f>
        <v>show blot</v>
      </c>
      <c r="G1682" t="s">
        <v>1670</v>
      </c>
      <c r="I1682" s="6">
        <v>5.5415955604069271</v>
      </c>
      <c r="K1682" s="8"/>
    </row>
    <row r="1683" spans="1:11" ht="15" x14ac:dyDescent="0.25">
      <c r="A1683" s="3" t="str">
        <f>HYPERLINK("proteomic_fractions_linear_files/Yang_linear_img/238859570;238859573.jpg", "238859570;238859573")</f>
        <v>238859570;238859573</v>
      </c>
      <c r="C1683" s="3" t="str">
        <f>HYPERLINK("http://www.ncbi.nlm.nih.gov/protein/238859570;238859573","Dctd")</f>
        <v>Dctd</v>
      </c>
      <c r="E1683" t="str">
        <f>HYPERLINK("J:\Depot - mpkCCD Fractions\Main Web Page\Web Pages_old\proteomic_fractions_linear_files/Yang_linear_img/238859570;238859573.jpg","show blot")</f>
        <v>show blot</v>
      </c>
      <c r="G1683" t="s">
        <v>1671</v>
      </c>
      <c r="I1683" s="6">
        <v>4.3550778137844093</v>
      </c>
      <c r="K1683" s="8"/>
    </row>
    <row r="1684" spans="1:11" ht="15" x14ac:dyDescent="0.25">
      <c r="A1684" s="3" t="str">
        <f>HYPERLINK("proteomic_fractions_linear_files/Yang_linear_img/118601017.jpg", "118601017")</f>
        <v>118601017</v>
      </c>
      <c r="C1684" s="3" t="str">
        <f>HYPERLINK("http://www.ncbi.nlm.nih.gov/protein/118601017","Dctn1")</f>
        <v>Dctn1</v>
      </c>
      <c r="E1684" t="str">
        <f>HYPERLINK("J:\Depot - mpkCCD Fractions\Main Web Page\Web Pages_old\proteomic_fractions_linear_files/Yang_linear_img/118601017.jpg","show blot")</f>
        <v>show blot</v>
      </c>
      <c r="G1684" t="s">
        <v>1672</v>
      </c>
      <c r="I1684" s="6">
        <v>5.6325886969091838</v>
      </c>
      <c r="K1684" s="8"/>
    </row>
    <row r="1685" spans="1:11" ht="15" x14ac:dyDescent="0.25">
      <c r="A1685" s="3" t="str">
        <f>HYPERLINK("proteomic_fractions_linear_files/Yang_linear_img/311893358.jpg", "311893358")</f>
        <v>311893358</v>
      </c>
      <c r="C1685" s="3" t="str">
        <f>HYPERLINK("http://www.ncbi.nlm.nih.gov/protein/311893358","Dctn1")</f>
        <v>Dctn1</v>
      </c>
      <c r="E1685" t="str">
        <f>HYPERLINK("J:\Depot - mpkCCD Fractions\Main Web Page\Web Pages_old\proteomic_fractions_linear_files/Yang_linear_img/311893358.jpg","show blot")</f>
        <v>show blot</v>
      </c>
      <c r="G1685" t="s">
        <v>1673</v>
      </c>
      <c r="I1685" s="6">
        <v>5.6325886969091838</v>
      </c>
      <c r="K1685" s="8"/>
    </row>
    <row r="1686" spans="1:11" ht="15" x14ac:dyDescent="0.25">
      <c r="A1686" s="3" t="str">
        <f>HYPERLINK("proteomic_fractions_linear_files/Yang_linear_img/311893360.jpg", "311893360")</f>
        <v>311893360</v>
      </c>
      <c r="C1686" s="3" t="str">
        <f>HYPERLINK("http://www.ncbi.nlm.nih.gov/protein/311893360","Dctn1")</f>
        <v>Dctn1</v>
      </c>
      <c r="E1686" t="str">
        <f>HYPERLINK("J:\Depot - mpkCCD Fractions\Main Web Page\Web Pages_old\proteomic_fractions_linear_files/Yang_linear_img/311893360.jpg","show blot")</f>
        <v>show blot</v>
      </c>
      <c r="G1686" t="s">
        <v>1674</v>
      </c>
      <c r="I1686" s="6">
        <v>5.6325886969091838</v>
      </c>
      <c r="K1686" s="8"/>
    </row>
    <row r="1687" spans="1:11" ht="15" x14ac:dyDescent="0.25">
      <c r="A1687" s="3" t="str">
        <f>HYPERLINK("proteomic_fractions_linear_files/Yang_linear_img/28076935.jpg", "28076935")</f>
        <v>28076935</v>
      </c>
      <c r="C1687" s="3" t="str">
        <f>HYPERLINK("http://www.ncbi.nlm.nih.gov/protein/28076935","Dctn2")</f>
        <v>Dctn2</v>
      </c>
      <c r="E1687" t="str">
        <f>HYPERLINK("J:\Depot - mpkCCD Fractions\Main Web Page\Web Pages_old\proteomic_fractions_linear_files/Yang_linear_img/28076935.jpg","show blot")</f>
        <v>show blot</v>
      </c>
      <c r="G1687" t="s">
        <v>1675</v>
      </c>
      <c r="I1687" s="6">
        <v>6.0945438439335842</v>
      </c>
      <c r="K1687" s="8"/>
    </row>
    <row r="1688" spans="1:11" ht="15" x14ac:dyDescent="0.25">
      <c r="A1688" s="3" t="str">
        <f>HYPERLINK("proteomic_fractions_linear_files/Yang_linear_img/299522838.jpg", "299522838")</f>
        <v>299522838</v>
      </c>
      <c r="C1688" s="3" t="str">
        <f>HYPERLINK("http://www.ncbi.nlm.nih.gov/protein/299522838","Dctn2")</f>
        <v>Dctn2</v>
      </c>
      <c r="E1688" t="str">
        <f>HYPERLINK("J:\Depot - mpkCCD Fractions\Main Web Page\Web Pages_old\proteomic_fractions_linear_files/Yang_linear_img/299522838.jpg","show blot")</f>
        <v>show blot</v>
      </c>
      <c r="G1688" t="s">
        <v>1676</v>
      </c>
      <c r="I1688" s="6">
        <v>6.0945438439335842</v>
      </c>
      <c r="K1688" s="8"/>
    </row>
    <row r="1689" spans="1:11" ht="15" x14ac:dyDescent="0.25">
      <c r="A1689" s="3" t="str">
        <f>HYPERLINK("proteomic_fractions_linear_files/Yang_linear_img/299522842.jpg", "299522842")</f>
        <v>299522842</v>
      </c>
      <c r="C1689" s="3" t="str">
        <f>HYPERLINK("http://www.ncbi.nlm.nih.gov/protein/299522842","Dctn2")</f>
        <v>Dctn2</v>
      </c>
      <c r="E1689" t="str">
        <f>HYPERLINK("J:\Depot - mpkCCD Fractions\Main Web Page\Web Pages_old\proteomic_fractions_linear_files/Yang_linear_img/299522842.jpg","show blot")</f>
        <v>show blot</v>
      </c>
      <c r="G1689" t="s">
        <v>1677</v>
      </c>
      <c r="I1689" s="6">
        <v>6.0945438439335842</v>
      </c>
      <c r="K1689" s="8"/>
    </row>
    <row r="1690" spans="1:11" ht="15" x14ac:dyDescent="0.25">
      <c r="A1690" s="3" t="str">
        <f>HYPERLINK("proteomic_fractions_linear_files/Yang_linear_img/227116273.jpg", "227116273")</f>
        <v>227116273</v>
      </c>
      <c r="C1690" s="3" t="str">
        <f>HYPERLINK("http://www.ncbi.nlm.nih.gov/protein/227116273","Dctn3")</f>
        <v>Dctn3</v>
      </c>
      <c r="E1690" t="str">
        <f>HYPERLINK("J:\Depot - mpkCCD Fractions\Main Web Page\Web Pages_old\proteomic_fractions_linear_files/Yang_linear_img/227116273.jpg","show blot")</f>
        <v>show blot</v>
      </c>
      <c r="G1690" t="s">
        <v>1678</v>
      </c>
      <c r="I1690" s="6">
        <v>5.7391426368084772</v>
      </c>
      <c r="K1690" s="8"/>
    </row>
    <row r="1691" spans="1:11" ht="15" x14ac:dyDescent="0.25">
      <c r="A1691" s="3" t="str">
        <f>HYPERLINK("proteomic_fractions_linear_files/Yang_linear_img/227116275.jpg", "227116275")</f>
        <v>227116275</v>
      </c>
      <c r="C1691" s="3" t="str">
        <f>HYPERLINK("http://www.ncbi.nlm.nih.gov/protein/227116275","Dctn3")</f>
        <v>Dctn3</v>
      </c>
      <c r="E1691" t="str">
        <f>HYPERLINK("J:\Depot - mpkCCD Fractions\Main Web Page\Web Pages_old\proteomic_fractions_linear_files/Yang_linear_img/227116275.jpg","show blot")</f>
        <v>show blot</v>
      </c>
      <c r="G1691" t="s">
        <v>1679</v>
      </c>
      <c r="I1691" s="6">
        <v>5.7391426368084772</v>
      </c>
      <c r="K1691" s="8"/>
    </row>
    <row r="1692" spans="1:11" ht="15" x14ac:dyDescent="0.25">
      <c r="A1692" s="3" t="str">
        <f>HYPERLINK("proteomic_fractions_linear_files/Yang_linear_img/13385798.jpg", "13385798")</f>
        <v>13385798</v>
      </c>
      <c r="C1692" s="3" t="str">
        <f>HYPERLINK("http://www.ncbi.nlm.nih.gov/protein/13385798","Dctn4")</f>
        <v>Dctn4</v>
      </c>
      <c r="E1692" t="str">
        <f>HYPERLINK("J:\Depot - mpkCCD Fractions\Main Web Page\Web Pages_old\proteomic_fractions_linear_files/Yang_linear_img/13385798.jpg","show blot")</f>
        <v>show blot</v>
      </c>
      <c r="G1692" t="s">
        <v>1680</v>
      </c>
      <c r="I1692" s="6">
        <v>5.5714267636941326</v>
      </c>
      <c r="K1692" s="8"/>
    </row>
    <row r="1693" spans="1:11" ht="15" x14ac:dyDescent="0.25">
      <c r="A1693" s="3" t="str">
        <f>HYPERLINK("proteomic_fractions_linear_files/Yang_linear_img/188219518.jpg", "188219518")</f>
        <v>188219518</v>
      </c>
      <c r="C1693" s="3" t="str">
        <f>HYPERLINK("http://www.ncbi.nlm.nih.gov/protein/188219518","Dctn5")</f>
        <v>Dctn5</v>
      </c>
      <c r="E1693" t="str">
        <f>HYPERLINK("J:\Depot - mpkCCD Fractions\Main Web Page\Web Pages_old\proteomic_fractions_linear_files/Yang_linear_img/188219518.jpg","show blot")</f>
        <v>show blot</v>
      </c>
      <c r="G1693" t="s">
        <v>1681</v>
      </c>
      <c r="I1693" s="6">
        <v>5.0679012913173072</v>
      </c>
      <c r="K1693" s="8"/>
    </row>
    <row r="1694" spans="1:11" ht="15" x14ac:dyDescent="0.25">
      <c r="A1694" s="3" t="str">
        <f>HYPERLINK("proteomic_fractions_linear_files/Yang_linear_img/6756009.jpg", "6756009")</f>
        <v>6756009</v>
      </c>
      <c r="C1694" s="3" t="str">
        <f>HYPERLINK("http://www.ncbi.nlm.nih.gov/protein/6756009","Dctn6")</f>
        <v>Dctn6</v>
      </c>
      <c r="E1694" t="str">
        <f>HYPERLINK("J:\Depot - mpkCCD Fractions\Main Web Page\Web Pages_old\proteomic_fractions_linear_files/Yang_linear_img/6756009.jpg","show blot")</f>
        <v>show blot</v>
      </c>
      <c r="G1694" t="s">
        <v>1682</v>
      </c>
      <c r="I1694" s="6">
        <v>4.2261350745326878</v>
      </c>
      <c r="K1694" s="8"/>
    </row>
    <row r="1695" spans="1:11" ht="15" x14ac:dyDescent="0.25">
      <c r="A1695" s="3" t="str">
        <f>HYPERLINK("proteomic_fractions_linear_files/Yang_linear_img/12963573.jpg", "12963573")</f>
        <v>12963573</v>
      </c>
      <c r="C1695" s="3" t="str">
        <f>HYPERLINK("http://www.ncbi.nlm.nih.gov/protein/12963573","Dctpp1")</f>
        <v>Dctpp1</v>
      </c>
      <c r="E1695" t="str">
        <f>HYPERLINK("J:\Depot - mpkCCD Fractions\Main Web Page\Web Pages_old\proteomic_fractions_linear_files/Yang_linear_img/12963573.jpg","show blot")</f>
        <v>show blot</v>
      </c>
      <c r="G1695" t="s">
        <v>1683</v>
      </c>
      <c r="I1695" s="6">
        <v>4.5693929219633063</v>
      </c>
      <c r="K1695" s="8"/>
    </row>
    <row r="1696" spans="1:11" ht="15" x14ac:dyDescent="0.25">
      <c r="A1696" s="3" t="str">
        <f>HYPERLINK("proteomic_fractions_linear_files/Yang_linear_img/329299048.jpg", "329299048")</f>
        <v>329299048</v>
      </c>
      <c r="C1696" s="3" t="str">
        <f>HYPERLINK("http://www.ncbi.nlm.nih.gov/protein/329299048","Dcun1d1")</f>
        <v>Dcun1d1</v>
      </c>
      <c r="E1696" t="str">
        <f>HYPERLINK("J:\Depot - mpkCCD Fractions\Main Web Page\Web Pages_old\proteomic_fractions_linear_files/Yang_linear_img/329299048.jpg","show blot")</f>
        <v>show blot</v>
      </c>
      <c r="G1696" t="s">
        <v>1684</v>
      </c>
      <c r="I1696" s="6">
        <v>5.1967178364680562</v>
      </c>
      <c r="K1696" s="8"/>
    </row>
    <row r="1697" spans="1:11" ht="15" x14ac:dyDescent="0.25">
      <c r="A1697" s="3" t="str">
        <f>HYPERLINK("proteomic_fractions_linear_files/Yang_linear_img/329299050.jpg", "329299050")</f>
        <v>329299050</v>
      </c>
      <c r="C1697" s="3" t="str">
        <f>HYPERLINK("http://www.ncbi.nlm.nih.gov/protein/329299050","Dcun1d1")</f>
        <v>Dcun1d1</v>
      </c>
      <c r="E1697" t="str">
        <f>HYPERLINK("J:\Depot - mpkCCD Fractions\Main Web Page\Web Pages_old\proteomic_fractions_linear_files/Yang_linear_img/329299050.jpg","show blot")</f>
        <v>show blot</v>
      </c>
      <c r="G1697" t="s">
        <v>1685</v>
      </c>
      <c r="I1697" s="6">
        <v>5.1967178364680562</v>
      </c>
      <c r="K1697" s="8"/>
    </row>
    <row r="1698" spans="1:11" ht="15" x14ac:dyDescent="0.25">
      <c r="A1698" s="3" t="str">
        <f>HYPERLINK("proteomic_fractions_linear_files/Yang_linear_img/111162655.jpg", "111162655")</f>
        <v>111162655</v>
      </c>
      <c r="C1698" s="3" t="str">
        <f>HYPERLINK("http://www.ncbi.nlm.nih.gov/protein/111162655","Dcun1d2")</f>
        <v>Dcun1d2</v>
      </c>
      <c r="E1698" t="str">
        <f>HYPERLINK("J:\Depot - mpkCCD Fractions\Main Web Page\Web Pages_old\proteomic_fractions_linear_files/Yang_linear_img/111162655.jpg","show blot")</f>
        <v>show blot</v>
      </c>
      <c r="G1698" t="s">
        <v>1686</v>
      </c>
      <c r="I1698" s="6">
        <v>3.9414051344153376</v>
      </c>
      <c r="K1698" s="8"/>
    </row>
    <row r="1699" spans="1:11" ht="15" x14ac:dyDescent="0.25">
      <c r="A1699" s="3" t="str">
        <f>HYPERLINK("proteomic_fractions_linear_files/Yang_linear_img/111162657.jpg", "111162657")</f>
        <v>111162657</v>
      </c>
      <c r="C1699" s="3" t="str">
        <f>HYPERLINK("http://www.ncbi.nlm.nih.gov/protein/111162657","Dcun1d2")</f>
        <v>Dcun1d2</v>
      </c>
      <c r="E1699" t="str">
        <f>HYPERLINK("J:\Depot - mpkCCD Fractions\Main Web Page\Web Pages_old\proteomic_fractions_linear_files/Yang_linear_img/111162657.jpg","show blot")</f>
        <v>show blot</v>
      </c>
      <c r="G1699" t="s">
        <v>1687</v>
      </c>
      <c r="I1699" s="6">
        <v>3.9414051344153376</v>
      </c>
      <c r="K1699" s="8"/>
    </row>
    <row r="1700" spans="1:11" ht="15" x14ac:dyDescent="0.25">
      <c r="A1700" s="3" t="str">
        <f>HYPERLINK("proteomic_fractions_linear_files/Yang_linear_img/111162659.jpg", "111162659")</f>
        <v>111162659</v>
      </c>
      <c r="C1700" s="3" t="str">
        <f>HYPERLINK("http://www.ncbi.nlm.nih.gov/protein/111162659","Dcun1d2")</f>
        <v>Dcun1d2</v>
      </c>
      <c r="E1700" t="str">
        <f>HYPERLINK("J:\Depot - mpkCCD Fractions\Main Web Page\Web Pages_old\proteomic_fractions_linear_files/Yang_linear_img/111162659.jpg","show blot")</f>
        <v>show blot</v>
      </c>
      <c r="G1700" t="s">
        <v>1688</v>
      </c>
      <c r="I1700" s="6">
        <v>3.9414051344153376</v>
      </c>
      <c r="K1700" s="8"/>
    </row>
    <row r="1701" spans="1:11" ht="15" x14ac:dyDescent="0.25">
      <c r="A1701" s="3" t="str">
        <f>HYPERLINK("proteomic_fractions_linear_files/Yang_linear_img/111162661.jpg", "111162661")</f>
        <v>111162661</v>
      </c>
      <c r="C1701" s="3" t="str">
        <f>HYPERLINK("http://www.ncbi.nlm.nih.gov/protein/111162661","Dcun1d2")</f>
        <v>Dcun1d2</v>
      </c>
      <c r="E1701" t="str">
        <f>HYPERLINK("J:\Depot - mpkCCD Fractions\Main Web Page\Web Pages_old\proteomic_fractions_linear_files/Yang_linear_img/111162661.jpg","show blot")</f>
        <v>show blot</v>
      </c>
      <c r="G1701" t="s">
        <v>1689</v>
      </c>
      <c r="I1701" s="6">
        <v>3.9414051344153376</v>
      </c>
      <c r="K1701" s="8"/>
    </row>
    <row r="1702" spans="1:11" ht="15" x14ac:dyDescent="0.25">
      <c r="A1702" s="3" t="str">
        <f>HYPERLINK("proteomic_fractions_linear_files/Yang_linear_img/23956220.jpg", "23956220")</f>
        <v>23956220</v>
      </c>
      <c r="C1702" s="3" t="str">
        <f>HYPERLINK("http://www.ncbi.nlm.nih.gov/protein/23956220","Dcun1d5")</f>
        <v>Dcun1d5</v>
      </c>
      <c r="E1702" t="str">
        <f>HYPERLINK("J:\Depot - mpkCCD Fractions\Main Web Page\Web Pages_old\proteomic_fractions_linear_files/Yang_linear_img/23956220.jpg","show blot")</f>
        <v>show blot</v>
      </c>
      <c r="G1702" t="s">
        <v>1690</v>
      </c>
      <c r="I1702" s="6">
        <v>4.3399230003715523</v>
      </c>
      <c r="K1702" s="8"/>
    </row>
    <row r="1703" spans="1:11" ht="15" x14ac:dyDescent="0.25">
      <c r="A1703" s="3" t="str">
        <f>HYPERLINK("proteomic_fractions_linear_files/Yang_linear_img/146134409.jpg", "146134409")</f>
        <v>146134409</v>
      </c>
      <c r="C1703" s="3" t="str">
        <f>HYPERLINK("http://www.ncbi.nlm.nih.gov/protein/146134409","Dcxr")</f>
        <v>Dcxr</v>
      </c>
      <c r="E1703" t="str">
        <f>HYPERLINK("J:\Depot - mpkCCD Fractions\Main Web Page\Web Pages_old\proteomic_fractions_linear_files/Yang_linear_img/146134409.jpg","show blot")</f>
        <v>show blot</v>
      </c>
      <c r="G1703" t="s">
        <v>1691</v>
      </c>
      <c r="I1703" s="6">
        <v>5.3867470097036758</v>
      </c>
      <c r="K1703" s="8"/>
    </row>
    <row r="1704" spans="1:11" ht="15" x14ac:dyDescent="0.25">
      <c r="A1704" s="3" t="str">
        <f>HYPERLINK("proteomic_fractions_linear_files/Yang_linear_img/189491666.jpg", "189491666")</f>
        <v>189491666</v>
      </c>
      <c r="C1704" s="3" t="str">
        <f>HYPERLINK("http://www.ncbi.nlm.nih.gov/protein/189491666","Dda1")</f>
        <v>Dda1</v>
      </c>
      <c r="E1704" t="str">
        <f>HYPERLINK("J:\Depot - mpkCCD Fractions\Main Web Page\Web Pages_old\proteomic_fractions_linear_files/Yang_linear_img/189491666.jpg","show blot")</f>
        <v>show blot</v>
      </c>
      <c r="G1704" t="s">
        <v>1692</v>
      </c>
      <c r="I1704" s="6">
        <v>5.0958592250494572</v>
      </c>
      <c r="K1704" s="8"/>
    </row>
    <row r="1705" spans="1:11" ht="15" x14ac:dyDescent="0.25">
      <c r="A1705" s="3" t="str">
        <f>HYPERLINK("proteomic_fractions_linear_files/Yang_linear_img/38371755.jpg", "38371755")</f>
        <v>38371755</v>
      </c>
      <c r="C1705" s="3" t="str">
        <f>HYPERLINK("http://www.ncbi.nlm.nih.gov/protein/38371755","Ddah1")</f>
        <v>Ddah1</v>
      </c>
      <c r="E1705" t="str">
        <f>HYPERLINK("J:\Depot - mpkCCD Fractions\Main Web Page\Web Pages_old\proteomic_fractions_linear_files/Yang_linear_img/38371755.jpg","show blot")</f>
        <v>show blot</v>
      </c>
      <c r="G1705" t="s">
        <v>1693</v>
      </c>
      <c r="I1705" s="6">
        <v>5.3883637625146168</v>
      </c>
      <c r="K1705" s="8"/>
    </row>
    <row r="1706" spans="1:11" ht="15" x14ac:dyDescent="0.25">
      <c r="A1706" s="3" t="str">
        <f>HYPERLINK("proteomic_fractions_linear_files/Yang_linear_img/299522791.jpg", "299522791")</f>
        <v>299522791</v>
      </c>
      <c r="C1706" s="3" t="str">
        <f>HYPERLINK("http://www.ncbi.nlm.nih.gov/protein/299522791","Ddah2")</f>
        <v>Ddah2</v>
      </c>
      <c r="E1706" t="str">
        <f>HYPERLINK("J:\Depot - mpkCCD Fractions\Main Web Page\Web Pages_old\proteomic_fractions_linear_files/Yang_linear_img/299522791.jpg","show blot")</f>
        <v>show blot</v>
      </c>
      <c r="G1706" t="s">
        <v>1694</v>
      </c>
      <c r="I1706" s="6">
        <v>5.7883301511442671</v>
      </c>
      <c r="K1706" s="8"/>
    </row>
    <row r="1707" spans="1:11" ht="15" x14ac:dyDescent="0.25">
      <c r="A1707" s="3" t="str">
        <f>HYPERLINK("proteomic_fractions_linear_files/Yang_linear_img/7949035.jpg", "7949035")</f>
        <v>7949035</v>
      </c>
      <c r="C1707" s="3" t="str">
        <f>HYPERLINK("http://www.ncbi.nlm.nih.gov/protein/7949035","Ddah2")</f>
        <v>Ddah2</v>
      </c>
      <c r="E1707" t="str">
        <f>HYPERLINK("J:\Depot - mpkCCD Fractions\Main Web Page\Web Pages_old\proteomic_fractions_linear_files/Yang_linear_img/7949035.jpg","show blot")</f>
        <v>show blot</v>
      </c>
      <c r="G1707" t="s">
        <v>1695</v>
      </c>
      <c r="I1707" s="6">
        <v>5.7883301511442671</v>
      </c>
      <c r="K1707" s="8"/>
    </row>
    <row r="1708" spans="1:11" ht="15" x14ac:dyDescent="0.25">
      <c r="A1708" s="3" t="str">
        <f>HYPERLINK("proteomic_fractions_linear_files/Yang_linear_img/7657011.jpg", "7657011")</f>
        <v>7657011</v>
      </c>
      <c r="C1708" s="3" t="str">
        <f>HYPERLINK("http://www.ncbi.nlm.nih.gov/protein/7657011","Ddb1")</f>
        <v>Ddb1</v>
      </c>
      <c r="E1708" t="str">
        <f>HYPERLINK("J:\Depot - mpkCCD Fractions\Main Web Page\Web Pages_old\proteomic_fractions_linear_files/Yang_linear_img/7657011.jpg","show blot")</f>
        <v>show blot</v>
      </c>
      <c r="G1708" t="s">
        <v>1696</v>
      </c>
      <c r="I1708" s="6">
        <v>5.9333889641592084</v>
      </c>
      <c r="K1708" s="8"/>
    </row>
    <row r="1709" spans="1:11" ht="15" x14ac:dyDescent="0.25">
      <c r="A1709" s="3" t="str">
        <f>HYPERLINK("proteomic_fractions_linear_files/Yang_linear_img/63003917.jpg", "63003917")</f>
        <v>63003917</v>
      </c>
      <c r="C1709" s="3" t="str">
        <f>HYPERLINK("http://www.ncbi.nlm.nih.gov/protein/63003917","Ddi2")</f>
        <v>Ddi2</v>
      </c>
      <c r="E1709" t="str">
        <f>HYPERLINK("J:\Depot - mpkCCD Fractions\Main Web Page\Web Pages_old\proteomic_fractions_linear_files/Yang_linear_img/63003917.jpg","show blot")</f>
        <v>show blot</v>
      </c>
      <c r="G1709" t="s">
        <v>1697</v>
      </c>
      <c r="I1709" s="6">
        <v>4.7449661944631973</v>
      </c>
      <c r="K1709" s="8"/>
    </row>
    <row r="1710" spans="1:11" ht="15" x14ac:dyDescent="0.25">
      <c r="A1710" s="3" t="str">
        <f>HYPERLINK("proteomic_fractions_linear_files/Yang_linear_img/46195798.jpg", "46195798")</f>
        <v>46195798</v>
      </c>
      <c r="C1710" s="3" t="str">
        <f>HYPERLINK("http://www.ncbi.nlm.nih.gov/protein/46195798","Ddost")</f>
        <v>Ddost</v>
      </c>
      <c r="E1710" t="str">
        <f>HYPERLINK("J:\Depot - mpkCCD Fractions\Main Web Page\Web Pages_old\proteomic_fractions_linear_files/Yang_linear_img/46195798.jpg","show blot")</f>
        <v>show blot</v>
      </c>
      <c r="G1710" t="s">
        <v>1698</v>
      </c>
      <c r="I1710" s="6">
        <v>5.7814211450776511</v>
      </c>
      <c r="K1710" s="8"/>
    </row>
    <row r="1711" spans="1:11" ht="15" x14ac:dyDescent="0.25">
      <c r="A1711" s="3" t="str">
        <f>HYPERLINK("proteomic_fractions_linear_files/Yang_linear_img/110350660.jpg", "110350660")</f>
        <v>110350660</v>
      </c>
      <c r="C1711" s="3" t="str">
        <f>HYPERLINK("http://www.ncbi.nlm.nih.gov/protein/110350660","Ddrgk1")</f>
        <v>Ddrgk1</v>
      </c>
      <c r="E1711" t="str">
        <f>HYPERLINK("J:\Depot - mpkCCD Fractions\Main Web Page\Web Pages_old\proteomic_fractions_linear_files/Yang_linear_img/110350660.jpg","show blot")</f>
        <v>show blot</v>
      </c>
      <c r="G1711" t="s">
        <v>1699</v>
      </c>
      <c r="I1711" s="6">
        <v>2.561500675458388</v>
      </c>
      <c r="K1711" s="8"/>
    </row>
    <row r="1712" spans="1:11" ht="15" x14ac:dyDescent="0.25">
      <c r="A1712" s="3" t="str">
        <f>HYPERLINK("proteomic_fractions_linear_files/Yang_linear_img/6753618.jpg", "6753618")</f>
        <v>6753618</v>
      </c>
      <c r="C1712" s="3" t="str">
        <f>HYPERLINK("http://www.ncbi.nlm.nih.gov/protein/6753618","Ddt")</f>
        <v>Ddt</v>
      </c>
      <c r="E1712" t="str">
        <f>HYPERLINK("J:\Depot - mpkCCD Fractions\Main Web Page\Web Pages_old\proteomic_fractions_linear_files/Yang_linear_img/6753618.jpg","show blot")</f>
        <v>show blot</v>
      </c>
      <c r="G1712" t="s">
        <v>1700</v>
      </c>
      <c r="I1712" s="6">
        <v>6.036437646842038</v>
      </c>
      <c r="K1712" s="8"/>
    </row>
    <row r="1713" spans="1:11" ht="15" x14ac:dyDescent="0.25">
      <c r="A1713" s="3" t="str">
        <f>HYPERLINK("proteomic_fractions_linear_files/Yang_linear_img/19527256.jpg", "19527256")</f>
        <v>19527256</v>
      </c>
      <c r="C1713" s="3" t="str">
        <f>HYPERLINK("http://www.ncbi.nlm.nih.gov/protein/19527256","Ddx1")</f>
        <v>Ddx1</v>
      </c>
      <c r="E1713" t="str">
        <f>HYPERLINK("J:\Depot - mpkCCD Fractions\Main Web Page\Web Pages_old\proteomic_fractions_linear_files/Yang_linear_img/19527256.jpg","show blot")</f>
        <v>show blot</v>
      </c>
      <c r="G1713" t="s">
        <v>1701</v>
      </c>
      <c r="I1713" s="6">
        <v>5.8000073513383148</v>
      </c>
      <c r="K1713" s="8"/>
    </row>
    <row r="1714" spans="1:11" ht="15" x14ac:dyDescent="0.25">
      <c r="A1714" s="3" t="str">
        <f>HYPERLINK("proteomic_fractions_linear_files/Yang_linear_img/40068489.jpg", "40068489")</f>
        <v>40068489</v>
      </c>
      <c r="C1714" s="3" t="str">
        <f>HYPERLINK("http://www.ncbi.nlm.nih.gov/protein/40068489","Ddx17")</f>
        <v>Ddx17</v>
      </c>
      <c r="E1714" t="str">
        <f>HYPERLINK("J:\Depot - mpkCCD Fractions\Main Web Page\Web Pages_old\proteomic_fractions_linear_files/Yang_linear_img/40068489.jpg","show blot")</f>
        <v>show blot</v>
      </c>
      <c r="G1714" t="s">
        <v>1702</v>
      </c>
      <c r="I1714" s="6">
        <v>7.0165069941811629</v>
      </c>
      <c r="K1714" s="8"/>
    </row>
    <row r="1715" spans="1:11" ht="15" x14ac:dyDescent="0.25">
      <c r="A1715" s="3" t="str">
        <f>HYPERLINK("proteomic_fractions_linear_files/Yang_linear_img/40068491.jpg", "40068491")</f>
        <v>40068491</v>
      </c>
      <c r="C1715" s="3" t="str">
        <f>HYPERLINK("http://www.ncbi.nlm.nih.gov/protein/40068491","Ddx17")</f>
        <v>Ddx17</v>
      </c>
      <c r="E1715" t="str">
        <f>HYPERLINK("J:\Depot - mpkCCD Fractions\Main Web Page\Web Pages_old\proteomic_fractions_linear_files/Yang_linear_img/40068491.jpg","show blot")</f>
        <v>show blot</v>
      </c>
      <c r="G1715" t="s">
        <v>1703</v>
      </c>
      <c r="I1715" s="6">
        <v>7.0165069941811629</v>
      </c>
      <c r="K1715" s="8"/>
    </row>
    <row r="1716" spans="1:11" ht="15" x14ac:dyDescent="0.25">
      <c r="A1716" s="3" t="str">
        <f>HYPERLINK("proteomic_fractions_linear_files/Yang_linear_img/40068493.jpg", "40068493")</f>
        <v>40068493</v>
      </c>
      <c r="C1716" s="3" t="str">
        <f>HYPERLINK("http://www.ncbi.nlm.nih.gov/protein/40068493","Ddx17")</f>
        <v>Ddx17</v>
      </c>
      <c r="E1716" t="str">
        <f>HYPERLINK("J:\Depot - mpkCCD Fractions\Main Web Page\Web Pages_old\proteomic_fractions_linear_files/Yang_linear_img/40068493.jpg","show blot")</f>
        <v>show blot</v>
      </c>
      <c r="G1716" t="s">
        <v>1704</v>
      </c>
      <c r="I1716" s="6">
        <v>7.0165069941811629</v>
      </c>
      <c r="K1716" s="8"/>
    </row>
    <row r="1717" spans="1:11" ht="15" x14ac:dyDescent="0.25">
      <c r="A1717" s="3" t="str">
        <f>HYPERLINK("proteomic_fractions_linear_files/Yang_linear_img/93587673.jpg", "93587673")</f>
        <v>93587673</v>
      </c>
      <c r="C1717" s="3" t="str">
        <f>HYPERLINK("http://www.ncbi.nlm.nih.gov/protein/93587673","Ddx17")</f>
        <v>Ddx17</v>
      </c>
      <c r="E1717" t="str">
        <f>HYPERLINK("J:\Depot - mpkCCD Fractions\Main Web Page\Web Pages_old\proteomic_fractions_linear_files/Yang_linear_img/93587673.jpg","show blot")</f>
        <v>show blot</v>
      </c>
      <c r="G1717" t="s">
        <v>1705</v>
      </c>
      <c r="I1717" s="6">
        <v>7.0165069941811629</v>
      </c>
      <c r="K1717" s="8"/>
    </row>
    <row r="1718" spans="1:11" ht="15" x14ac:dyDescent="0.25">
      <c r="A1718" s="3" t="str">
        <f>HYPERLINK("proteomic_fractions_linear_files/Yang_linear_img/31981163.jpg", "31981163")</f>
        <v>31981163</v>
      </c>
      <c r="C1718" s="3" t="str">
        <f>HYPERLINK("http://www.ncbi.nlm.nih.gov/protein/31981163","Ddx18")</f>
        <v>Ddx18</v>
      </c>
      <c r="E1718" t="str">
        <f>HYPERLINK("J:\Depot - mpkCCD Fractions\Main Web Page\Web Pages_old\proteomic_fractions_linear_files/Yang_linear_img/31981163.jpg","show blot")</f>
        <v>show blot</v>
      </c>
      <c r="G1718" t="s">
        <v>1706</v>
      </c>
      <c r="I1718" s="6">
        <v>4.1223817587616134</v>
      </c>
      <c r="K1718" s="8"/>
    </row>
    <row r="1719" spans="1:11" ht="15" x14ac:dyDescent="0.25">
      <c r="A1719" s="3" t="str">
        <f>HYPERLINK("proteomic_fractions_linear_files/Yang_linear_img/170932536.jpg", "170932536")</f>
        <v>170932536</v>
      </c>
      <c r="C1719" s="3" t="str">
        <f>HYPERLINK("http://www.ncbi.nlm.nih.gov/protein/170932536","Ddx19a")</f>
        <v>Ddx19a</v>
      </c>
      <c r="E1719" t="str">
        <f>HYPERLINK("J:\Depot - mpkCCD Fractions\Main Web Page\Web Pages_old\proteomic_fractions_linear_files/Yang_linear_img/170932536.jpg","show blot")</f>
        <v>show blot</v>
      </c>
      <c r="G1719" t="s">
        <v>1707</v>
      </c>
      <c r="I1719" s="6">
        <v>5.6445117650274108</v>
      </c>
      <c r="K1719" s="8"/>
    </row>
    <row r="1720" spans="1:11" ht="15" x14ac:dyDescent="0.25">
      <c r="A1720" s="3" t="str">
        <f>HYPERLINK("proteomic_fractions_linear_files/Yang_linear_img/26986593.jpg", "26986593")</f>
        <v>26986593</v>
      </c>
      <c r="C1720" s="3" t="str">
        <f>HYPERLINK("http://www.ncbi.nlm.nih.gov/protein/26986593","Ddx19b")</f>
        <v>Ddx19b</v>
      </c>
      <c r="E1720" t="str">
        <f>HYPERLINK("J:\Depot - mpkCCD Fractions\Main Web Page\Web Pages_old\proteomic_fractions_linear_files/Yang_linear_img/26986593.jpg","show blot")</f>
        <v>show blot</v>
      </c>
      <c r="G1720" t="s">
        <v>1708</v>
      </c>
      <c r="I1720" s="6">
        <v>5.643137823901454</v>
      </c>
      <c r="K1720" s="8"/>
    </row>
    <row r="1721" spans="1:11" ht="15" x14ac:dyDescent="0.25">
      <c r="A1721" s="3" t="str">
        <f>HYPERLINK("proteomic_fractions_linear_files/Yang_linear_img/299890779.jpg", "299890779")</f>
        <v>299890779</v>
      </c>
      <c r="C1721" s="3" t="str">
        <f>HYPERLINK("http://www.ncbi.nlm.nih.gov/protein/299890779","Ddx19b")</f>
        <v>Ddx19b</v>
      </c>
      <c r="E1721" t="str">
        <f>HYPERLINK("J:\Depot - mpkCCD Fractions\Main Web Page\Web Pages_old\proteomic_fractions_linear_files/Yang_linear_img/299890779.jpg","show blot")</f>
        <v>show blot</v>
      </c>
      <c r="G1721" t="s">
        <v>1709</v>
      </c>
      <c r="I1721" s="6">
        <v>5.643137823901454</v>
      </c>
      <c r="K1721" s="8"/>
    </row>
    <row r="1722" spans="1:11" ht="15" x14ac:dyDescent="0.25">
      <c r="A1722" s="3" t="str">
        <f>HYPERLINK("proteomic_fractions_linear_files/Yang_linear_img/299890868.jpg", "299890868")</f>
        <v>299890868</v>
      </c>
      <c r="C1722" s="3" t="str">
        <f>HYPERLINK("http://www.ncbi.nlm.nih.gov/protein/299890868","Ddx19b")</f>
        <v>Ddx19b</v>
      </c>
      <c r="E1722" t="str">
        <f>HYPERLINK("J:\Depot - mpkCCD Fractions\Main Web Page\Web Pages_old\proteomic_fractions_linear_files/Yang_linear_img/299890868.jpg","show blot")</f>
        <v>show blot</v>
      </c>
      <c r="G1722" t="s">
        <v>1710</v>
      </c>
      <c r="I1722" s="6">
        <v>5.643137823901454</v>
      </c>
      <c r="K1722" s="8"/>
    </row>
    <row r="1723" spans="1:11" ht="15" x14ac:dyDescent="0.25">
      <c r="A1723" s="3" t="str">
        <f>HYPERLINK("proteomic_fractions_linear_files/Yang_linear_img/72384374.jpg", "72384374")</f>
        <v>72384374</v>
      </c>
      <c r="C1723" s="3" t="str">
        <f>HYPERLINK("http://www.ncbi.nlm.nih.gov/protein/72384374","Ddx21")</f>
        <v>Ddx21</v>
      </c>
      <c r="E1723" t="str">
        <f>HYPERLINK("J:\Depot - mpkCCD Fractions\Main Web Page\Web Pages_old\proteomic_fractions_linear_files/Yang_linear_img/72384374.jpg","show blot")</f>
        <v>show blot</v>
      </c>
      <c r="G1723" t="s">
        <v>1711</v>
      </c>
      <c r="I1723" s="6">
        <v>5.3695227079748404</v>
      </c>
      <c r="K1723" s="8"/>
    </row>
    <row r="1724" spans="1:11" ht="15" x14ac:dyDescent="0.25">
      <c r="A1724" s="3" t="str">
        <f>HYPERLINK("proteomic_fractions_linear_files/Yang_linear_img/124430514.jpg", "124430514")</f>
        <v>124430514</v>
      </c>
      <c r="C1724" s="3" t="str">
        <f>HYPERLINK("http://www.ncbi.nlm.nih.gov/protein/124430514","Ddx23")</f>
        <v>Ddx23</v>
      </c>
      <c r="E1724" t="str">
        <f>HYPERLINK("J:\Depot - mpkCCD Fractions\Main Web Page\Web Pages_old\proteomic_fractions_linear_files/Yang_linear_img/124430514.jpg","show blot")</f>
        <v>show blot</v>
      </c>
      <c r="G1724" t="s">
        <v>1712</v>
      </c>
      <c r="I1724" s="6">
        <v>4.5497107219488031</v>
      </c>
      <c r="K1724" s="8"/>
    </row>
    <row r="1725" spans="1:11" ht="15" x14ac:dyDescent="0.25">
      <c r="A1725" s="3" t="str">
        <f>HYPERLINK("proteomic_fractions_linear_files/Yang_linear_img/226958385.jpg", "226958385")</f>
        <v>226958385</v>
      </c>
      <c r="C1725" s="3" t="str">
        <f>HYPERLINK("http://www.ncbi.nlm.nih.gov/protein/226958385","Ddx24")</f>
        <v>Ddx24</v>
      </c>
      <c r="E1725" t="str">
        <f>HYPERLINK("J:\Depot - mpkCCD Fractions\Main Web Page\Web Pages_old\proteomic_fractions_linear_files/Yang_linear_img/226958385.jpg","show blot")</f>
        <v>show blot</v>
      </c>
      <c r="G1725" t="s">
        <v>1713</v>
      </c>
      <c r="I1725" s="6">
        <v>3.1200463553215614</v>
      </c>
      <c r="K1725" s="8"/>
    </row>
    <row r="1726" spans="1:11" ht="15" x14ac:dyDescent="0.25">
      <c r="A1726" s="3" t="str">
        <f>HYPERLINK("proteomic_fractions_linear_files/Yang_linear_img/34328253.jpg", "34328253")</f>
        <v>34328253</v>
      </c>
      <c r="C1726" s="3" t="str">
        <f>HYPERLINK("http://www.ncbi.nlm.nih.gov/protein/34328253","Ddx24")</f>
        <v>Ddx24</v>
      </c>
      <c r="E1726" t="str">
        <f>HYPERLINK("J:\Depot - mpkCCD Fractions\Main Web Page\Web Pages_old\proteomic_fractions_linear_files/Yang_linear_img/34328253.jpg","show blot")</f>
        <v>show blot</v>
      </c>
      <c r="G1726" t="s">
        <v>1714</v>
      </c>
      <c r="I1726" s="6">
        <v>3.1200463553215614</v>
      </c>
      <c r="K1726" s="8"/>
    </row>
    <row r="1727" spans="1:11" ht="15" x14ac:dyDescent="0.25">
      <c r="A1727" s="3" t="str">
        <f>HYPERLINK("proteomic_fractions_linear_files/Yang_linear_img/163914388.jpg", "163914388")</f>
        <v>163914388</v>
      </c>
      <c r="C1727" s="3" t="str">
        <f>HYPERLINK("http://www.ncbi.nlm.nih.gov/protein/163914388","Ddx25")</f>
        <v>Ddx25</v>
      </c>
      <c r="E1727" t="str">
        <f>HYPERLINK("J:\Depot - mpkCCD Fractions\Main Web Page\Web Pages_old\proteomic_fractions_linear_files/Yang_linear_img/163914388.jpg","show blot")</f>
        <v>show blot</v>
      </c>
      <c r="G1727" t="s">
        <v>1715</v>
      </c>
      <c r="I1727" s="6">
        <v>5.1063981138906733</v>
      </c>
      <c r="K1727" s="8"/>
    </row>
    <row r="1728" spans="1:11" ht="15" x14ac:dyDescent="0.25">
      <c r="A1728" s="3" t="str">
        <f>HYPERLINK("proteomic_fractions_linear_files/Yang_linear_img/124249330.jpg", "124249330")</f>
        <v>124249330</v>
      </c>
      <c r="C1728" s="3" t="str">
        <f>HYPERLINK("http://www.ncbi.nlm.nih.gov/protein/124249330","Ddx27")</f>
        <v>Ddx27</v>
      </c>
      <c r="E1728" t="str">
        <f>HYPERLINK("J:\Depot - mpkCCD Fractions\Main Web Page\Web Pages_old\proteomic_fractions_linear_files/Yang_linear_img/124249330.jpg","show blot")</f>
        <v>show blot</v>
      </c>
      <c r="G1728" t="s">
        <v>1716</v>
      </c>
      <c r="I1728" s="6">
        <v>3.9594662740471729</v>
      </c>
      <c r="K1728" s="8"/>
    </row>
    <row r="1729" spans="1:11" ht="15" x14ac:dyDescent="0.25">
      <c r="A1729" s="3" t="str">
        <f>HYPERLINK("proteomic_fractions_linear_files/Yang_linear_img/255069809.jpg", "255069809")</f>
        <v>255069809</v>
      </c>
      <c r="C1729" s="3" t="str">
        <f>HYPERLINK("http://www.ncbi.nlm.nih.gov/protein/255069809","Ddx28")</f>
        <v>Ddx28</v>
      </c>
      <c r="E1729" t="str">
        <f>HYPERLINK("J:\Depot - mpkCCD Fractions\Main Web Page\Web Pages_old\proteomic_fractions_linear_files/Yang_linear_img/255069809.jpg","show blot")</f>
        <v>show blot</v>
      </c>
      <c r="G1729" t="s">
        <v>1717</v>
      </c>
      <c r="I1729" s="6">
        <v>2.7596316636423537</v>
      </c>
      <c r="K1729" s="8"/>
    </row>
    <row r="1730" spans="1:11" ht="15" x14ac:dyDescent="0.25">
      <c r="A1730" s="3" t="str">
        <f>HYPERLINK("proteomic_fractions_linear_files/Yang_linear_img/254675193.jpg", "254675193")</f>
        <v>254675193</v>
      </c>
      <c r="C1730" s="3" t="str">
        <f>HYPERLINK("http://www.ncbi.nlm.nih.gov/protein/254675193","Ddx31")</f>
        <v>Ddx31</v>
      </c>
      <c r="E1730" t="str">
        <f>HYPERLINK("J:\Depot - mpkCCD Fractions\Main Web Page\Web Pages_old\proteomic_fractions_linear_files/Yang_linear_img/254675193.jpg","show blot")</f>
        <v>show blot</v>
      </c>
      <c r="G1730" t="s">
        <v>1718</v>
      </c>
      <c r="I1730" s="6">
        <v>2.8497543452905458</v>
      </c>
      <c r="K1730" s="8"/>
    </row>
    <row r="1731" spans="1:11" ht="15" x14ac:dyDescent="0.25">
      <c r="A1731" s="3" t="str">
        <f>HYPERLINK("proteomic_fractions_linear_files/Yang_linear_img/38372907.jpg", "38372907")</f>
        <v>38372907</v>
      </c>
      <c r="C1731" s="3" t="str">
        <f>HYPERLINK("http://www.ncbi.nlm.nih.gov/protein/38372907","Ddx39")</f>
        <v>Ddx39</v>
      </c>
      <c r="E1731" t="str">
        <f>HYPERLINK("J:\Depot - mpkCCD Fractions\Main Web Page\Web Pages_old\proteomic_fractions_linear_files/Yang_linear_img/38372907.jpg","show blot")</f>
        <v>show blot</v>
      </c>
      <c r="G1731" t="s">
        <v>1719</v>
      </c>
      <c r="I1731" s="6">
        <v>6.6112806704770408</v>
      </c>
      <c r="K1731" s="8"/>
    </row>
    <row r="1732" spans="1:11" ht="15" x14ac:dyDescent="0.25">
      <c r="A1732" s="3" t="str">
        <f>HYPERLINK("proteomic_fractions_linear_files/Yang_linear_img/356995868.jpg", "356995868")</f>
        <v>356995868</v>
      </c>
      <c r="C1732" s="3" t="str">
        <f>HYPERLINK("http://www.ncbi.nlm.nih.gov/protein/356995868","Ddx39b")</f>
        <v>Ddx39b</v>
      </c>
      <c r="E1732" t="str">
        <f>HYPERLINK("J:\Depot - mpkCCD Fractions\Main Web Page\Web Pages_old\proteomic_fractions_linear_files/Yang_linear_img/356995868.jpg","show blot")</f>
        <v>show blot</v>
      </c>
      <c r="G1732" t="s">
        <v>1720</v>
      </c>
      <c r="I1732" s="6">
        <v>6.6300567910024633</v>
      </c>
      <c r="K1732" s="8"/>
    </row>
    <row r="1733" spans="1:11" ht="15" x14ac:dyDescent="0.25">
      <c r="A1733" s="3" t="str">
        <f>HYPERLINK("proteomic_fractions_linear_files/Yang_linear_img/6753620.jpg", "6753620")</f>
        <v>6753620</v>
      </c>
      <c r="C1733" s="3" t="str">
        <f>HYPERLINK("http://www.ncbi.nlm.nih.gov/protein/6753620","Ddx3x")</f>
        <v>Ddx3x</v>
      </c>
      <c r="E1733" t="str">
        <f>HYPERLINK("J:\Depot - mpkCCD Fractions\Main Web Page\Web Pages_old\proteomic_fractions_linear_files/Yang_linear_img/6753620.jpg","show blot")</f>
        <v>show blot</v>
      </c>
      <c r="G1733" t="s">
        <v>1721</v>
      </c>
      <c r="I1733" s="6">
        <v>6.0450784744867008</v>
      </c>
      <c r="K1733" s="8"/>
    </row>
    <row r="1734" spans="1:11" ht="15" x14ac:dyDescent="0.25">
      <c r="A1734" s="3" t="str">
        <f>HYPERLINK("proteomic_fractions_linear_files/Yang_linear_img/25141235.jpg", "25141235")</f>
        <v>25141235</v>
      </c>
      <c r="C1734" s="3" t="str">
        <f>HYPERLINK("http://www.ncbi.nlm.nih.gov/protein/25141235","Ddx3y")</f>
        <v>Ddx3y</v>
      </c>
      <c r="E1734" t="str">
        <f>HYPERLINK("J:\Depot - mpkCCD Fractions\Main Web Page\Web Pages_old\proteomic_fractions_linear_files/Yang_linear_img/25141235.jpg","show blot")</f>
        <v>show blot</v>
      </c>
      <c r="G1734" t="s">
        <v>1722</v>
      </c>
      <c r="I1734" s="6">
        <v>5.9409644312291912</v>
      </c>
      <c r="K1734" s="8"/>
    </row>
    <row r="1735" spans="1:11" ht="15" x14ac:dyDescent="0.25">
      <c r="A1735" s="3" t="str">
        <f>HYPERLINK("proteomic_fractions_linear_files/Yang_linear_img/225007636.jpg", "225007636")</f>
        <v>225007636</v>
      </c>
      <c r="C1735" s="3" t="str">
        <f>HYPERLINK("http://www.ncbi.nlm.nih.gov/protein/225007636","Ddx4")</f>
        <v>Ddx4</v>
      </c>
      <c r="E1735" t="str">
        <f>HYPERLINK("J:\Depot - mpkCCD Fractions\Main Web Page\Web Pages_old\proteomic_fractions_linear_files/Yang_linear_img/225007636.jpg","show blot")</f>
        <v>show blot</v>
      </c>
      <c r="G1735" t="s">
        <v>1723</v>
      </c>
      <c r="I1735" s="6">
        <v>4.7875816917137088</v>
      </c>
      <c r="K1735" s="8"/>
    </row>
    <row r="1736" spans="1:11" ht="15" x14ac:dyDescent="0.25">
      <c r="A1736" s="3" t="str">
        <f>HYPERLINK("proteomic_fractions_linear_files/Yang_linear_img/33859536.jpg", "33859536")</f>
        <v>33859536</v>
      </c>
      <c r="C1736" s="3" t="str">
        <f>HYPERLINK("http://www.ncbi.nlm.nih.gov/protein/33859536","Ddx4")</f>
        <v>Ddx4</v>
      </c>
      <c r="E1736" t="str">
        <f>HYPERLINK("J:\Depot - mpkCCD Fractions\Main Web Page\Web Pages_old\proteomic_fractions_linear_files/Yang_linear_img/33859536.jpg","show blot")</f>
        <v>show blot</v>
      </c>
      <c r="G1736" t="s">
        <v>1724</v>
      </c>
      <c r="I1736" s="6">
        <v>4.7875816917137088</v>
      </c>
      <c r="K1736" s="8"/>
    </row>
    <row r="1737" spans="1:11" ht="15" x14ac:dyDescent="0.25">
      <c r="A1737" s="3" t="str">
        <f>HYPERLINK("proteomic_fractions_linear_files/Yang_linear_img/270047502.jpg", "270047502")</f>
        <v>270047502</v>
      </c>
      <c r="C1737" s="3" t="str">
        <f>HYPERLINK("http://www.ncbi.nlm.nih.gov/protein/270047502","Ddx41")</f>
        <v>Ddx41</v>
      </c>
      <c r="E1737" t="str">
        <f>HYPERLINK("J:\Depot - mpkCCD Fractions\Main Web Page\Web Pages_old\proteomic_fractions_linear_files/Yang_linear_img/270047502.jpg","show blot")</f>
        <v>show blot</v>
      </c>
      <c r="G1737" t="s">
        <v>1725</v>
      </c>
      <c r="I1737" s="6">
        <v>4.4340042426591983</v>
      </c>
      <c r="K1737" s="8"/>
    </row>
    <row r="1738" spans="1:11" ht="15" x14ac:dyDescent="0.25">
      <c r="A1738" s="3" t="str">
        <f>HYPERLINK("proteomic_fractions_linear_files/Yang_linear_img/157838001.jpg", "157838001")</f>
        <v>157838001</v>
      </c>
      <c r="C1738" s="3" t="str">
        <f>HYPERLINK("http://www.ncbi.nlm.nih.gov/protein/157838001","Ddx42")</f>
        <v>Ddx42</v>
      </c>
      <c r="E1738" t="str">
        <f>HYPERLINK("J:\Depot - mpkCCD Fractions\Main Web Page\Web Pages_old\proteomic_fractions_linear_files/Yang_linear_img/157838001.jpg","show blot")</f>
        <v>show blot</v>
      </c>
      <c r="G1738" t="s">
        <v>1726</v>
      </c>
      <c r="I1738" s="6">
        <v>4.1195996894669804</v>
      </c>
      <c r="K1738" s="8"/>
    </row>
    <row r="1739" spans="1:11" ht="15" x14ac:dyDescent="0.25">
      <c r="A1739" s="3" t="str">
        <f>HYPERLINK("proteomic_fractions_linear_files/Yang_linear_img/160420299.jpg", "160420299")</f>
        <v>160420299</v>
      </c>
      <c r="C1739" s="3" t="str">
        <f>HYPERLINK("http://www.ncbi.nlm.nih.gov/protein/160420299","Ddx46")</f>
        <v>Ddx46</v>
      </c>
      <c r="E1739" t="str">
        <f>HYPERLINK("J:\Depot - mpkCCD Fractions\Main Web Page\Web Pages_old\proteomic_fractions_linear_files/Yang_linear_img/160420299.jpg","show blot")</f>
        <v>show blot</v>
      </c>
      <c r="G1739" t="s">
        <v>1727</v>
      </c>
      <c r="I1739" s="6">
        <v>4.3370186554466983</v>
      </c>
      <c r="K1739" s="8"/>
    </row>
    <row r="1740" spans="1:11" ht="15" x14ac:dyDescent="0.25">
      <c r="A1740" s="3" t="str">
        <f>HYPERLINK("proteomic_fractions_linear_files/Yang_linear_img/27229058.jpg", "27229058")</f>
        <v>27229058</v>
      </c>
      <c r="C1740" s="3" t="str">
        <f>HYPERLINK("http://www.ncbi.nlm.nih.gov/protein/27229058","Ddx47")</f>
        <v>Ddx47</v>
      </c>
      <c r="E1740" t="str">
        <f>HYPERLINK("J:\Depot - mpkCCD Fractions\Main Web Page\Web Pages_old\proteomic_fractions_linear_files/Yang_linear_img/27229058.jpg","show blot")</f>
        <v>show blot</v>
      </c>
      <c r="G1740" t="s">
        <v>1728</v>
      </c>
      <c r="I1740" s="6">
        <v>4.1840934230774423</v>
      </c>
      <c r="K1740" s="8"/>
    </row>
    <row r="1741" spans="1:11" ht="15" x14ac:dyDescent="0.25">
      <c r="A1741" s="3" t="str">
        <f>HYPERLINK("proteomic_fractions_linear_files/Yang_linear_img/67972435.jpg", "67972435")</f>
        <v>67972435</v>
      </c>
      <c r="C1741" s="3" t="str">
        <f>HYPERLINK("http://www.ncbi.nlm.nih.gov/protein/67972435","Ddx49")</f>
        <v>Ddx49</v>
      </c>
      <c r="E1741" t="str">
        <f>HYPERLINK("J:\Depot - mpkCCD Fractions\Main Web Page\Web Pages_old\proteomic_fractions_linear_files/Yang_linear_img/67972435.jpg","show blot")</f>
        <v>show blot</v>
      </c>
      <c r="G1741" t="s">
        <v>1729</v>
      </c>
      <c r="I1741" s="6">
        <v>3.2663344804693897</v>
      </c>
      <c r="K1741" s="8"/>
    </row>
    <row r="1742" spans="1:11" ht="15" x14ac:dyDescent="0.25">
      <c r="A1742" s="3" t="str">
        <f>HYPERLINK("proteomic_fractions_linear_files/Yang_linear_img/83816893.jpg", "83816893")</f>
        <v>83816893</v>
      </c>
      <c r="C1742" s="3" t="str">
        <f>HYPERLINK("http://www.ncbi.nlm.nih.gov/protein/83816893","Ddx5")</f>
        <v>Ddx5</v>
      </c>
      <c r="E1742" t="str">
        <f>HYPERLINK("J:\Depot - mpkCCD Fractions\Main Web Page\Web Pages_old\proteomic_fractions_linear_files/Yang_linear_img/83816893.jpg","show blot")</f>
        <v>show blot</v>
      </c>
      <c r="G1742" t="s">
        <v>1730</v>
      </c>
      <c r="I1742" s="6">
        <v>6.6983739766870452</v>
      </c>
      <c r="K1742" s="8"/>
    </row>
    <row r="1743" spans="1:11" ht="15" x14ac:dyDescent="0.25">
      <c r="A1743" s="3" t="str">
        <f>HYPERLINK("proteomic_fractions_linear_files/Yang_linear_img/16716475.jpg", "16716475")</f>
        <v>16716475</v>
      </c>
      <c r="C1743" s="3" t="str">
        <f>HYPERLINK("http://www.ncbi.nlm.nih.gov/protein/16716475","Ddx50")</f>
        <v>Ddx50</v>
      </c>
      <c r="E1743" t="str">
        <f>HYPERLINK("J:\Depot - mpkCCD Fractions\Main Web Page\Web Pages_old\proteomic_fractions_linear_files/Yang_linear_img/16716475.jpg","show blot")</f>
        <v>show blot</v>
      </c>
      <c r="G1743" t="s">
        <v>1731</v>
      </c>
      <c r="I1743" s="6">
        <v>2.5141426498550397</v>
      </c>
      <c r="K1743" s="8"/>
    </row>
    <row r="1744" spans="1:11" ht="15" x14ac:dyDescent="0.25">
      <c r="A1744" s="3" t="str">
        <f>HYPERLINK("proteomic_fractions_linear_files/Yang_linear_img/40538825.jpg", "40538825")</f>
        <v>40538825</v>
      </c>
      <c r="C1744" s="3" t="str">
        <f>HYPERLINK("http://www.ncbi.nlm.nih.gov/protein/40538825","Ddx51")</f>
        <v>Ddx51</v>
      </c>
      <c r="E1744" t="str">
        <f>HYPERLINK("J:\Depot - mpkCCD Fractions\Main Web Page\Web Pages_old\proteomic_fractions_linear_files/Yang_linear_img/40538825.jpg","show blot")</f>
        <v>show blot</v>
      </c>
      <c r="G1744" t="s">
        <v>1732</v>
      </c>
      <c r="I1744" s="6">
        <v>2.8582989573092594</v>
      </c>
      <c r="K1744" s="8"/>
    </row>
    <row r="1745" spans="1:11" ht="15" x14ac:dyDescent="0.25">
      <c r="A1745" s="3" t="str">
        <f>HYPERLINK("proteomic_fractions_linear_files/Yang_linear_img/117647283.jpg", "117647283")</f>
        <v>117647283</v>
      </c>
      <c r="C1745" s="3" t="str">
        <f>HYPERLINK("http://www.ncbi.nlm.nih.gov/protein/117647283","Ddx55")</f>
        <v>Ddx55</v>
      </c>
      <c r="E1745" t="str">
        <f>HYPERLINK("J:\Depot - mpkCCD Fractions\Main Web Page\Web Pages_old\proteomic_fractions_linear_files/Yang_linear_img/117647283.jpg","show blot")</f>
        <v>show blot</v>
      </c>
      <c r="G1745" t="s">
        <v>1733</v>
      </c>
      <c r="I1745" s="6">
        <v>2.721604544280138</v>
      </c>
      <c r="K1745" s="8"/>
    </row>
    <row r="1746" spans="1:11" ht="15" x14ac:dyDescent="0.25">
      <c r="A1746" s="3" t="str">
        <f>HYPERLINK("proteomic_fractions_linear_files/Yang_linear_img/299890889.jpg", "299890889")</f>
        <v>299890889</v>
      </c>
      <c r="C1746" s="3" t="str">
        <f>HYPERLINK("http://www.ncbi.nlm.nih.gov/protein/299890889","Ddx55")</f>
        <v>Ddx55</v>
      </c>
      <c r="E1746" t="str">
        <f>HYPERLINK("J:\Depot - mpkCCD Fractions\Main Web Page\Web Pages_old\proteomic_fractions_linear_files/Yang_linear_img/299890889.jpg","show blot")</f>
        <v>show blot</v>
      </c>
      <c r="G1746" t="s">
        <v>1734</v>
      </c>
      <c r="I1746" s="6">
        <v>2.721604544280138</v>
      </c>
      <c r="K1746" s="8"/>
    </row>
    <row r="1747" spans="1:11" ht="15" x14ac:dyDescent="0.25">
      <c r="A1747" s="3" t="str">
        <f>HYPERLINK("proteomic_fractions_linear_files/Yang_linear_img/21312650.jpg", "21312650")</f>
        <v>21312650</v>
      </c>
      <c r="C1747" s="3" t="str">
        <f>HYPERLINK("http://www.ncbi.nlm.nih.gov/protein/21312650","Ddx56")</f>
        <v>Ddx56</v>
      </c>
      <c r="E1747" t="str">
        <f>HYPERLINK("J:\Depot - mpkCCD Fractions\Main Web Page\Web Pages_old\proteomic_fractions_linear_files/Yang_linear_img/21312650.jpg","show blot")</f>
        <v>show blot</v>
      </c>
      <c r="G1747" t="s">
        <v>1735</v>
      </c>
      <c r="I1747" s="6">
        <v>4.3468437196060465</v>
      </c>
      <c r="K1747" s="8"/>
    </row>
    <row r="1748" spans="1:11" ht="15" x14ac:dyDescent="0.25">
      <c r="A1748" s="3" t="str">
        <f>HYPERLINK("proteomic_fractions_linear_files/Yang_linear_img/153945886.jpg", "153945886")</f>
        <v>153945886</v>
      </c>
      <c r="C1748" s="3" t="str">
        <f>HYPERLINK("http://www.ncbi.nlm.nih.gov/protein/153945886","Ddx58")</f>
        <v>Ddx58</v>
      </c>
      <c r="E1748" t="str">
        <f>HYPERLINK("J:\Depot - mpkCCD Fractions\Main Web Page\Web Pages_old\proteomic_fractions_linear_files/Yang_linear_img/153945886.jpg","show blot")</f>
        <v>show blot</v>
      </c>
      <c r="G1748" t="s">
        <v>1736</v>
      </c>
      <c r="I1748" s="6">
        <v>4.7557231228349588</v>
      </c>
      <c r="K1748" s="8"/>
    </row>
    <row r="1749" spans="1:11" ht="15" x14ac:dyDescent="0.25">
      <c r="A1749" s="3" t="str">
        <f>HYPERLINK("proteomic_fractions_linear_files/Yang_linear_img/6681159.jpg", "6681159")</f>
        <v>6681159</v>
      </c>
      <c r="C1749" s="3" t="str">
        <f>HYPERLINK("http://www.ncbi.nlm.nih.gov/protein/6681159","Ddx6")</f>
        <v>Ddx6</v>
      </c>
      <c r="E1749" t="str">
        <f>HYPERLINK("J:\Depot - mpkCCD Fractions\Main Web Page\Web Pages_old\proteomic_fractions_linear_files/Yang_linear_img/6681159.jpg","show blot")</f>
        <v>show blot</v>
      </c>
      <c r="G1749" t="s">
        <v>1737</v>
      </c>
      <c r="I1749" s="6">
        <v>6.0166526951133701</v>
      </c>
      <c r="K1749" s="8"/>
    </row>
    <row r="1750" spans="1:11" ht="15" x14ac:dyDescent="0.25">
      <c r="A1750" s="3" t="str">
        <f>HYPERLINK("proteomic_fractions_linear_files/Yang_linear_img/124487049.jpg", "124487049")</f>
        <v>124487049</v>
      </c>
      <c r="C1750" s="3" t="str">
        <f>HYPERLINK("http://www.ncbi.nlm.nih.gov/protein/124487049","Ddx60")</f>
        <v>Ddx60</v>
      </c>
      <c r="E1750" t="str">
        <f>HYPERLINK("J:\Depot - mpkCCD Fractions\Main Web Page\Web Pages_old\proteomic_fractions_linear_files/Yang_linear_img/124487049.jpg","show blot")</f>
        <v>show blot</v>
      </c>
      <c r="G1750" t="s">
        <v>1738</v>
      </c>
      <c r="I1750" s="6">
        <v>1.1361438147716372</v>
      </c>
      <c r="K1750" s="8"/>
    </row>
    <row r="1751" spans="1:11" ht="15" x14ac:dyDescent="0.25">
      <c r="A1751" s="3" t="str">
        <f>HYPERLINK("proteomic_fractions_linear_files/Yang_linear_img/21312078.jpg", "21312078")</f>
        <v>21312078</v>
      </c>
      <c r="C1751" s="3" t="str">
        <f>HYPERLINK("http://www.ncbi.nlm.nih.gov/protein/21312078","Deb1")</f>
        <v>Deb1</v>
      </c>
      <c r="E1751" t="str">
        <f>HYPERLINK("J:\Depot - mpkCCD Fractions\Main Web Page\Web Pages_old\proteomic_fractions_linear_files/Yang_linear_img/21312078.jpg","show blot")</f>
        <v>show blot</v>
      </c>
      <c r="G1751" t="s">
        <v>1739</v>
      </c>
      <c r="I1751" s="6">
        <v>2.001445240874181</v>
      </c>
      <c r="K1751" s="8"/>
    </row>
    <row r="1752" spans="1:11" ht="15" x14ac:dyDescent="0.25">
      <c r="A1752" s="3" t="str">
        <f>HYPERLINK("proteomic_fractions_linear_files/Yang_linear_img/6753622.jpg", "6753622")</f>
        <v>6753622</v>
      </c>
      <c r="C1752" s="3" t="str">
        <f>HYPERLINK("http://www.ncbi.nlm.nih.gov/protein/6753622","Decr2")</f>
        <v>Decr2</v>
      </c>
      <c r="E1752" t="str">
        <f>HYPERLINK("J:\Depot - mpkCCD Fractions\Main Web Page\Web Pages_old\proteomic_fractions_linear_files/Yang_linear_img/6753622.jpg","show blot")</f>
        <v>show blot</v>
      </c>
      <c r="G1752" t="s">
        <v>1740</v>
      </c>
      <c r="I1752" s="6">
        <v>4.6278122254533738</v>
      </c>
      <c r="K1752" s="8"/>
    </row>
    <row r="1753" spans="1:11" ht="15" x14ac:dyDescent="0.25">
      <c r="A1753" s="3" t="str">
        <f>HYPERLINK("proteomic_fractions_linear_files/Yang_linear_img/6681175.jpg", "6681175")</f>
        <v>6681175</v>
      </c>
      <c r="C1753" s="3" t="str">
        <f>HYPERLINK("http://www.ncbi.nlm.nih.gov/protein/6681175","Degs1")</f>
        <v>Degs1</v>
      </c>
      <c r="E1753" t="str">
        <f>HYPERLINK("J:\Depot - mpkCCD Fractions\Main Web Page\Web Pages_old\proteomic_fractions_linear_files/Yang_linear_img/6681175.jpg","show blot")</f>
        <v>show blot</v>
      </c>
      <c r="G1753" t="s">
        <v>1741</v>
      </c>
      <c r="I1753" s="6">
        <v>3.7230037255193169</v>
      </c>
      <c r="K1753" s="8"/>
    </row>
    <row r="1754" spans="1:11" ht="15" x14ac:dyDescent="0.25">
      <c r="A1754" s="3" t="str">
        <f>HYPERLINK("proteomic_fractions_linear_files/Yang_linear_img/253795498.jpg", "253795498")</f>
        <v>253795498</v>
      </c>
      <c r="C1754" s="3" t="str">
        <f>HYPERLINK("http://www.ncbi.nlm.nih.gov/protein/253795498","Dek")</f>
        <v>Dek</v>
      </c>
      <c r="E1754" t="str">
        <f>HYPERLINK("J:\Depot - mpkCCD Fractions\Main Web Page\Web Pages_old\proteomic_fractions_linear_files/Yang_linear_img/253795498.jpg","show blot")</f>
        <v>show blot</v>
      </c>
      <c r="G1754" t="s">
        <v>1742</v>
      </c>
      <c r="I1754" s="6">
        <v>5.3405934902873291</v>
      </c>
      <c r="K1754" s="8"/>
    </row>
    <row r="1755" spans="1:11" ht="15" x14ac:dyDescent="0.25">
      <c r="A1755" s="3" t="str">
        <f>HYPERLINK("proteomic_fractions_linear_files/Yang_linear_img/24025656.jpg", "24025656")</f>
        <v>24025656</v>
      </c>
      <c r="C1755" s="3" t="str">
        <f>HYPERLINK("http://www.ncbi.nlm.nih.gov/protein/24025656","Dennd1c")</f>
        <v>Dennd1c</v>
      </c>
      <c r="E1755" t="str">
        <f>HYPERLINK("J:\Depot - mpkCCD Fractions\Main Web Page\Web Pages_old\proteomic_fractions_linear_files/Yang_linear_img/24025656.jpg","show blot")</f>
        <v>show blot</v>
      </c>
      <c r="G1755" t="s">
        <v>1743</v>
      </c>
      <c r="I1755" s="6">
        <v>3.1149412582452687</v>
      </c>
      <c r="K1755" s="8"/>
    </row>
    <row r="1756" spans="1:11" ht="15" x14ac:dyDescent="0.25">
      <c r="A1756" s="3" t="str">
        <f>HYPERLINK("proteomic_fractions_linear_files/Yang_linear_img/27369652.jpg", "27369652")</f>
        <v>27369652</v>
      </c>
      <c r="C1756" s="3" t="str">
        <f>HYPERLINK("http://www.ncbi.nlm.nih.gov/protein/27369652","Dennd2a")</f>
        <v>Dennd2a</v>
      </c>
      <c r="E1756" t="str">
        <f>HYPERLINK("J:\Depot - mpkCCD Fractions\Main Web Page\Web Pages_old\proteomic_fractions_linear_files/Yang_linear_img/27369652.jpg","show blot")</f>
        <v>show blot</v>
      </c>
      <c r="G1756" t="s">
        <v>1744</v>
      </c>
      <c r="I1756" s="6">
        <v>1.8234280607824613</v>
      </c>
      <c r="K1756" s="8"/>
    </row>
    <row r="1757" spans="1:11" ht="15" x14ac:dyDescent="0.25">
      <c r="A1757" s="3" t="str">
        <f>HYPERLINK("proteomic_fractions_linear_files/Yang_linear_img/238814338.jpg", "238814338")</f>
        <v>238814338</v>
      </c>
      <c r="C1757" s="3" t="str">
        <f>HYPERLINK("http://www.ncbi.nlm.nih.gov/protein/238814338","Dennd2c")</f>
        <v>Dennd2c</v>
      </c>
      <c r="E1757" t="str">
        <f>HYPERLINK("J:\Depot - mpkCCD Fractions\Main Web Page\Web Pages_old\proteomic_fractions_linear_files/Yang_linear_img/238814338.jpg","show blot")</f>
        <v>show blot</v>
      </c>
      <c r="G1757" t="s">
        <v>1745</v>
      </c>
      <c r="I1757" s="6">
        <v>1.8594731649671006</v>
      </c>
      <c r="K1757" s="8"/>
    </row>
    <row r="1758" spans="1:11" ht="15" x14ac:dyDescent="0.25">
      <c r="A1758" s="3" t="str">
        <f>HYPERLINK("proteomic_fractions_linear_files/Yang_linear_img/389616154.jpg", "389616154")</f>
        <v>389616154</v>
      </c>
      <c r="C1758" s="3" t="str">
        <f>HYPERLINK("http://www.ncbi.nlm.nih.gov/protein/389616154","Dennd2d")</f>
        <v>Dennd2d</v>
      </c>
      <c r="E1758" t="str">
        <f>HYPERLINK("J:\Depot - mpkCCD Fractions\Main Web Page\Web Pages_old\proteomic_fractions_linear_files/Yang_linear_img/389616154.jpg","show blot")</f>
        <v>show blot</v>
      </c>
      <c r="G1758" t="s">
        <v>1746</v>
      </c>
      <c r="I1758" s="6">
        <v>4.5876641742192561</v>
      </c>
      <c r="K1758" s="8"/>
    </row>
    <row r="1759" spans="1:11" ht="15" x14ac:dyDescent="0.25">
      <c r="A1759" s="3" t="str">
        <f>HYPERLINK("proteomic_fractions_linear_files/Yang_linear_img/147904706.jpg", "147904706")</f>
        <v>147904706</v>
      </c>
      <c r="C1759" s="3" t="str">
        <f>HYPERLINK("http://www.ncbi.nlm.nih.gov/protein/147904706","Dennd2d")</f>
        <v>Dennd2d</v>
      </c>
      <c r="E1759" t="str">
        <f>HYPERLINK("J:\Depot - mpkCCD Fractions\Main Web Page\Web Pages_old\proteomic_fractions_linear_files/Yang_linear_img/147904706.jpg","show blot")</f>
        <v>show blot</v>
      </c>
      <c r="G1759" t="s">
        <v>1747</v>
      </c>
      <c r="I1759" s="6">
        <v>4.5876641742192561</v>
      </c>
      <c r="K1759" s="8"/>
    </row>
    <row r="1760" spans="1:11" ht="15" x14ac:dyDescent="0.25">
      <c r="A1760" s="3" t="str">
        <f>HYPERLINK("proteomic_fractions_linear_files/Yang_linear_img/124486710.jpg", "124486710")</f>
        <v>124486710</v>
      </c>
      <c r="C1760" s="3" t="str">
        <f>HYPERLINK("http://www.ncbi.nlm.nih.gov/protein/124486710","Dennd3")</f>
        <v>Dennd3</v>
      </c>
      <c r="E1760" t="str">
        <f>HYPERLINK("J:\Depot - mpkCCD Fractions\Main Web Page\Web Pages_old\proteomic_fractions_linear_files/Yang_linear_img/124486710.jpg","show blot")</f>
        <v>show blot</v>
      </c>
      <c r="G1760" t="s">
        <v>1748</v>
      </c>
      <c r="I1760" s="6">
        <v>1.925290449456744</v>
      </c>
      <c r="K1760" s="8"/>
    </row>
    <row r="1761" spans="1:11" ht="15" x14ac:dyDescent="0.25">
      <c r="A1761" s="3" t="str">
        <f>HYPERLINK("proteomic_fractions_linear_files/Yang_linear_img/124486610.jpg", "124486610")</f>
        <v>124486610</v>
      </c>
      <c r="C1761" s="3" t="str">
        <f>HYPERLINK("http://www.ncbi.nlm.nih.gov/protein/124486610","Dennd4c")</f>
        <v>Dennd4c</v>
      </c>
      <c r="E1761" t="str">
        <f>HYPERLINK("J:\Depot - mpkCCD Fractions\Main Web Page\Web Pages_old\proteomic_fractions_linear_files/Yang_linear_img/124486610.jpg","show blot")</f>
        <v>show blot</v>
      </c>
      <c r="G1761" t="s">
        <v>1749</v>
      </c>
      <c r="I1761" s="6">
        <v>1.6881114625129063</v>
      </c>
      <c r="K1761" s="8"/>
    </row>
    <row r="1762" spans="1:11" ht="15" x14ac:dyDescent="0.25">
      <c r="A1762" s="3" t="str">
        <f>HYPERLINK("proteomic_fractions_linear_files/Yang_linear_img/300863147.jpg", "300863147")</f>
        <v>300863147</v>
      </c>
      <c r="C1762" s="3" t="str">
        <f>HYPERLINK("http://www.ncbi.nlm.nih.gov/protein/300863147","Dennd4c")</f>
        <v>Dennd4c</v>
      </c>
      <c r="E1762" t="str">
        <f>HYPERLINK("J:\Depot - mpkCCD Fractions\Main Web Page\Web Pages_old\proteomic_fractions_linear_files/Yang_linear_img/300863147.jpg","show blot")</f>
        <v>show blot</v>
      </c>
      <c r="G1762" t="s">
        <v>1750</v>
      </c>
      <c r="I1762" s="6">
        <v>1.6881114625129063</v>
      </c>
      <c r="K1762" s="8"/>
    </row>
    <row r="1763" spans="1:11" ht="15" x14ac:dyDescent="0.25">
      <c r="A1763" s="3" t="str">
        <f>HYPERLINK("proteomic_fractions_linear_files/Yang_linear_img/39930409.jpg", "39930409")</f>
        <v>39930409</v>
      </c>
      <c r="C1763" s="3" t="str">
        <f>HYPERLINK("http://www.ncbi.nlm.nih.gov/protein/39930409","Dennd5a")</f>
        <v>Dennd5a</v>
      </c>
      <c r="E1763" t="str">
        <f>HYPERLINK("J:\Depot - mpkCCD Fractions\Main Web Page\Web Pages_old\proteomic_fractions_linear_files/Yang_linear_img/39930409.jpg","show blot")</f>
        <v>show blot</v>
      </c>
      <c r="G1763" t="s">
        <v>1751</v>
      </c>
      <c r="I1763" s="6">
        <v>2.539135865459341</v>
      </c>
      <c r="K1763" s="8"/>
    </row>
    <row r="1764" spans="1:11" ht="15" x14ac:dyDescent="0.25">
      <c r="A1764" s="3" t="str">
        <f>HYPERLINK("proteomic_fractions_linear_files/Yang_linear_img/197333847.jpg", "197333847")</f>
        <v>197333847</v>
      </c>
      <c r="C1764" s="3" t="str">
        <f>HYPERLINK("http://www.ncbi.nlm.nih.gov/protein/197333847","Dennd6a")</f>
        <v>Dennd6a</v>
      </c>
      <c r="E1764" t="str">
        <f>HYPERLINK("J:\Depot - mpkCCD Fractions\Main Web Page\Web Pages_old\proteomic_fractions_linear_files/Yang_linear_img/197333847.jpg","show blot")</f>
        <v>show blot</v>
      </c>
      <c r="G1764" t="s">
        <v>1752</v>
      </c>
      <c r="I1764" s="6">
        <v>2.5953950229403753</v>
      </c>
      <c r="K1764" s="8"/>
    </row>
    <row r="1765" spans="1:11" ht="15" x14ac:dyDescent="0.25">
      <c r="A1765" s="3" t="str">
        <f>HYPERLINK("proteomic_fractions_linear_files/Yang_linear_img/22122407.jpg", "22122407")</f>
        <v>22122407</v>
      </c>
      <c r="C1765" s="3" t="str">
        <f>HYPERLINK("http://www.ncbi.nlm.nih.gov/protein/22122407","Dennd6a")</f>
        <v>Dennd6a</v>
      </c>
      <c r="E1765" t="str">
        <f>HYPERLINK("J:\Depot - mpkCCD Fractions\Main Web Page\Web Pages_old\proteomic_fractions_linear_files/Yang_linear_img/22122407.jpg","show blot")</f>
        <v>show blot</v>
      </c>
      <c r="G1765" t="s">
        <v>1753</v>
      </c>
      <c r="I1765" s="6">
        <v>2.5953950229403753</v>
      </c>
      <c r="K1765" s="8"/>
    </row>
    <row r="1766" spans="1:11" ht="15" x14ac:dyDescent="0.25">
      <c r="A1766" s="3" t="str">
        <f>HYPERLINK("proteomic_fractions_linear_files/Yang_linear_img/13386092.jpg", "13386092")</f>
        <v>13386092</v>
      </c>
      <c r="C1766" s="3" t="str">
        <f>HYPERLINK("http://www.ncbi.nlm.nih.gov/protein/13386092","Denr")</f>
        <v>Denr</v>
      </c>
      <c r="E1766" t="str">
        <f>HYPERLINK("J:\Depot - mpkCCD Fractions\Main Web Page\Web Pages_old\proteomic_fractions_linear_files/Yang_linear_img/13386092.jpg","show blot")</f>
        <v>show blot</v>
      </c>
      <c r="G1766" t="s">
        <v>1754</v>
      </c>
      <c r="I1766" s="6">
        <v>5.2012099434426062</v>
      </c>
      <c r="K1766" s="8"/>
    </row>
    <row r="1767" spans="1:11" ht="15" x14ac:dyDescent="0.25">
      <c r="A1767" s="3" t="str">
        <f>HYPERLINK("proteomic_fractions_linear_files/Yang_linear_img/21450165.jpg", "21450165")</f>
        <v>21450165</v>
      </c>
      <c r="C1767" s="3" t="str">
        <f>HYPERLINK("http://www.ncbi.nlm.nih.gov/protein/21450165","Depdc7")</f>
        <v>Depdc7</v>
      </c>
      <c r="E1767" t="str">
        <f>HYPERLINK("J:\Depot - mpkCCD Fractions\Main Web Page\Web Pages_old\proteomic_fractions_linear_files/Yang_linear_img/21450165.jpg","show blot")</f>
        <v>show blot</v>
      </c>
      <c r="G1767" t="s">
        <v>1755</v>
      </c>
      <c r="I1767" s="6">
        <v>3.0756316057606519</v>
      </c>
      <c r="K1767" s="8"/>
    </row>
    <row r="1768" spans="1:11" ht="15" x14ac:dyDescent="0.25">
      <c r="A1768" s="3" t="str">
        <f>HYPERLINK("proteomic_fractions_linear_files/Yang_linear_img/27777677.jpg", "27777677")</f>
        <v>27777677</v>
      </c>
      <c r="C1768" s="3" t="str">
        <f>HYPERLINK("http://www.ncbi.nlm.nih.gov/protein/27777677","Dera")</f>
        <v>Dera</v>
      </c>
      <c r="E1768" t="str">
        <f>HYPERLINK("J:\Depot - mpkCCD Fractions\Main Web Page\Web Pages_old\proteomic_fractions_linear_files/Yang_linear_img/27777677.jpg","show blot")</f>
        <v>show blot</v>
      </c>
      <c r="G1768" t="s">
        <v>1756</v>
      </c>
      <c r="I1768" s="6">
        <v>5.1117882334078795</v>
      </c>
      <c r="K1768" s="8"/>
    </row>
    <row r="1769" spans="1:11" ht="15" x14ac:dyDescent="0.25">
      <c r="A1769" s="3" t="str">
        <f>HYPERLINK("proteomic_fractions_linear_files/Yang_linear_img/13195638.jpg", "13195638")</f>
        <v>13195638</v>
      </c>
      <c r="C1769" s="3" t="str">
        <f>HYPERLINK("http://www.ncbi.nlm.nih.gov/protein/13195638","Derl1")</f>
        <v>Derl1</v>
      </c>
      <c r="E1769" t="str">
        <f>HYPERLINK("J:\Depot - mpkCCD Fractions\Main Web Page\Web Pages_old\proteomic_fractions_linear_files/Yang_linear_img/13195638.jpg","show blot")</f>
        <v>show blot</v>
      </c>
      <c r="G1769" t="s">
        <v>1757</v>
      </c>
      <c r="I1769" s="6">
        <v>4.6256696272220648</v>
      </c>
      <c r="K1769" s="8"/>
    </row>
    <row r="1770" spans="1:11" ht="15" x14ac:dyDescent="0.25">
      <c r="A1770" s="3" t="str">
        <f>HYPERLINK("proteomic_fractions_linear_files/Yang_linear_img/15808990.jpg", "15808990")</f>
        <v>15808990</v>
      </c>
      <c r="C1770" s="3" t="str">
        <f>HYPERLINK("http://www.ncbi.nlm.nih.gov/protein/15808990","Derl2")</f>
        <v>Derl2</v>
      </c>
      <c r="E1770" t="str">
        <f>HYPERLINK("J:\Depot - mpkCCD Fractions\Main Web Page\Web Pages_old\proteomic_fractions_linear_files/Yang_linear_img/15808990.jpg","show blot")</f>
        <v>show blot</v>
      </c>
      <c r="G1770" t="s">
        <v>1758</v>
      </c>
      <c r="I1770" s="6">
        <v>3.8159125936488856</v>
      </c>
      <c r="K1770" s="8"/>
    </row>
    <row r="1771" spans="1:11" ht="15" x14ac:dyDescent="0.25">
      <c r="A1771" s="3" t="str">
        <f>HYPERLINK("proteomic_fractions_linear_files/Yang_linear_img/33563250.jpg", "33563250")</f>
        <v>33563250</v>
      </c>
      <c r="C1771" s="3" t="str">
        <f>HYPERLINK("http://www.ncbi.nlm.nih.gov/protein/33563250","Des")</f>
        <v>Des</v>
      </c>
      <c r="E1771" t="str">
        <f>HYPERLINK("J:\Depot - mpkCCD Fractions\Main Web Page\Web Pages_old\proteomic_fractions_linear_files/Yang_linear_img/33563250.jpg","show blot")</f>
        <v>show blot</v>
      </c>
      <c r="G1771" t="s">
        <v>1759</v>
      </c>
      <c r="I1771" s="6">
        <v>6.4452237183242529</v>
      </c>
      <c r="K1771" s="8"/>
    </row>
    <row r="1772" spans="1:11" ht="15" x14ac:dyDescent="0.25">
      <c r="A1772" s="3" t="str">
        <f>HYPERLINK("proteomic_fractions_linear_files/Yang_linear_img/70608119.jpg", "70608119")</f>
        <v>70608119</v>
      </c>
      <c r="C1772" s="3" t="str">
        <f>HYPERLINK("http://www.ncbi.nlm.nih.gov/protein/70608119","Dffa")</f>
        <v>Dffa</v>
      </c>
      <c r="E1772" t="str">
        <f>HYPERLINK("J:\Depot - mpkCCD Fractions\Main Web Page\Web Pages_old\proteomic_fractions_linear_files/Yang_linear_img/70608119.jpg","show blot")</f>
        <v>show blot</v>
      </c>
      <c r="G1772" t="s">
        <v>1760</v>
      </c>
      <c r="I1772" s="6">
        <v>3.3994779005486775</v>
      </c>
      <c r="K1772" s="8"/>
    </row>
    <row r="1773" spans="1:11" ht="15" x14ac:dyDescent="0.25">
      <c r="A1773" s="3" t="str">
        <f>HYPERLINK("proteomic_fractions_linear_files/Yang_linear_img/70608144.jpg", "70608144")</f>
        <v>70608144</v>
      </c>
      <c r="C1773" s="3" t="str">
        <f>HYPERLINK("http://www.ncbi.nlm.nih.gov/protein/70608144","Dffa")</f>
        <v>Dffa</v>
      </c>
      <c r="E1773" t="str">
        <f>HYPERLINK("J:\Depot - mpkCCD Fractions\Main Web Page\Web Pages_old\proteomic_fractions_linear_files/Yang_linear_img/70608144.jpg","show blot")</f>
        <v>show blot</v>
      </c>
      <c r="G1773" t="s">
        <v>1761</v>
      </c>
      <c r="I1773" s="6">
        <v>3.3994779005486775</v>
      </c>
      <c r="K1773" s="8"/>
    </row>
    <row r="1774" spans="1:11" ht="15" x14ac:dyDescent="0.25">
      <c r="A1774" s="3" t="str">
        <f>HYPERLINK("proteomic_fractions_linear_files/Yang_linear_img/9055204.jpg", "9055204")</f>
        <v>9055204</v>
      </c>
      <c r="C1774" s="3" t="str">
        <f>HYPERLINK("http://www.ncbi.nlm.nih.gov/protein/9055204","Dfna5")</f>
        <v>Dfna5</v>
      </c>
      <c r="E1774" t="str">
        <f>HYPERLINK("J:\Depot - mpkCCD Fractions\Main Web Page\Web Pages_old\proteomic_fractions_linear_files/Yang_linear_img/9055204.jpg","show blot")</f>
        <v>show blot</v>
      </c>
      <c r="G1774" t="s">
        <v>1762</v>
      </c>
      <c r="I1774" s="6">
        <v>1.6769341493606769</v>
      </c>
      <c r="K1774" s="8"/>
    </row>
    <row r="1775" spans="1:11" ht="15" x14ac:dyDescent="0.25">
      <c r="A1775" s="3" t="str">
        <f>HYPERLINK("proteomic_fractions_linear_files/Yang_linear_img/41152099.jpg", "41152099")</f>
        <v>41152099</v>
      </c>
      <c r="C1775" s="3" t="str">
        <f>HYPERLINK("http://www.ncbi.nlm.nih.gov/protein/41152099","Dgcr8")</f>
        <v>Dgcr8</v>
      </c>
      <c r="E1775" t="str">
        <f>HYPERLINK("J:\Depot - mpkCCD Fractions\Main Web Page\Web Pages_old\proteomic_fractions_linear_files/Yang_linear_img/41152099.jpg","show blot")</f>
        <v>show blot</v>
      </c>
      <c r="G1775" t="s">
        <v>1763</v>
      </c>
      <c r="I1775" s="6">
        <v>2.5611013836490559</v>
      </c>
      <c r="K1775" s="8"/>
    </row>
    <row r="1776" spans="1:11" ht="15" x14ac:dyDescent="0.25">
      <c r="A1776" s="3" t="str">
        <f>HYPERLINK("proteomic_fractions_linear_files/Yang_linear_img/31560474.jpg", "31560474")</f>
        <v>31560474</v>
      </c>
      <c r="C1776" s="3" t="str">
        <f>HYPERLINK("http://www.ncbi.nlm.nih.gov/protein/31560474","Dgka")</f>
        <v>Dgka</v>
      </c>
      <c r="E1776" t="str">
        <f>HYPERLINK("J:\Depot - mpkCCD Fractions\Main Web Page\Web Pages_old\proteomic_fractions_linear_files/Yang_linear_img/31560474.jpg","show blot")</f>
        <v>show blot</v>
      </c>
      <c r="G1776" t="s">
        <v>1764</v>
      </c>
      <c r="I1776" s="6">
        <v>3.4912529683725908</v>
      </c>
      <c r="K1776" s="8"/>
    </row>
    <row r="1777" spans="1:11" ht="15" x14ac:dyDescent="0.25">
      <c r="A1777" s="3" t="str">
        <f>HYPERLINK("proteomic_fractions_linear_files/Yang_linear_img/9506541.jpg", "9506541")</f>
        <v>9506541</v>
      </c>
      <c r="C1777" s="3" t="str">
        <f>HYPERLINK("http://www.ncbi.nlm.nih.gov/protein/9506541","Dgke")</f>
        <v>Dgke</v>
      </c>
      <c r="E1777" t="str">
        <f>HYPERLINK("J:\Depot - mpkCCD Fractions\Main Web Page\Web Pages_old\proteomic_fractions_linear_files/Yang_linear_img/9506541.jpg","show blot")</f>
        <v>show blot</v>
      </c>
      <c r="G1777" t="s">
        <v>1765</v>
      </c>
      <c r="I1777" s="6">
        <v>2.9699380233808794</v>
      </c>
      <c r="K1777" s="8"/>
    </row>
    <row r="1778" spans="1:11" ht="15" x14ac:dyDescent="0.25">
      <c r="A1778" s="3" t="str">
        <f>HYPERLINK("proteomic_fractions_linear_files/Yang_linear_img/124486741.jpg", "124486741")</f>
        <v>124486741</v>
      </c>
      <c r="C1778" s="3" t="str">
        <f>HYPERLINK("http://www.ncbi.nlm.nih.gov/protein/124486741","Dgkh")</f>
        <v>Dgkh</v>
      </c>
      <c r="E1778" t="str">
        <f>HYPERLINK("J:\Depot - mpkCCD Fractions\Main Web Page\Web Pages_old\proteomic_fractions_linear_files/Yang_linear_img/124486741.jpg","show blot")</f>
        <v>show blot</v>
      </c>
      <c r="G1778" t="s">
        <v>1766</v>
      </c>
      <c r="I1778" s="6">
        <v>3.0621827214762831</v>
      </c>
      <c r="K1778" s="8"/>
    </row>
    <row r="1779" spans="1:11" ht="15" x14ac:dyDescent="0.25">
      <c r="A1779" s="3" t="str">
        <f>HYPERLINK("proteomic_fractions_linear_files/Yang_linear_img/247269607.jpg", "247269607")</f>
        <v>247269607</v>
      </c>
      <c r="C1779" s="3" t="str">
        <f>HYPERLINK("http://www.ncbi.nlm.nih.gov/protein/247269607","Dguok")</f>
        <v>Dguok</v>
      </c>
      <c r="E1779" t="str">
        <f>HYPERLINK("J:\Depot - mpkCCD Fractions\Main Web Page\Web Pages_old\proteomic_fractions_linear_files/Yang_linear_img/247269607.jpg","show blot")</f>
        <v>show blot</v>
      </c>
      <c r="G1779" t="s">
        <v>1767</v>
      </c>
      <c r="I1779" s="6">
        <v>4.3942783579897968</v>
      </c>
      <c r="K1779" s="8"/>
    </row>
    <row r="1780" spans="1:11" ht="15" x14ac:dyDescent="0.25">
      <c r="A1780" s="3" t="str">
        <f>HYPERLINK("proteomic_fractions_linear_files/Yang_linear_img/247269645.jpg", "247269645")</f>
        <v>247269645</v>
      </c>
      <c r="C1780" s="3" t="str">
        <f>HYPERLINK("http://www.ncbi.nlm.nih.gov/protein/247269645","Dguok")</f>
        <v>Dguok</v>
      </c>
      <c r="E1780" t="str">
        <f>HYPERLINK("J:\Depot - mpkCCD Fractions\Main Web Page\Web Pages_old\proteomic_fractions_linear_files/Yang_linear_img/247269645.jpg","show blot")</f>
        <v>show blot</v>
      </c>
      <c r="G1780" t="s">
        <v>1768</v>
      </c>
      <c r="I1780" s="6">
        <v>4.3942783579897968</v>
      </c>
      <c r="K1780" s="8"/>
    </row>
    <row r="1781" spans="1:11" ht="15" x14ac:dyDescent="0.25">
      <c r="A1781" s="3" t="str">
        <f>HYPERLINK("proteomic_fractions_linear_files/Yang_linear_img/114155129.jpg", "114155129")</f>
        <v>114155129</v>
      </c>
      <c r="C1781" s="3" t="str">
        <f>HYPERLINK("http://www.ncbi.nlm.nih.gov/protein/114155129","Dhcr24")</f>
        <v>Dhcr24</v>
      </c>
      <c r="E1781" t="str">
        <f>HYPERLINK("J:\Depot - mpkCCD Fractions\Main Web Page\Web Pages_old\proteomic_fractions_linear_files/Yang_linear_img/114155129.jpg","show blot")</f>
        <v>show blot</v>
      </c>
      <c r="G1781" t="s">
        <v>1769</v>
      </c>
      <c r="I1781" s="6">
        <v>3.0096626143886298</v>
      </c>
      <c r="K1781" s="8"/>
    </row>
    <row r="1782" spans="1:11" ht="15" x14ac:dyDescent="0.25">
      <c r="A1782" s="3" t="str">
        <f>HYPERLINK("proteomic_fractions_linear_files/Yang_linear_img/6681179.jpg", "6681179")</f>
        <v>6681179</v>
      </c>
      <c r="C1782" s="3" t="str">
        <f>HYPERLINK("http://www.ncbi.nlm.nih.gov/protein/6681179","Dhcr7")</f>
        <v>Dhcr7</v>
      </c>
      <c r="E1782" t="str">
        <f>HYPERLINK("J:\Depot - mpkCCD Fractions\Main Web Page\Web Pages_old\proteomic_fractions_linear_files/Yang_linear_img/6681179.jpg","show blot")</f>
        <v>show blot</v>
      </c>
      <c r="G1782" t="s">
        <v>1770</v>
      </c>
      <c r="I1782" s="6">
        <v>3.5475600026283196</v>
      </c>
      <c r="K1782" s="8"/>
    </row>
    <row r="1783" spans="1:11" ht="15" x14ac:dyDescent="0.25">
      <c r="A1783" s="3" t="str">
        <f>HYPERLINK("proteomic_fractions_linear_files/Yang_linear_img/7106289.jpg", "7106289")</f>
        <v>7106289</v>
      </c>
      <c r="C1783" s="3" t="str">
        <f>HYPERLINK("http://www.ncbi.nlm.nih.gov/protein/7106289","Dhfr")</f>
        <v>Dhfr</v>
      </c>
      <c r="E1783" t="str">
        <f>HYPERLINK("J:\Depot - mpkCCD Fractions\Main Web Page\Web Pages_old\proteomic_fractions_linear_files/Yang_linear_img/7106289.jpg","show blot")</f>
        <v>show blot</v>
      </c>
      <c r="G1783" t="s">
        <v>1771</v>
      </c>
      <c r="I1783" s="6">
        <v>5.9117592720730503</v>
      </c>
      <c r="K1783" s="8"/>
    </row>
    <row r="1784" spans="1:11" ht="15" x14ac:dyDescent="0.25">
      <c r="A1784" s="3" t="str">
        <f>HYPERLINK("proteomic_fractions_linear_files/Yang_linear_img/9910194.jpg", "9910194")</f>
        <v>9910194</v>
      </c>
      <c r="C1784" s="3" t="str">
        <f>HYPERLINK("http://www.ncbi.nlm.nih.gov/protein/9910194","Dhodh")</f>
        <v>Dhodh</v>
      </c>
      <c r="E1784" t="str">
        <f>HYPERLINK("J:\Depot - mpkCCD Fractions\Main Web Page\Web Pages_old\proteomic_fractions_linear_files/Yang_linear_img/9910194.jpg","show blot")</f>
        <v>show blot</v>
      </c>
      <c r="G1784" t="s">
        <v>1772</v>
      </c>
      <c r="I1784" s="6">
        <v>3.572505617577677</v>
      </c>
      <c r="K1784" s="8"/>
    </row>
    <row r="1785" spans="1:11" ht="15" x14ac:dyDescent="0.25">
      <c r="A1785" s="3" t="str">
        <f>HYPERLINK("proteomic_fractions_linear_files/Yang_linear_img/87252720.jpg", "87252720")</f>
        <v>87252720</v>
      </c>
      <c r="C1785" s="3" t="str">
        <f>HYPERLINK("http://www.ncbi.nlm.nih.gov/protein/87252720","Dhps")</f>
        <v>Dhps</v>
      </c>
      <c r="E1785" t="str">
        <f>HYPERLINK("J:\Depot - mpkCCD Fractions\Main Web Page\Web Pages_old\proteomic_fractions_linear_files/Yang_linear_img/87252720.jpg","show blot")</f>
        <v>show blot</v>
      </c>
      <c r="G1785" t="s">
        <v>1773</v>
      </c>
      <c r="I1785" s="6">
        <v>4.1176025142152231</v>
      </c>
      <c r="K1785" s="8"/>
    </row>
    <row r="1786" spans="1:11" ht="15" x14ac:dyDescent="0.25">
      <c r="A1786" s="3" t="str">
        <f>HYPERLINK("proteomic_fractions_linear_files/Yang_linear_img/31980844.jpg", "31980844")</f>
        <v>31980844</v>
      </c>
      <c r="C1786" s="3" t="str">
        <f>HYPERLINK("http://www.ncbi.nlm.nih.gov/protein/31980844","Dhrs1")</f>
        <v>Dhrs1</v>
      </c>
      <c r="E1786" t="str">
        <f>HYPERLINK("J:\Depot - mpkCCD Fractions\Main Web Page\Web Pages_old\proteomic_fractions_linear_files/Yang_linear_img/31980844.jpg","show blot")</f>
        <v>show blot</v>
      </c>
      <c r="G1786" t="s">
        <v>1774</v>
      </c>
      <c r="I1786" s="6">
        <v>5.6593379373423254</v>
      </c>
      <c r="K1786" s="8"/>
    </row>
    <row r="1787" spans="1:11" ht="15" x14ac:dyDescent="0.25">
      <c r="A1787" s="3" t="str">
        <f>HYPERLINK("proteomic_fractions_linear_files/Yang_linear_img/109715818.jpg", "109715818")</f>
        <v>109715818</v>
      </c>
      <c r="C1787" s="3" t="str">
        <f>HYPERLINK("http://www.ncbi.nlm.nih.gov/protein/109715818","Dhrs11")</f>
        <v>Dhrs11</v>
      </c>
      <c r="E1787" t="str">
        <f>HYPERLINK("J:\Depot - mpkCCD Fractions\Main Web Page\Web Pages_old\proteomic_fractions_linear_files/Yang_linear_img/109715818.jpg","show blot")</f>
        <v>show blot</v>
      </c>
      <c r="G1787" t="s">
        <v>1775</v>
      </c>
      <c r="I1787" s="6">
        <v>4.3549896592554864</v>
      </c>
      <c r="K1787" s="8"/>
    </row>
    <row r="1788" spans="1:11" ht="15" x14ac:dyDescent="0.25">
      <c r="A1788" s="3" t="str">
        <f>HYPERLINK("proteomic_fractions_linear_files/Yang_linear_img/117647267.jpg", "117647267")</f>
        <v>117647267</v>
      </c>
      <c r="C1788" s="3" t="str">
        <f>HYPERLINK("http://www.ncbi.nlm.nih.gov/protein/117647267","Dhrs13")</f>
        <v>Dhrs13</v>
      </c>
      <c r="E1788" t="str">
        <f>HYPERLINK("J:\Depot - mpkCCD Fractions\Main Web Page\Web Pages_old\proteomic_fractions_linear_files/Yang_linear_img/117647267.jpg","show blot")</f>
        <v>show blot</v>
      </c>
      <c r="G1788" t="s">
        <v>1776</v>
      </c>
      <c r="I1788" s="6">
        <v>4.036170132859918</v>
      </c>
      <c r="K1788" s="8"/>
    </row>
    <row r="1789" spans="1:11" ht="15" x14ac:dyDescent="0.25">
      <c r="A1789" s="3" t="str">
        <f>HYPERLINK("proteomic_fractions_linear_files/Yang_linear_img/289063391.jpg", "289063391")</f>
        <v>289063391</v>
      </c>
      <c r="C1789" s="3" t="str">
        <f>HYPERLINK("http://www.ncbi.nlm.nih.gov/protein/289063391","Dhrs3")</f>
        <v>Dhrs3</v>
      </c>
      <c r="E1789" t="str">
        <f>HYPERLINK("J:\Depot - mpkCCD Fractions\Main Web Page\Web Pages_old\proteomic_fractions_linear_files/Yang_linear_img/289063391.jpg","show blot")</f>
        <v>show blot</v>
      </c>
      <c r="G1789" t="s">
        <v>1777</v>
      </c>
      <c r="I1789" s="6">
        <v>4.1835963732250327</v>
      </c>
      <c r="K1789" s="8"/>
    </row>
    <row r="1790" spans="1:11" ht="15" x14ac:dyDescent="0.25">
      <c r="A1790" s="3" t="str">
        <f>HYPERLINK("proteomic_fractions_linear_files/Yang_linear_img/6755380.jpg", "6755380")</f>
        <v>6755380</v>
      </c>
      <c r="C1790" s="3" t="str">
        <f>HYPERLINK("http://www.ncbi.nlm.nih.gov/protein/6755380","Dhrs3")</f>
        <v>Dhrs3</v>
      </c>
      <c r="E1790" t="str">
        <f>HYPERLINK("J:\Depot - mpkCCD Fractions\Main Web Page\Web Pages_old\proteomic_fractions_linear_files/Yang_linear_img/6755380.jpg","show blot")</f>
        <v>show blot</v>
      </c>
      <c r="G1790" t="s">
        <v>1778</v>
      </c>
      <c r="I1790" s="6">
        <v>4.1835963732250327</v>
      </c>
      <c r="K1790" s="8"/>
    </row>
    <row r="1791" spans="1:11" ht="15" x14ac:dyDescent="0.25">
      <c r="A1791" s="3" t="str">
        <f>HYPERLINK("proteomic_fractions_linear_files/Yang_linear_img/13507612.jpg", "13507612")</f>
        <v>13507612</v>
      </c>
      <c r="C1791" s="3" t="str">
        <f>HYPERLINK("http://www.ncbi.nlm.nih.gov/protein/13507612","Dhrs4")</f>
        <v>Dhrs4</v>
      </c>
      <c r="E1791" t="str">
        <f>HYPERLINK("J:\Depot - mpkCCD Fractions\Main Web Page\Web Pages_old\proteomic_fractions_linear_files/Yang_linear_img/13507612.jpg","show blot")</f>
        <v>show blot</v>
      </c>
      <c r="G1791" t="s">
        <v>1779</v>
      </c>
      <c r="I1791" s="6">
        <v>5.7667152900888654</v>
      </c>
      <c r="K1791" s="8"/>
    </row>
    <row r="1792" spans="1:11" ht="15" x14ac:dyDescent="0.25">
      <c r="A1792" s="3" t="str">
        <f>HYPERLINK("proteomic_fractions_linear_files/Yang_linear_img/256220343.jpg", "256220343")</f>
        <v>256220343</v>
      </c>
      <c r="C1792" s="3" t="str">
        <f>HYPERLINK("http://www.ncbi.nlm.nih.gov/protein/256220343","Dhrs4")</f>
        <v>Dhrs4</v>
      </c>
      <c r="E1792" t="str">
        <f>HYPERLINK("J:\Depot - mpkCCD Fractions\Main Web Page\Web Pages_old\proteomic_fractions_linear_files/Yang_linear_img/256220343.jpg","show blot")</f>
        <v>show blot</v>
      </c>
      <c r="G1792" t="s">
        <v>1780</v>
      </c>
      <c r="I1792" s="6">
        <v>5.7667152900888654</v>
      </c>
      <c r="K1792" s="8"/>
    </row>
    <row r="1793" spans="1:11" ht="15" x14ac:dyDescent="0.25">
      <c r="A1793" s="3" t="str">
        <f>HYPERLINK("proteomic_fractions_linear_files/Yang_linear_img/226958616.jpg", "226958616")</f>
        <v>226958616</v>
      </c>
      <c r="C1793" s="3" t="str">
        <f>HYPERLINK("http://www.ncbi.nlm.nih.gov/protein/226958616","Dhrs7")</f>
        <v>Dhrs7</v>
      </c>
      <c r="E1793" t="str">
        <f>HYPERLINK("J:\Depot - mpkCCD Fractions\Main Web Page\Web Pages_old\proteomic_fractions_linear_files/Yang_linear_img/226958616.jpg","show blot")</f>
        <v>show blot</v>
      </c>
      <c r="G1793" t="s">
        <v>1781</v>
      </c>
      <c r="I1793" s="6">
        <v>3.8127521747080682</v>
      </c>
      <c r="K1793" s="8"/>
    </row>
    <row r="1794" spans="1:11" ht="15" x14ac:dyDescent="0.25">
      <c r="A1794" s="3" t="str">
        <f>HYPERLINK("proteomic_fractions_linear_files/Yang_linear_img/21703854.jpg", "21703854")</f>
        <v>21703854</v>
      </c>
      <c r="C1794" s="3" t="str">
        <f>HYPERLINK("http://www.ncbi.nlm.nih.gov/protein/21703854","Dhrs7b")</f>
        <v>Dhrs7b</v>
      </c>
      <c r="E1794" t="str">
        <f>HYPERLINK("J:\Depot - mpkCCD Fractions\Main Web Page\Web Pages_old\proteomic_fractions_linear_files/Yang_linear_img/21703854.jpg","show blot")</f>
        <v>show blot</v>
      </c>
      <c r="G1794" t="s">
        <v>1782</v>
      </c>
      <c r="I1794" s="6">
        <v>4.5238237690534522</v>
      </c>
      <c r="K1794" s="8"/>
    </row>
    <row r="1795" spans="1:11" ht="15" x14ac:dyDescent="0.25">
      <c r="A1795" s="3" t="str">
        <f>HYPERLINK("proteomic_fractions_linear_files/Yang_linear_img/285403538.jpg", "285403538")</f>
        <v>285403538</v>
      </c>
      <c r="C1795" s="3" t="str">
        <f>HYPERLINK("http://www.ncbi.nlm.nih.gov/protein/285403538","Dhrs7b")</f>
        <v>Dhrs7b</v>
      </c>
      <c r="E1795" t="str">
        <f>HYPERLINK("J:\Depot - mpkCCD Fractions\Main Web Page\Web Pages_old\proteomic_fractions_linear_files/Yang_linear_img/285403538.jpg","show blot")</f>
        <v>show blot</v>
      </c>
      <c r="G1795" t="s">
        <v>1783</v>
      </c>
      <c r="I1795" s="6">
        <v>4.5238237690534522</v>
      </c>
      <c r="K1795" s="8"/>
    </row>
    <row r="1796" spans="1:11" ht="15" x14ac:dyDescent="0.25">
      <c r="A1796" s="3" t="str">
        <f>HYPERLINK("proteomic_fractions_linear_files/Yang_linear_img/110835723.jpg", "110835723")</f>
        <v>110835723</v>
      </c>
      <c r="C1796" s="3" t="str">
        <f>HYPERLINK("http://www.ncbi.nlm.nih.gov/protein/110835723","Dhx15")</f>
        <v>Dhx15</v>
      </c>
      <c r="E1796" t="str">
        <f>HYPERLINK("J:\Depot - mpkCCD Fractions\Main Web Page\Web Pages_old\proteomic_fractions_linear_files/Yang_linear_img/110835723.jpg","show blot")</f>
        <v>show blot</v>
      </c>
      <c r="G1796" t="s">
        <v>1784</v>
      </c>
      <c r="I1796" s="6">
        <v>5.7273333481379796</v>
      </c>
      <c r="K1796" s="8"/>
    </row>
    <row r="1797" spans="1:11" ht="15" x14ac:dyDescent="0.25">
      <c r="A1797" s="3" t="str">
        <f>HYPERLINK("proteomic_fractions_linear_files/Yang_linear_img/110835726.jpg", "110835726")</f>
        <v>110835726</v>
      </c>
      <c r="C1797" s="3" t="str">
        <f>HYPERLINK("http://www.ncbi.nlm.nih.gov/protein/110835726","Dhx15")</f>
        <v>Dhx15</v>
      </c>
      <c r="E1797" t="str">
        <f>HYPERLINK("J:\Depot - mpkCCD Fractions\Main Web Page\Web Pages_old\proteomic_fractions_linear_files/Yang_linear_img/110835726.jpg","show blot")</f>
        <v>show blot</v>
      </c>
      <c r="G1797" t="s">
        <v>1785</v>
      </c>
      <c r="I1797" s="6">
        <v>5.7273333481379796</v>
      </c>
      <c r="K1797" s="8"/>
    </row>
    <row r="1798" spans="1:11" ht="15" x14ac:dyDescent="0.25">
      <c r="A1798" s="3" t="str">
        <f>HYPERLINK("proteomic_fractions_linear_files/Yang_linear_img/226246667.jpg", "226246667")</f>
        <v>226246667</v>
      </c>
      <c r="C1798" s="3" t="str">
        <f>HYPERLINK("http://www.ncbi.nlm.nih.gov/protein/226246667","Dhx16")</f>
        <v>Dhx16</v>
      </c>
      <c r="E1798" t="str">
        <f>HYPERLINK("J:\Depot - mpkCCD Fractions\Main Web Page\Web Pages_old\proteomic_fractions_linear_files/Yang_linear_img/226246667.jpg","show blot")</f>
        <v>show blot</v>
      </c>
      <c r="G1798" t="s">
        <v>1786</v>
      </c>
      <c r="I1798" s="6">
        <v>3.7601695318006665</v>
      </c>
      <c r="K1798" s="8"/>
    </row>
    <row r="1799" spans="1:11" ht="15" x14ac:dyDescent="0.25">
      <c r="A1799" s="3" t="str">
        <f>HYPERLINK("proteomic_fractions_linear_files/Yang_linear_img/46852276.jpg", "46852276")</f>
        <v>46852276</v>
      </c>
      <c r="C1799" s="3" t="str">
        <f>HYPERLINK("http://www.ncbi.nlm.nih.gov/protein/46852276","Dhx29")</f>
        <v>Dhx29</v>
      </c>
      <c r="E1799" t="str">
        <f>HYPERLINK("J:\Depot - mpkCCD Fractions\Main Web Page\Web Pages_old\proteomic_fractions_linear_files/Yang_linear_img/46852276.jpg","show blot")</f>
        <v>show blot</v>
      </c>
      <c r="G1799" t="s">
        <v>1787</v>
      </c>
      <c r="I1799" s="6">
        <v>3.9475666833524579</v>
      </c>
      <c r="K1799" s="8"/>
    </row>
    <row r="1800" spans="1:11" ht="15" x14ac:dyDescent="0.25">
      <c r="A1800" s="3" t="str">
        <f>HYPERLINK("proteomic_fractions_linear_files/Yang_linear_img/19111156.jpg", "19111156")</f>
        <v>19111156</v>
      </c>
      <c r="C1800" s="3" t="str">
        <f>HYPERLINK("http://www.ncbi.nlm.nih.gov/protein/19111156","Dhx30")</f>
        <v>Dhx30</v>
      </c>
      <c r="E1800" t="str">
        <f>HYPERLINK("J:\Depot - mpkCCD Fractions\Main Web Page\Web Pages_old\proteomic_fractions_linear_files/Yang_linear_img/19111156.jpg","show blot")</f>
        <v>show blot</v>
      </c>
      <c r="G1800" t="s">
        <v>1788</v>
      </c>
      <c r="I1800" s="6">
        <v>4.5965015832930529</v>
      </c>
      <c r="K1800" s="8"/>
    </row>
    <row r="1801" spans="1:11" ht="15" x14ac:dyDescent="0.25">
      <c r="A1801" s="3" t="str">
        <f>HYPERLINK("proteomic_fractions_linear_files/Yang_linear_img/358248315.jpg", "358248315")</f>
        <v>358248315</v>
      </c>
      <c r="C1801" s="3" t="str">
        <f>HYPERLINK("http://www.ncbi.nlm.nih.gov/protein/358248315","Dhx30")</f>
        <v>Dhx30</v>
      </c>
      <c r="E1801" t="str">
        <f>HYPERLINK("J:\Depot - mpkCCD Fractions\Main Web Page\Web Pages_old\proteomic_fractions_linear_files/Yang_linear_img/358248315.jpg","show blot")</f>
        <v>show blot</v>
      </c>
      <c r="G1801" t="s">
        <v>1789</v>
      </c>
      <c r="I1801" s="6">
        <v>4.5965015832930529</v>
      </c>
      <c r="K1801" s="8"/>
    </row>
    <row r="1802" spans="1:11" ht="15" x14ac:dyDescent="0.25">
      <c r="A1802" s="3" t="str">
        <f>HYPERLINK("proteomic_fractions_linear_files/Yang_linear_img/358248329.jpg", "358248329")</f>
        <v>358248329</v>
      </c>
      <c r="C1802" s="3" t="str">
        <f>HYPERLINK("http://www.ncbi.nlm.nih.gov/protein/358248329","Dhx30")</f>
        <v>Dhx30</v>
      </c>
      <c r="E1802" t="str">
        <f>HYPERLINK("J:\Depot - mpkCCD Fractions\Main Web Page\Web Pages_old\proteomic_fractions_linear_files/Yang_linear_img/358248329.jpg","show blot")</f>
        <v>show blot</v>
      </c>
      <c r="G1802" t="s">
        <v>1790</v>
      </c>
      <c r="I1802" s="6">
        <v>4.5965015832930529</v>
      </c>
      <c r="K1802" s="8"/>
    </row>
    <row r="1803" spans="1:11" ht="15" x14ac:dyDescent="0.25">
      <c r="A1803" s="3" t="str">
        <f>HYPERLINK("proteomic_fractions_linear_files/Yang_linear_img/21919420.jpg", "21919420")</f>
        <v>21919420</v>
      </c>
      <c r="C1803" s="3" t="str">
        <f>HYPERLINK("http://www.ncbi.nlm.nih.gov/protein/21919420","Dhx35")</f>
        <v>Dhx35</v>
      </c>
      <c r="E1803" t="str">
        <f>HYPERLINK("J:\Depot - mpkCCD Fractions\Main Web Page\Web Pages_old\proteomic_fractions_linear_files/Yang_linear_img/21919420.jpg","show blot")</f>
        <v>show blot</v>
      </c>
      <c r="G1803" t="s">
        <v>1791</v>
      </c>
      <c r="I1803" s="6">
        <v>3.2993208883689795</v>
      </c>
      <c r="K1803" s="8"/>
    </row>
    <row r="1804" spans="1:11" ht="15" x14ac:dyDescent="0.25">
      <c r="A1804" s="3" t="str">
        <f>HYPERLINK("proteomic_fractions_linear_files/Yang_linear_img/240848573.jpg", "240848573")</f>
        <v>240848573</v>
      </c>
      <c r="C1804" s="3" t="str">
        <f>HYPERLINK("http://www.ncbi.nlm.nih.gov/protein/240848573","Dhx36")</f>
        <v>Dhx36</v>
      </c>
      <c r="E1804" t="str">
        <f>HYPERLINK("J:\Depot - mpkCCD Fractions\Main Web Page\Web Pages_old\proteomic_fractions_linear_files/Yang_linear_img/240848573.jpg","show blot")</f>
        <v>show blot</v>
      </c>
      <c r="G1804" t="s">
        <v>1792</v>
      </c>
      <c r="I1804" s="6">
        <v>4.5670822996855636</v>
      </c>
      <c r="K1804" s="8"/>
    </row>
    <row r="1805" spans="1:11" ht="15" x14ac:dyDescent="0.25">
      <c r="A1805" s="3" t="str">
        <f>HYPERLINK("proteomic_fractions_linear_files/Yang_linear_img/42600571.jpg", "42600571")</f>
        <v>42600571</v>
      </c>
      <c r="C1805" s="3" t="str">
        <f>HYPERLINK("http://www.ncbi.nlm.nih.gov/protein/42600571","Dhx37")</f>
        <v>Dhx37</v>
      </c>
      <c r="E1805" t="str">
        <f>HYPERLINK("J:\Depot - mpkCCD Fractions\Main Web Page\Web Pages_old\proteomic_fractions_linear_files/Yang_linear_img/42600571.jpg","show blot")</f>
        <v>show blot</v>
      </c>
      <c r="G1805" t="s">
        <v>1793</v>
      </c>
      <c r="I1805" s="6">
        <v>1.8027202901049624</v>
      </c>
      <c r="K1805" s="8"/>
    </row>
    <row r="1806" spans="1:11" ht="15" x14ac:dyDescent="0.25">
      <c r="A1806" s="3" t="str">
        <f>HYPERLINK("proteomic_fractions_linear_files/Yang_linear_img/30410010.jpg", "30410010")</f>
        <v>30410010</v>
      </c>
      <c r="C1806" s="3" t="str">
        <f>HYPERLINK("http://www.ncbi.nlm.nih.gov/protein/30410010","Dhx38")</f>
        <v>Dhx38</v>
      </c>
      <c r="E1806" t="str">
        <f>HYPERLINK("J:\Depot - mpkCCD Fractions\Main Web Page\Web Pages_old\proteomic_fractions_linear_files/Yang_linear_img/30410010.jpg","show blot")</f>
        <v>show blot</v>
      </c>
      <c r="G1806" t="s">
        <v>1794</v>
      </c>
      <c r="I1806" s="6">
        <v>4.5794978373339479</v>
      </c>
      <c r="K1806" s="8"/>
    </row>
    <row r="1807" spans="1:11" ht="15" x14ac:dyDescent="0.25">
      <c r="A1807" s="3" t="str">
        <f>HYPERLINK("proteomic_fractions_linear_files/Yang_linear_img/144926009.jpg", "144926009")</f>
        <v>144926009</v>
      </c>
      <c r="C1807" s="3" t="str">
        <f>HYPERLINK("http://www.ncbi.nlm.nih.gov/protein/144926009","Dhx40")</f>
        <v>Dhx40</v>
      </c>
      <c r="E1807" t="str">
        <f>HYPERLINK("J:\Depot - mpkCCD Fractions\Main Web Page\Web Pages_old\proteomic_fractions_linear_files/Yang_linear_img/144926009.jpg","show blot")</f>
        <v>show blot</v>
      </c>
      <c r="G1807" t="s">
        <v>1795</v>
      </c>
      <c r="I1807" s="6">
        <v>3.5045095416012684</v>
      </c>
      <c r="K1807" s="8"/>
    </row>
    <row r="1808" spans="1:11" ht="15" x14ac:dyDescent="0.25">
      <c r="A1808" s="3" t="str">
        <f>HYPERLINK("proteomic_fractions_linear_files/Yang_linear_img/254939651.jpg", "254939651")</f>
        <v>254939651</v>
      </c>
      <c r="C1808" s="3" t="str">
        <f>HYPERLINK("http://www.ncbi.nlm.nih.gov/protein/254939651","Dhx57")</f>
        <v>Dhx57</v>
      </c>
      <c r="E1808" t="str">
        <f>HYPERLINK("J:\Depot - mpkCCD Fractions\Main Web Page\Web Pages_old\proteomic_fractions_linear_files/Yang_linear_img/254939651.jpg","show blot")</f>
        <v>show blot</v>
      </c>
      <c r="G1808" t="s">
        <v>1796</v>
      </c>
      <c r="I1808" s="6">
        <v>3.2158586379072149</v>
      </c>
      <c r="K1808" s="8"/>
    </row>
    <row r="1809" spans="1:11" ht="15" x14ac:dyDescent="0.25">
      <c r="A1809" s="3" t="str">
        <f>HYPERLINK("proteomic_fractions_linear_files/Yang_linear_img/254939654.jpg", "254939654")</f>
        <v>254939654</v>
      </c>
      <c r="C1809" s="3" t="str">
        <f>HYPERLINK("http://www.ncbi.nlm.nih.gov/protein/254939654","Dhx57")</f>
        <v>Dhx57</v>
      </c>
      <c r="E1809" t="str">
        <f>HYPERLINK("J:\Depot - mpkCCD Fractions\Main Web Page\Web Pages_old\proteomic_fractions_linear_files/Yang_linear_img/254939654.jpg","show blot")</f>
        <v>show blot</v>
      </c>
      <c r="G1809" t="s">
        <v>1797</v>
      </c>
      <c r="I1809" s="6">
        <v>3.2158586379072149</v>
      </c>
      <c r="K1809" s="8"/>
    </row>
    <row r="1810" spans="1:11" ht="15" x14ac:dyDescent="0.25">
      <c r="A1810" s="3" t="str">
        <f>HYPERLINK("proteomic_fractions_linear_files/Yang_linear_img/56699440.jpg", "56699440")</f>
        <v>56699440</v>
      </c>
      <c r="C1810" s="3" t="str">
        <f>HYPERLINK("http://www.ncbi.nlm.nih.gov/protein/56699440","Dhx8")</f>
        <v>Dhx8</v>
      </c>
      <c r="E1810" t="str">
        <f>HYPERLINK("J:\Depot - mpkCCD Fractions\Main Web Page\Web Pages_old\proteomic_fractions_linear_files/Yang_linear_img/56699440.jpg","show blot")</f>
        <v>show blot</v>
      </c>
      <c r="G1810" t="s">
        <v>1798</v>
      </c>
      <c r="I1810" s="6">
        <v>3.6753386413574738</v>
      </c>
      <c r="K1810" s="8"/>
    </row>
    <row r="1811" spans="1:11" ht="15" x14ac:dyDescent="0.25">
      <c r="A1811" s="3" t="str">
        <f>HYPERLINK("proteomic_fractions_linear_files/Yang_linear_img/150456419.jpg", "150456419")</f>
        <v>150456419</v>
      </c>
      <c r="C1811" s="3" t="str">
        <f>HYPERLINK("http://www.ncbi.nlm.nih.gov/protein/150456419","Dhx9")</f>
        <v>Dhx9</v>
      </c>
      <c r="E1811" t="str">
        <f>HYPERLINK("J:\Depot - mpkCCD Fractions\Main Web Page\Web Pages_old\proteomic_fractions_linear_files/Yang_linear_img/150456419.jpg","show blot")</f>
        <v>show blot</v>
      </c>
      <c r="G1811" t="s">
        <v>1799</v>
      </c>
      <c r="I1811" s="6">
        <v>6.1106323571449748</v>
      </c>
      <c r="K1811" s="8"/>
    </row>
    <row r="1812" spans="1:11" ht="15" x14ac:dyDescent="0.25">
      <c r="A1812" s="3" t="str">
        <f>HYPERLINK("proteomic_fractions_linear_files/Yang_linear_img/85677504.jpg", "85677504")</f>
        <v>85677504</v>
      </c>
      <c r="C1812" s="3" t="str">
        <f>HYPERLINK("http://www.ncbi.nlm.nih.gov/protein/85677504","Diablo")</f>
        <v>Diablo</v>
      </c>
      <c r="E1812" t="str">
        <f>HYPERLINK("J:\Depot - mpkCCD Fractions\Main Web Page\Web Pages_old\proteomic_fractions_linear_files/Yang_linear_img/85677504.jpg","show blot")</f>
        <v>show blot</v>
      </c>
      <c r="G1812" t="s">
        <v>1800</v>
      </c>
      <c r="I1812" s="6">
        <v>4.1399039815435446</v>
      </c>
      <c r="K1812" s="8"/>
    </row>
    <row r="1813" spans="1:11" ht="15" x14ac:dyDescent="0.25">
      <c r="A1813" s="3" t="str">
        <f>HYPERLINK("proteomic_fractions_linear_files/Yang_linear_img/6681183.jpg", "6681183")</f>
        <v>6681183</v>
      </c>
      <c r="C1813" s="3" t="str">
        <f>HYPERLINK("http://www.ncbi.nlm.nih.gov/protein/6681183","Diap1")</f>
        <v>Diap1</v>
      </c>
      <c r="E1813" t="str">
        <f>HYPERLINK("J:\Depot - mpkCCD Fractions\Main Web Page\Web Pages_old\proteomic_fractions_linear_files/Yang_linear_img/6681183.jpg","show blot")</f>
        <v>show blot</v>
      </c>
      <c r="G1813" t="s">
        <v>1801</v>
      </c>
      <c r="I1813" s="6">
        <v>4.8913570495711589</v>
      </c>
      <c r="K1813" s="8"/>
    </row>
    <row r="1814" spans="1:11" ht="15" x14ac:dyDescent="0.25">
      <c r="A1814" s="3" t="str">
        <f>HYPERLINK("proteomic_fractions_linear_files/Yang_linear_img/189491671.jpg", "189491671")</f>
        <v>189491671</v>
      </c>
      <c r="C1814" s="3" t="str">
        <f>HYPERLINK("http://www.ncbi.nlm.nih.gov/protein/189491671","Diap2")</f>
        <v>Diap2</v>
      </c>
      <c r="E1814" t="str">
        <f>HYPERLINK("J:\Depot - mpkCCD Fractions\Main Web Page\Web Pages_old\proteomic_fractions_linear_files/Yang_linear_img/189491671.jpg","show blot")</f>
        <v>show blot</v>
      </c>
      <c r="G1814" t="s">
        <v>1802</v>
      </c>
      <c r="I1814" s="6">
        <v>2.5519181979807444</v>
      </c>
      <c r="K1814" s="8"/>
    </row>
    <row r="1815" spans="1:11" ht="15" x14ac:dyDescent="0.25">
      <c r="A1815" s="3" t="str">
        <f>HYPERLINK("proteomic_fractions_linear_files/Yang_linear_img/9789931.jpg", "9789931")</f>
        <v>9789931</v>
      </c>
      <c r="C1815" s="3" t="str">
        <f>HYPERLINK("http://www.ncbi.nlm.nih.gov/protein/9789931","Diap3")</f>
        <v>Diap3</v>
      </c>
      <c r="E1815" t="str">
        <f>HYPERLINK("J:\Depot - mpkCCD Fractions\Main Web Page\Web Pages_old\proteomic_fractions_linear_files/Yang_linear_img/9789931.jpg","show blot")</f>
        <v>show blot</v>
      </c>
      <c r="G1815" t="s">
        <v>1803</v>
      </c>
      <c r="I1815" s="6">
        <v>2.2959443693792045</v>
      </c>
      <c r="K1815" s="8"/>
    </row>
    <row r="1816" spans="1:11" ht="15" x14ac:dyDescent="0.25">
      <c r="A1816" s="3" t="str">
        <f>HYPERLINK("proteomic_fractions_linear_files/Yang_linear_img/117168271.jpg", "117168271")</f>
        <v>117168271</v>
      </c>
      <c r="C1816" s="3" t="str">
        <f>HYPERLINK("http://www.ncbi.nlm.nih.gov/protein/117168271","Dicer1")</f>
        <v>Dicer1</v>
      </c>
      <c r="E1816" t="str">
        <f>HYPERLINK("J:\Depot - mpkCCD Fractions\Main Web Page\Web Pages_old\proteomic_fractions_linear_files/Yang_linear_img/117168271.jpg","show blot")</f>
        <v>show blot</v>
      </c>
      <c r="G1816" t="s">
        <v>1804</v>
      </c>
      <c r="I1816" s="6">
        <v>3.9848927724485721</v>
      </c>
      <c r="K1816" s="8"/>
    </row>
    <row r="1817" spans="1:11" ht="15" x14ac:dyDescent="0.25">
      <c r="A1817" s="3" t="str">
        <f>HYPERLINK("proteomic_fractions_linear_files/Yang_linear_img/51571541.jpg", "51571541")</f>
        <v>51571541</v>
      </c>
      <c r="C1817" s="3" t="str">
        <f>HYPERLINK("http://www.ncbi.nlm.nih.gov/protein/51571541","Dido1")</f>
        <v>Dido1</v>
      </c>
      <c r="E1817" t="str">
        <f>HYPERLINK("J:\Depot - mpkCCD Fractions\Main Web Page\Web Pages_old\proteomic_fractions_linear_files/Yang_linear_img/51571541.jpg","show blot")</f>
        <v>show blot</v>
      </c>
      <c r="G1817" t="s">
        <v>1805</v>
      </c>
      <c r="I1817" s="6">
        <v>2.7662612864675769</v>
      </c>
      <c r="K1817" s="8"/>
    </row>
    <row r="1818" spans="1:11" ht="15" x14ac:dyDescent="0.25">
      <c r="A1818" s="3" t="str">
        <f>HYPERLINK("proteomic_fractions_linear_files/Yang_linear_img/76096375.jpg", "76096375")</f>
        <v>76096375</v>
      </c>
      <c r="C1818" s="3" t="str">
        <f>HYPERLINK("http://www.ncbi.nlm.nih.gov/protein/76096375","Dido1")</f>
        <v>Dido1</v>
      </c>
      <c r="E1818" t="str">
        <f>HYPERLINK("J:\Depot - mpkCCD Fractions\Main Web Page\Web Pages_old\proteomic_fractions_linear_files/Yang_linear_img/76096375.jpg","show blot")</f>
        <v>show blot</v>
      </c>
      <c r="G1818" t="s">
        <v>1806</v>
      </c>
      <c r="I1818" s="6">
        <v>2.7662612864675769</v>
      </c>
      <c r="K1818" s="8"/>
    </row>
    <row r="1819" spans="1:11" ht="15" x14ac:dyDescent="0.25">
      <c r="A1819" s="3" t="str">
        <f>HYPERLINK("proteomic_fractions_linear_files/Yang_linear_img/21313560.jpg", "21313560")</f>
        <v>21313560</v>
      </c>
      <c r="C1819" s="3" t="str">
        <f>HYPERLINK("http://www.ncbi.nlm.nih.gov/protein/21313560","Dimt1")</f>
        <v>Dimt1</v>
      </c>
      <c r="E1819" t="str">
        <f>HYPERLINK("J:\Depot - mpkCCD Fractions\Main Web Page\Web Pages_old\proteomic_fractions_linear_files/Yang_linear_img/21313560.jpg","show blot")</f>
        <v>show blot</v>
      </c>
      <c r="G1819" t="s">
        <v>1807</v>
      </c>
      <c r="I1819" s="6">
        <v>4.2884912483222966</v>
      </c>
      <c r="K1819" s="8"/>
    </row>
    <row r="1820" spans="1:11" ht="15" x14ac:dyDescent="0.25">
      <c r="A1820" s="3" t="str">
        <f>HYPERLINK("proteomic_fractions_linear_files/Yang_linear_img/359807008.jpg", "359807008")</f>
        <v>359807008</v>
      </c>
      <c r="C1820" s="3" t="str">
        <f>HYPERLINK("http://www.ncbi.nlm.nih.gov/protein/359807008","Dip2a")</f>
        <v>Dip2a</v>
      </c>
      <c r="E1820" t="str">
        <f>HYPERLINK("J:\Depot - mpkCCD Fractions\Main Web Page\Web Pages_old\proteomic_fractions_linear_files/Yang_linear_img/359807008.jpg","show blot")</f>
        <v>show blot</v>
      </c>
      <c r="G1820" t="s">
        <v>1808</v>
      </c>
      <c r="I1820" s="6">
        <v>2.1483068822706115</v>
      </c>
      <c r="K1820" s="8"/>
    </row>
    <row r="1821" spans="1:11" ht="15" x14ac:dyDescent="0.25">
      <c r="A1821" s="3" t="str">
        <f>HYPERLINK("proteomic_fractions_linear_files/Yang_linear_img/226823258.jpg", "226823258")</f>
        <v>226823258</v>
      </c>
      <c r="C1821" s="3" t="str">
        <f>HYPERLINK("http://www.ncbi.nlm.nih.gov/protein/226823258","Dip2b")</f>
        <v>Dip2b</v>
      </c>
      <c r="E1821" t="str">
        <f>HYPERLINK("J:\Depot - mpkCCD Fractions\Main Web Page\Web Pages_old\proteomic_fractions_linear_files/Yang_linear_img/226823258.jpg","show blot")</f>
        <v>show blot</v>
      </c>
      <c r="G1821" t="s">
        <v>1809</v>
      </c>
      <c r="I1821" s="6">
        <v>2.3604671835158491</v>
      </c>
      <c r="K1821" s="8"/>
    </row>
    <row r="1822" spans="1:11" ht="15" x14ac:dyDescent="0.25">
      <c r="A1822" s="3" t="str">
        <f>HYPERLINK("proteomic_fractions_linear_files/Yang_linear_img/226823266.jpg", "226823266")</f>
        <v>226823266</v>
      </c>
      <c r="C1822" s="3" t="str">
        <f>HYPERLINK("http://www.ncbi.nlm.nih.gov/protein/226823266","Dip2b")</f>
        <v>Dip2b</v>
      </c>
      <c r="E1822" t="str">
        <f>HYPERLINK("J:\Depot - mpkCCD Fractions\Main Web Page\Web Pages_old\proteomic_fractions_linear_files/Yang_linear_img/226823266.jpg","show blot")</f>
        <v>show blot</v>
      </c>
      <c r="G1822" t="s">
        <v>1810</v>
      </c>
      <c r="I1822" s="6">
        <v>2.3604671835158491</v>
      </c>
      <c r="K1822" s="8"/>
    </row>
    <row r="1823" spans="1:11" ht="15" x14ac:dyDescent="0.25">
      <c r="A1823" s="3" t="str">
        <f>HYPERLINK("proteomic_fractions_linear_files/Yang_linear_img/21644583.jpg", "21644583")</f>
        <v>21644583</v>
      </c>
      <c r="C1823" s="3" t="str">
        <f>HYPERLINK("http://www.ncbi.nlm.nih.gov/protein/21644583","Diras1")</f>
        <v>Diras1</v>
      </c>
      <c r="E1823" t="str">
        <f>HYPERLINK("J:\Depot - mpkCCD Fractions\Main Web Page\Web Pages_old\proteomic_fractions_linear_files/Yang_linear_img/21644583.jpg","show blot")</f>
        <v>show blot</v>
      </c>
      <c r="G1823" t="s">
        <v>1811</v>
      </c>
      <c r="I1823" s="6">
        <v>3.9565422387410556</v>
      </c>
      <c r="K1823" s="8"/>
    </row>
    <row r="1824" spans="1:11" ht="15" x14ac:dyDescent="0.25">
      <c r="A1824" s="3" t="str">
        <f>HYPERLINK("proteomic_fractions_linear_files/Yang_linear_img/71725385.jpg", "71725385")</f>
        <v>71725385</v>
      </c>
      <c r="C1824" s="3" t="str">
        <f>HYPERLINK("http://www.ncbi.nlm.nih.gov/protein/71725385","Diras2")</f>
        <v>Diras2</v>
      </c>
      <c r="E1824" t="str">
        <f>HYPERLINK("J:\Depot - mpkCCD Fractions\Main Web Page\Web Pages_old\proteomic_fractions_linear_files/Yang_linear_img/71725385.jpg","show blot")</f>
        <v>show blot</v>
      </c>
      <c r="G1824" t="s">
        <v>1812</v>
      </c>
      <c r="I1824" s="6">
        <v>3.9565422387410556</v>
      </c>
      <c r="K1824" s="8"/>
    </row>
    <row r="1825" spans="1:11" ht="15" x14ac:dyDescent="0.25">
      <c r="A1825" s="3" t="str">
        <f>HYPERLINK("proteomic_fractions_linear_files/Yang_linear_img/145207992.jpg", "145207992")</f>
        <v>145207992</v>
      </c>
      <c r="C1825" s="3" t="str">
        <f>HYPERLINK("http://www.ncbi.nlm.nih.gov/protein/145207992","Dis3")</f>
        <v>Dis3</v>
      </c>
      <c r="E1825" t="str">
        <f>HYPERLINK("J:\Depot - mpkCCD Fractions\Main Web Page\Web Pages_old\proteomic_fractions_linear_files/Yang_linear_img/145207992.jpg","show blot")</f>
        <v>show blot</v>
      </c>
      <c r="G1825" t="s">
        <v>1813</v>
      </c>
      <c r="I1825" s="6">
        <v>5.1519180226434766</v>
      </c>
      <c r="K1825" s="8"/>
    </row>
    <row r="1826" spans="1:11" ht="15" x14ac:dyDescent="0.25">
      <c r="A1826" s="3" t="str">
        <f>HYPERLINK("proteomic_fractions_linear_files/Yang_linear_img/27369724.jpg", "27369724")</f>
        <v>27369724</v>
      </c>
      <c r="C1826" s="3" t="str">
        <f>HYPERLINK("http://www.ncbi.nlm.nih.gov/protein/27369724","Dis3l")</f>
        <v>Dis3l</v>
      </c>
      <c r="E1826" t="str">
        <f>HYPERLINK("J:\Depot - mpkCCD Fractions\Main Web Page\Web Pages_old\proteomic_fractions_linear_files/Yang_linear_img/27369724.jpg","show blot")</f>
        <v>show blot</v>
      </c>
      <c r="G1826" t="s">
        <v>1814</v>
      </c>
      <c r="I1826" s="6">
        <v>2.5869682380792129</v>
      </c>
      <c r="K1826" s="8"/>
    </row>
    <row r="1827" spans="1:11" ht="15" x14ac:dyDescent="0.25">
      <c r="A1827" s="3" t="str">
        <f>HYPERLINK("proteomic_fractions_linear_files/Yang_linear_img/295293138.jpg", "295293138")</f>
        <v>295293138</v>
      </c>
      <c r="C1827" s="3" t="str">
        <f>HYPERLINK("http://www.ncbi.nlm.nih.gov/protein/295293138","Dis3l")</f>
        <v>Dis3l</v>
      </c>
      <c r="E1827" t="str">
        <f>HYPERLINK("J:\Depot - mpkCCD Fractions\Main Web Page\Web Pages_old\proteomic_fractions_linear_files/Yang_linear_img/295293138.jpg","show blot")</f>
        <v>show blot</v>
      </c>
      <c r="G1827" t="s">
        <v>1815</v>
      </c>
      <c r="I1827" s="6">
        <v>2.5869682380792129</v>
      </c>
      <c r="K1827" s="8"/>
    </row>
    <row r="1828" spans="1:11" ht="15" x14ac:dyDescent="0.25">
      <c r="A1828" s="3" t="str">
        <f>HYPERLINK("proteomic_fractions_linear_files/Yang_linear_img/24233556.jpg", "24233556")</f>
        <v>24233556</v>
      </c>
      <c r="C1828" s="3" t="str">
        <f>HYPERLINK("http://www.ncbi.nlm.nih.gov/protein/24233556","Dis3l2")</f>
        <v>Dis3l2</v>
      </c>
      <c r="E1828" t="str">
        <f>HYPERLINK("J:\Depot - mpkCCD Fractions\Main Web Page\Web Pages_old\proteomic_fractions_linear_files/Yang_linear_img/24233556.jpg","show blot")</f>
        <v>show blot</v>
      </c>
      <c r="G1828" t="s">
        <v>1816</v>
      </c>
      <c r="I1828" s="6">
        <v>3.6236120754402337</v>
      </c>
      <c r="K1828" s="8"/>
    </row>
    <row r="1829" spans="1:11" ht="15" x14ac:dyDescent="0.25">
      <c r="A1829" s="3" t="str">
        <f>HYPERLINK("proteomic_fractions_linear_files/Yang_linear_img/288541376.jpg", "288541376")</f>
        <v>288541376</v>
      </c>
      <c r="C1829" s="3" t="str">
        <f>HYPERLINK("http://www.ncbi.nlm.nih.gov/protein/288541376","Dis3l2")</f>
        <v>Dis3l2</v>
      </c>
      <c r="E1829" t="str">
        <f>HYPERLINK("J:\Depot - mpkCCD Fractions\Main Web Page\Web Pages_old\proteomic_fractions_linear_files/Yang_linear_img/288541376.jpg","show blot")</f>
        <v>show blot</v>
      </c>
      <c r="G1829" t="s">
        <v>1817</v>
      </c>
      <c r="I1829" s="6">
        <v>3.6236120754402337</v>
      </c>
      <c r="K1829" s="8"/>
    </row>
    <row r="1830" spans="1:11" ht="15" x14ac:dyDescent="0.25">
      <c r="A1830" s="3" t="str">
        <f>HYPERLINK("proteomic_fractions_linear_files/Yang_linear_img/91064867.jpg", "91064867")</f>
        <v>91064867</v>
      </c>
      <c r="C1830" s="3" t="str">
        <f>HYPERLINK("http://www.ncbi.nlm.nih.gov/protein/91064867","Dkc1")</f>
        <v>Dkc1</v>
      </c>
      <c r="E1830" t="str">
        <f>HYPERLINK("J:\Depot - mpkCCD Fractions\Main Web Page\Web Pages_old\proteomic_fractions_linear_files/Yang_linear_img/91064867.jpg","show blot")</f>
        <v>show blot</v>
      </c>
      <c r="G1830" t="s">
        <v>1818</v>
      </c>
      <c r="I1830" s="6">
        <v>4.3561607983336064</v>
      </c>
      <c r="K1830" s="8"/>
    </row>
    <row r="1831" spans="1:11" ht="15" x14ac:dyDescent="0.25">
      <c r="A1831" s="3" t="str">
        <f>HYPERLINK("proteomic_fractions_linear_files/Yang_linear_img/257796245.jpg", "257796245")</f>
        <v>257796245</v>
      </c>
      <c r="C1831" s="3" t="str">
        <f>HYPERLINK("http://www.ncbi.nlm.nih.gov/protein/257796245","Dlat")</f>
        <v>Dlat</v>
      </c>
      <c r="E1831" t="str">
        <f>HYPERLINK("J:\Depot - mpkCCD Fractions\Main Web Page\Web Pages_old\proteomic_fractions_linear_files/Yang_linear_img/257796245.jpg","show blot")</f>
        <v>show blot</v>
      </c>
      <c r="G1831" t="s">
        <v>1819</v>
      </c>
      <c r="I1831" s="6">
        <v>5.7425226615891827</v>
      </c>
      <c r="K1831" s="8"/>
    </row>
    <row r="1832" spans="1:11" ht="15" x14ac:dyDescent="0.25">
      <c r="A1832" s="3" t="str">
        <f>HYPERLINK("proteomic_fractions_linear_files/Yang_linear_img/113195692.jpg", "113195692")</f>
        <v>113195692</v>
      </c>
      <c r="C1832" s="3" t="str">
        <f>HYPERLINK("http://www.ncbi.nlm.nih.gov/protein/113195692","Dlc1")</f>
        <v>Dlc1</v>
      </c>
      <c r="E1832" t="str">
        <f>HYPERLINK("J:\Depot - mpkCCD Fractions\Main Web Page\Web Pages_old\proteomic_fractions_linear_files/Yang_linear_img/113195692.jpg","show blot")</f>
        <v>show blot</v>
      </c>
      <c r="G1832" t="s">
        <v>1820</v>
      </c>
      <c r="I1832" s="6">
        <v>4.2463599374247991</v>
      </c>
      <c r="K1832" s="8"/>
    </row>
    <row r="1833" spans="1:11" ht="15" x14ac:dyDescent="0.25">
      <c r="A1833" s="3" t="str">
        <f>HYPERLINK("proteomic_fractions_linear_files/Yang_linear_img/302699221.jpg", "302699221")</f>
        <v>302699221</v>
      </c>
      <c r="C1833" s="3" t="str">
        <f>HYPERLINK("http://www.ncbi.nlm.nih.gov/protein/302699221","Dlc1")</f>
        <v>Dlc1</v>
      </c>
      <c r="E1833" t="str">
        <f>HYPERLINK("J:\Depot - mpkCCD Fractions\Main Web Page\Web Pages_old\proteomic_fractions_linear_files/Yang_linear_img/302699221.jpg","show blot")</f>
        <v>show blot</v>
      </c>
      <c r="G1833" t="s">
        <v>1821</v>
      </c>
      <c r="I1833" s="6">
        <v>4.2463599374247991</v>
      </c>
      <c r="K1833" s="8"/>
    </row>
    <row r="1834" spans="1:11" ht="15" x14ac:dyDescent="0.25">
      <c r="A1834" s="3" t="str">
        <f>HYPERLINK("proteomic_fractions_linear_files/Yang_linear_img/302699225.jpg", "302699225")</f>
        <v>302699225</v>
      </c>
      <c r="C1834" s="3" t="str">
        <f>HYPERLINK("http://www.ncbi.nlm.nih.gov/protein/302699225","Dlc1")</f>
        <v>Dlc1</v>
      </c>
      <c r="E1834" t="str">
        <f>HYPERLINK("J:\Depot - mpkCCD Fractions\Main Web Page\Web Pages_old\proteomic_fractions_linear_files/Yang_linear_img/302699225.jpg","show blot")</f>
        <v>show blot</v>
      </c>
      <c r="G1834" t="s">
        <v>1822</v>
      </c>
      <c r="I1834" s="6">
        <v>4.2463599374247991</v>
      </c>
      <c r="K1834" s="8"/>
    </row>
    <row r="1835" spans="1:11" ht="15" x14ac:dyDescent="0.25">
      <c r="A1835" s="3" t="str">
        <f>HYPERLINK("proteomic_fractions_linear_files/Yang_linear_img/31982856.jpg", "31982856")</f>
        <v>31982856</v>
      </c>
      <c r="C1835" s="3" t="str">
        <f>HYPERLINK("http://www.ncbi.nlm.nih.gov/protein/31982856","Dld")</f>
        <v>Dld</v>
      </c>
      <c r="E1835" t="str">
        <f>HYPERLINK("J:\Depot - mpkCCD Fractions\Main Web Page\Web Pages_old\proteomic_fractions_linear_files/Yang_linear_img/31982856.jpg","show blot")</f>
        <v>show blot</v>
      </c>
      <c r="G1835" t="s">
        <v>1823</v>
      </c>
      <c r="I1835" s="6">
        <v>6.1769717656467549</v>
      </c>
      <c r="K1835" s="8"/>
    </row>
    <row r="1836" spans="1:11" ht="15" x14ac:dyDescent="0.25">
      <c r="A1836" s="3" t="str">
        <f>HYPERLINK("proteomic_fractions_linear_files/Yang_linear_img/356995919.jpg", "356995919")</f>
        <v>356995919</v>
      </c>
      <c r="C1836" s="3" t="str">
        <f>HYPERLINK("http://www.ncbi.nlm.nih.gov/protein/356995919","Dlg1")</f>
        <v>Dlg1</v>
      </c>
      <c r="E1836" t="str">
        <f>HYPERLINK("J:\Depot - mpkCCD Fractions\Main Web Page\Web Pages_old\proteomic_fractions_linear_files/Yang_linear_img/356995919.jpg","show blot")</f>
        <v>show blot</v>
      </c>
      <c r="G1836" t="s">
        <v>1824</v>
      </c>
      <c r="I1836" s="6">
        <v>5.3252930679858999</v>
      </c>
      <c r="K1836" s="8"/>
    </row>
    <row r="1837" spans="1:11" ht="15" x14ac:dyDescent="0.25">
      <c r="A1837" s="3" t="str">
        <f>HYPERLINK("proteomic_fractions_linear_files/Yang_linear_img/356995921.jpg", "356995921")</f>
        <v>356995921</v>
      </c>
      <c r="C1837" s="3" t="str">
        <f>HYPERLINK("http://www.ncbi.nlm.nih.gov/protein/356995921","Dlg1")</f>
        <v>Dlg1</v>
      </c>
      <c r="E1837" t="str">
        <f>HYPERLINK("J:\Depot - mpkCCD Fractions\Main Web Page\Web Pages_old\proteomic_fractions_linear_files/Yang_linear_img/356995921.jpg","show blot")</f>
        <v>show blot</v>
      </c>
      <c r="G1837" t="s">
        <v>1825</v>
      </c>
      <c r="I1837" s="6">
        <v>5.3252930679858999</v>
      </c>
      <c r="K1837" s="8"/>
    </row>
    <row r="1838" spans="1:11" ht="15" x14ac:dyDescent="0.25">
      <c r="A1838" s="3" t="str">
        <f>HYPERLINK("proteomic_fractions_linear_files/Yang_linear_img/356995923.jpg", "356995923")</f>
        <v>356995923</v>
      </c>
      <c r="C1838" s="3" t="str">
        <f>HYPERLINK("http://www.ncbi.nlm.nih.gov/protein/356995923","Dlg1")</f>
        <v>Dlg1</v>
      </c>
      <c r="E1838" t="str">
        <f>HYPERLINK("J:\Depot - mpkCCD Fractions\Main Web Page\Web Pages_old\proteomic_fractions_linear_files/Yang_linear_img/356995923.jpg","show blot")</f>
        <v>show blot</v>
      </c>
      <c r="G1838" t="s">
        <v>1826</v>
      </c>
      <c r="I1838" s="6">
        <v>5.3252930679858999</v>
      </c>
      <c r="K1838" s="8"/>
    </row>
    <row r="1839" spans="1:11" ht="15" x14ac:dyDescent="0.25">
      <c r="A1839" s="3" t="str">
        <f>HYPERLINK("proteomic_fractions_linear_files/Yang_linear_img/356995917.jpg", "356995917")</f>
        <v>356995917</v>
      </c>
      <c r="C1839" s="3" t="str">
        <f>HYPERLINK("http://www.ncbi.nlm.nih.gov/protein/356995917","Dlg1")</f>
        <v>Dlg1</v>
      </c>
      <c r="E1839" t="str">
        <f>HYPERLINK("J:\Depot - mpkCCD Fractions\Main Web Page\Web Pages_old\proteomic_fractions_linear_files/Yang_linear_img/356995917.jpg","show blot")</f>
        <v>show blot</v>
      </c>
      <c r="G1839" t="s">
        <v>1827</v>
      </c>
      <c r="I1839" s="6">
        <v>5.3252930679858999</v>
      </c>
      <c r="K1839" s="8"/>
    </row>
    <row r="1840" spans="1:11" ht="15" x14ac:dyDescent="0.25">
      <c r="A1840" s="3" t="str">
        <f>HYPERLINK("proteomic_fractions_linear_files/Yang_linear_img/40254642.jpg", "40254642")</f>
        <v>40254642</v>
      </c>
      <c r="C1840" s="3" t="str">
        <f>HYPERLINK("http://www.ncbi.nlm.nih.gov/protein/40254642","Dlg1")</f>
        <v>Dlg1</v>
      </c>
      <c r="E1840" t="str">
        <f>HYPERLINK("J:\Depot - mpkCCD Fractions\Main Web Page\Web Pages_old\proteomic_fractions_linear_files/Yang_linear_img/40254642.jpg","show blot")</f>
        <v>show blot</v>
      </c>
      <c r="G1840" t="s">
        <v>1828</v>
      </c>
      <c r="I1840" s="6">
        <v>5.3252930679858999</v>
      </c>
      <c r="K1840" s="8"/>
    </row>
    <row r="1841" spans="1:11" ht="15" x14ac:dyDescent="0.25">
      <c r="A1841" s="3" t="str">
        <f>HYPERLINK("proteomic_fractions_linear_files/Yang_linear_img/118136297.jpg", "118136297")</f>
        <v>118136297</v>
      </c>
      <c r="C1841" s="3" t="str">
        <f>HYPERLINK("http://www.ncbi.nlm.nih.gov/protein/118136297","Dlg2")</f>
        <v>Dlg2</v>
      </c>
      <c r="E1841" t="str">
        <f>HYPERLINK("J:\Depot - mpkCCD Fractions\Main Web Page\Web Pages_old\proteomic_fractions_linear_files/Yang_linear_img/118136297.jpg","show blot")</f>
        <v>show blot</v>
      </c>
      <c r="G1841" t="s">
        <v>1829</v>
      </c>
      <c r="I1841" s="6">
        <v>4.5265696280521821</v>
      </c>
      <c r="K1841" s="8"/>
    </row>
    <row r="1842" spans="1:11" ht="15" x14ac:dyDescent="0.25">
      <c r="A1842" s="3" t="str">
        <f>HYPERLINK("proteomic_fractions_linear_files/Yang_linear_img/340007425.jpg", "340007425")</f>
        <v>340007425</v>
      </c>
      <c r="C1842" s="3" t="str">
        <f>HYPERLINK("http://www.ncbi.nlm.nih.gov/protein/340007425","Dlg2")</f>
        <v>Dlg2</v>
      </c>
      <c r="E1842" t="str">
        <f>HYPERLINK("J:\Depot - mpkCCD Fractions\Main Web Page\Web Pages_old\proteomic_fractions_linear_files/Yang_linear_img/340007425.jpg","show blot")</f>
        <v>show blot</v>
      </c>
      <c r="G1842" t="s">
        <v>1830</v>
      </c>
      <c r="I1842" s="6">
        <v>4.5265696280521821</v>
      </c>
      <c r="K1842" s="8"/>
    </row>
    <row r="1843" spans="1:11" ht="15" x14ac:dyDescent="0.25">
      <c r="A1843" s="3" t="str">
        <f>HYPERLINK("proteomic_fractions_linear_files/Yang_linear_img/340007427.jpg", "340007427")</f>
        <v>340007427</v>
      </c>
      <c r="C1843" s="3" t="str">
        <f>HYPERLINK("http://www.ncbi.nlm.nih.gov/protein/340007427","Dlg2")</f>
        <v>Dlg2</v>
      </c>
      <c r="E1843" t="str">
        <f>HYPERLINK("J:\Depot - mpkCCD Fractions\Main Web Page\Web Pages_old\proteomic_fractions_linear_files/Yang_linear_img/340007427.jpg","show blot")</f>
        <v>show blot</v>
      </c>
      <c r="G1843" t="s">
        <v>1831</v>
      </c>
      <c r="I1843" s="6">
        <v>4.5265696280521821</v>
      </c>
      <c r="K1843" s="8"/>
    </row>
    <row r="1844" spans="1:11" ht="15" x14ac:dyDescent="0.25">
      <c r="A1844" s="3" t="str">
        <f>HYPERLINK("proteomic_fractions_linear_files/Yang_linear_img/295293129.jpg", "295293129")</f>
        <v>295293129</v>
      </c>
      <c r="C1844" s="3" t="str">
        <f>HYPERLINK("http://www.ncbi.nlm.nih.gov/protein/295293129","Dlg3")</f>
        <v>Dlg3</v>
      </c>
      <c r="E1844" t="str">
        <f>HYPERLINK("J:\Depot - mpkCCD Fractions\Main Web Page\Web Pages_old\proteomic_fractions_linear_files/Yang_linear_img/295293129.jpg","show blot")</f>
        <v>show blot</v>
      </c>
      <c r="G1844" t="s">
        <v>1832</v>
      </c>
      <c r="I1844" s="6">
        <v>4.3907029219852074</v>
      </c>
      <c r="K1844" s="8"/>
    </row>
    <row r="1845" spans="1:11" ht="15" x14ac:dyDescent="0.25">
      <c r="A1845" s="3" t="str">
        <f>HYPERLINK("proteomic_fractions_linear_files/Yang_linear_img/295293124.jpg", "295293124")</f>
        <v>295293124</v>
      </c>
      <c r="C1845" s="3" t="str">
        <f>HYPERLINK("http://www.ncbi.nlm.nih.gov/protein/295293124","Dlg3")</f>
        <v>Dlg3</v>
      </c>
      <c r="E1845" t="str">
        <f>HYPERLINK("J:\Depot - mpkCCD Fractions\Main Web Page\Web Pages_old\proteomic_fractions_linear_files/Yang_linear_img/295293124.jpg","show blot")</f>
        <v>show blot</v>
      </c>
      <c r="G1845" t="s">
        <v>1833</v>
      </c>
      <c r="I1845" s="6">
        <v>4.3907029219852074</v>
      </c>
      <c r="K1845" s="8"/>
    </row>
    <row r="1846" spans="1:11" ht="15" x14ac:dyDescent="0.25">
      <c r="A1846" s="3" t="str">
        <f>HYPERLINK("proteomic_fractions_linear_files/Yang_linear_img/295293127.jpg", "295293127")</f>
        <v>295293127</v>
      </c>
      <c r="C1846" s="3" t="str">
        <f>HYPERLINK("http://www.ncbi.nlm.nih.gov/protein/295293127","Dlg3")</f>
        <v>Dlg3</v>
      </c>
      <c r="E1846" t="str">
        <f>HYPERLINK("J:\Depot - mpkCCD Fractions\Main Web Page\Web Pages_old\proteomic_fractions_linear_files/Yang_linear_img/295293127.jpg","show blot")</f>
        <v>show blot</v>
      </c>
      <c r="G1846" t="s">
        <v>1834</v>
      </c>
      <c r="I1846" s="6">
        <v>4.3907029219852074</v>
      </c>
      <c r="K1846" s="8"/>
    </row>
    <row r="1847" spans="1:11" ht="15" x14ac:dyDescent="0.25">
      <c r="A1847" s="3" t="str">
        <f>HYPERLINK("proteomic_fractions_linear_files/Yang_linear_img/7949129.jpg", "7949129")</f>
        <v>7949129</v>
      </c>
      <c r="C1847" s="3" t="str">
        <f>HYPERLINK("http://www.ncbi.nlm.nih.gov/protein/7949129","Dlg3")</f>
        <v>Dlg3</v>
      </c>
      <c r="E1847" t="str">
        <f>HYPERLINK("J:\Depot - mpkCCD Fractions\Main Web Page\Web Pages_old\proteomic_fractions_linear_files/Yang_linear_img/7949129.jpg","show blot")</f>
        <v>show blot</v>
      </c>
      <c r="G1847" t="s">
        <v>1835</v>
      </c>
      <c r="I1847" s="6">
        <v>4.3907029219852074</v>
      </c>
      <c r="K1847" s="8"/>
    </row>
    <row r="1848" spans="1:11" ht="15" x14ac:dyDescent="0.25">
      <c r="A1848" s="3" t="str">
        <f>HYPERLINK("proteomic_fractions_linear_files/Yang_linear_img/254588083.jpg", "254588083")</f>
        <v>254588083</v>
      </c>
      <c r="C1848" s="3" t="str">
        <f>HYPERLINK("http://www.ncbi.nlm.nih.gov/protein/254588083","Dlg5")</f>
        <v>Dlg5</v>
      </c>
      <c r="E1848" t="str">
        <f>HYPERLINK("J:\Depot - mpkCCD Fractions\Main Web Page\Web Pages_old\proteomic_fractions_linear_files/Yang_linear_img/254588083.jpg","show blot")</f>
        <v>show blot</v>
      </c>
      <c r="G1848" t="s">
        <v>1836</v>
      </c>
      <c r="I1848" s="6">
        <v>1.5139584706826847</v>
      </c>
      <c r="K1848" s="8"/>
    </row>
    <row r="1849" spans="1:11" ht="15" x14ac:dyDescent="0.25">
      <c r="A1849" s="3" t="str">
        <f>HYPERLINK("proteomic_fractions_linear_files/Yang_linear_img/254588085.jpg", "254588085")</f>
        <v>254588085</v>
      </c>
      <c r="C1849" s="3" t="str">
        <f>HYPERLINK("http://www.ncbi.nlm.nih.gov/protein/254588085","Dlg5")</f>
        <v>Dlg5</v>
      </c>
      <c r="E1849" t="str">
        <f>HYPERLINK("J:\Depot - mpkCCD Fractions\Main Web Page\Web Pages_old\proteomic_fractions_linear_files/Yang_linear_img/254588085.jpg","show blot")</f>
        <v>show blot</v>
      </c>
      <c r="G1849" t="s">
        <v>1837</v>
      </c>
      <c r="I1849" s="6">
        <v>1.5139584706826847</v>
      </c>
      <c r="K1849" s="8"/>
    </row>
    <row r="1850" spans="1:11" ht="15" x14ac:dyDescent="0.25">
      <c r="A1850" s="3" t="str">
        <f>HYPERLINK("proteomic_fractions_linear_files/Yang_linear_img/464397471.jpg", "464397471")</f>
        <v>464397471</v>
      </c>
      <c r="C1850" s="3" t="str">
        <f>HYPERLINK("http://www.ncbi.nlm.nih.gov/protein/464397471","Dlgap4")</f>
        <v>Dlgap4</v>
      </c>
      <c r="E1850" t="str">
        <f>HYPERLINK("J:\Depot - mpkCCD Fractions\Main Web Page\Web Pages_old\proteomic_fractions_linear_files/Yang_linear_img/464397471.jpg","show blot")</f>
        <v>show blot</v>
      </c>
      <c r="G1850" t="s">
        <v>1838</v>
      </c>
      <c r="I1850" s="6">
        <v>4.7180029182858041</v>
      </c>
      <c r="K1850" s="8"/>
    </row>
    <row r="1851" spans="1:11" ht="15" x14ac:dyDescent="0.25">
      <c r="A1851" s="3" t="str">
        <f>HYPERLINK("proteomic_fractions_linear_files/Yang_linear_img/464398772.jpg", "464398772")</f>
        <v>464398772</v>
      </c>
      <c r="C1851" s="3" t="str">
        <f>HYPERLINK("http://www.ncbi.nlm.nih.gov/protein/464398772","Dlgap4")</f>
        <v>Dlgap4</v>
      </c>
      <c r="E1851" t="str">
        <f>HYPERLINK("J:\Depot - mpkCCD Fractions\Main Web Page\Web Pages_old\proteomic_fractions_linear_files/Yang_linear_img/464398772.jpg","show blot")</f>
        <v>show blot</v>
      </c>
      <c r="G1851" t="s">
        <v>1839</v>
      </c>
      <c r="I1851" s="6">
        <v>4.7180029182858041</v>
      </c>
      <c r="K1851" s="8"/>
    </row>
    <row r="1852" spans="1:11" ht="15" x14ac:dyDescent="0.25">
      <c r="A1852" s="3" t="str">
        <f>HYPERLINK("proteomic_fractions_linear_files/Yang_linear_img/109891940.jpg", "109891940")</f>
        <v>109891940</v>
      </c>
      <c r="C1852" s="3" t="str">
        <f>HYPERLINK("http://www.ncbi.nlm.nih.gov/protein/109891940","Dlgap4")</f>
        <v>Dlgap4</v>
      </c>
      <c r="E1852" t="str">
        <f>HYPERLINK("J:\Depot - mpkCCD Fractions\Main Web Page\Web Pages_old\proteomic_fractions_linear_files/Yang_linear_img/109891940.jpg","show blot")</f>
        <v>show blot</v>
      </c>
      <c r="G1852" t="s">
        <v>1840</v>
      </c>
      <c r="I1852" s="6">
        <v>4.7180029182858041</v>
      </c>
      <c r="K1852" s="8"/>
    </row>
    <row r="1853" spans="1:11" ht="15" x14ac:dyDescent="0.25">
      <c r="A1853" s="3" t="str">
        <f>HYPERLINK("proteomic_fractions_linear_files/Yang_linear_img/109891942.jpg", "109891942")</f>
        <v>109891942</v>
      </c>
      <c r="C1853" s="3" t="str">
        <f>HYPERLINK("http://www.ncbi.nlm.nih.gov/protein/109891942","Dlgap4")</f>
        <v>Dlgap4</v>
      </c>
      <c r="E1853" t="str">
        <f>HYPERLINK("J:\Depot - mpkCCD Fractions\Main Web Page\Web Pages_old\proteomic_fractions_linear_files/Yang_linear_img/109891942.jpg","show blot")</f>
        <v>show blot</v>
      </c>
      <c r="G1853" t="s">
        <v>1841</v>
      </c>
      <c r="I1853" s="6">
        <v>4.7180029182858041</v>
      </c>
      <c r="K1853" s="8"/>
    </row>
    <row r="1854" spans="1:11" ht="15" x14ac:dyDescent="0.25">
      <c r="A1854" s="3" t="str">
        <f>HYPERLINK("proteomic_fractions_linear_files/Yang_linear_img/62530192.jpg", "62530192")</f>
        <v>62530192</v>
      </c>
      <c r="C1854" s="3" t="str">
        <f>HYPERLINK("http://www.ncbi.nlm.nih.gov/protein/62530192","Dlgap4")</f>
        <v>Dlgap4</v>
      </c>
      <c r="E1854" t="str">
        <f>HYPERLINK("J:\Depot - mpkCCD Fractions\Main Web Page\Web Pages_old\proteomic_fractions_linear_files/Yang_linear_img/62530192.jpg","show blot")</f>
        <v>show blot</v>
      </c>
      <c r="G1854" t="s">
        <v>1842</v>
      </c>
      <c r="I1854" s="6">
        <v>4.7180029182858041</v>
      </c>
      <c r="K1854" s="8"/>
    </row>
    <row r="1855" spans="1:11" ht="15" x14ac:dyDescent="0.25">
      <c r="A1855" s="3" t="str">
        <f>HYPERLINK("proteomic_fractions_linear_files/Yang_linear_img/225543150.jpg", "225543150")</f>
        <v>225543150</v>
      </c>
      <c r="C1855" s="3" t="str">
        <f>HYPERLINK("http://www.ncbi.nlm.nih.gov/protein/225543150","Dlgap5")</f>
        <v>Dlgap5</v>
      </c>
      <c r="E1855" t="str">
        <f>HYPERLINK("J:\Depot - mpkCCD Fractions\Main Web Page\Web Pages_old\proteomic_fractions_linear_files/Yang_linear_img/225543150.jpg","show blot")</f>
        <v>show blot</v>
      </c>
      <c r="G1855" t="s">
        <v>1843</v>
      </c>
      <c r="I1855" s="7" t="s">
        <v>8360</v>
      </c>
      <c r="K1855" s="8"/>
    </row>
    <row r="1856" spans="1:11" ht="15" x14ac:dyDescent="0.25">
      <c r="A1856" s="3" t="str">
        <f>HYPERLINK("proteomic_fractions_linear_files/Yang_linear_img/21313536.jpg", "21313536")</f>
        <v>21313536</v>
      </c>
      <c r="C1856" s="3" t="str">
        <f>HYPERLINK("http://www.ncbi.nlm.nih.gov/protein/21313536","Dlst")</f>
        <v>Dlst</v>
      </c>
      <c r="E1856" t="str">
        <f>HYPERLINK("J:\Depot - mpkCCD Fractions\Main Web Page\Web Pages_old\proteomic_fractions_linear_files/Yang_linear_img/21313536.jpg","show blot")</f>
        <v>show blot</v>
      </c>
      <c r="G1856" t="s">
        <v>1844</v>
      </c>
      <c r="I1856" s="6">
        <v>5.3315336207985338</v>
      </c>
      <c r="K1856" s="8"/>
    </row>
    <row r="1857" spans="1:11" ht="15" x14ac:dyDescent="0.25">
      <c r="A1857" s="3" t="str">
        <f>HYPERLINK("proteomic_fractions_linear_files/Yang_linear_img/6681203.jpg", "6681203")</f>
        <v>6681203</v>
      </c>
      <c r="C1857" s="3" t="str">
        <f>HYPERLINK("http://www.ncbi.nlm.nih.gov/protein/6681203","Dmd")</f>
        <v>Dmd</v>
      </c>
      <c r="E1857" t="str">
        <f>HYPERLINK("J:\Depot - mpkCCD Fractions\Main Web Page\Web Pages_old\proteomic_fractions_linear_files/Yang_linear_img/6681203.jpg","show blot")</f>
        <v>show blot</v>
      </c>
      <c r="G1857" t="s">
        <v>1845</v>
      </c>
      <c r="I1857" s="6">
        <v>3.3195579333792433</v>
      </c>
      <c r="K1857" s="8"/>
    </row>
    <row r="1858" spans="1:11" ht="15" x14ac:dyDescent="0.25">
      <c r="A1858" s="3" t="str">
        <f>HYPERLINK("proteomic_fractions_linear_files/Yang_linear_img/283837769.jpg", "283837769")</f>
        <v>283837769</v>
      </c>
      <c r="C1858" s="3" t="str">
        <f>HYPERLINK("http://www.ncbi.nlm.nih.gov/protein/283837769","Dna2")</f>
        <v>Dna2</v>
      </c>
      <c r="E1858" t="str">
        <f>HYPERLINK("J:\Depot - mpkCCD Fractions\Main Web Page\Web Pages_old\proteomic_fractions_linear_files/Yang_linear_img/283837769.jpg","show blot")</f>
        <v>show blot</v>
      </c>
      <c r="G1858" t="s">
        <v>1846</v>
      </c>
      <c r="I1858" s="6">
        <v>3.4981888856330676</v>
      </c>
      <c r="K1858" s="8"/>
    </row>
    <row r="1859" spans="1:11" ht="15" x14ac:dyDescent="0.25">
      <c r="A1859" s="3" t="str">
        <f>HYPERLINK("proteomic_fractions_linear_files/Yang_linear_img/13386136.jpg", "13386136")</f>
        <v>13386136</v>
      </c>
      <c r="C1859" s="3" t="str">
        <f>HYPERLINK("http://www.ncbi.nlm.nih.gov/protein/13386136","Dnaaf1")</f>
        <v>Dnaaf1</v>
      </c>
      <c r="E1859" t="str">
        <f>HYPERLINK("J:\Depot - mpkCCD Fractions\Main Web Page\Web Pages_old\proteomic_fractions_linear_files/Yang_linear_img/13386136.jpg","show blot")</f>
        <v>show blot</v>
      </c>
      <c r="G1859" t="s">
        <v>1847</v>
      </c>
      <c r="I1859" s="6">
        <v>2.198208362591465</v>
      </c>
      <c r="K1859" s="8"/>
    </row>
    <row r="1860" spans="1:11" ht="15" x14ac:dyDescent="0.25">
      <c r="A1860" s="3" t="str">
        <f>HYPERLINK("proteomic_fractions_linear_files/Yang_linear_img/66793421.jpg", "66793421")</f>
        <v>66793421</v>
      </c>
      <c r="C1860" s="3" t="str">
        <f>HYPERLINK("http://www.ncbi.nlm.nih.gov/protein/66793421","Dnaaf2")</f>
        <v>Dnaaf2</v>
      </c>
      <c r="E1860" t="str">
        <f>HYPERLINK("J:\Depot - mpkCCD Fractions\Main Web Page\Web Pages_old\proteomic_fractions_linear_files/Yang_linear_img/66793421.jpg","show blot")</f>
        <v>show blot</v>
      </c>
      <c r="G1860" t="s">
        <v>1848</v>
      </c>
      <c r="I1860" s="6">
        <v>3.3985138724460606</v>
      </c>
      <c r="K1860" s="8"/>
    </row>
    <row r="1861" spans="1:11" ht="15" x14ac:dyDescent="0.25">
      <c r="A1861" s="3" t="str">
        <f>HYPERLINK("proteomic_fractions_linear_files/Yang_linear_img/256773234.jpg", "256773234")</f>
        <v>256773234</v>
      </c>
      <c r="C1861" s="3" t="str">
        <f>HYPERLINK("http://www.ncbi.nlm.nih.gov/protein/256773234","Dnah1")</f>
        <v>Dnah1</v>
      </c>
      <c r="E1861" t="str">
        <f>HYPERLINK("J:\Depot - mpkCCD Fractions\Main Web Page\Web Pages_old\proteomic_fractions_linear_files/Yang_linear_img/256773234.jpg","show blot")</f>
        <v>show blot</v>
      </c>
      <c r="G1861" t="s">
        <v>1849</v>
      </c>
      <c r="I1861" s="6">
        <v>3.7248321320785256</v>
      </c>
      <c r="K1861" s="8"/>
    </row>
    <row r="1862" spans="1:11" ht="15" x14ac:dyDescent="0.25">
      <c r="A1862" s="3" t="str">
        <f>HYPERLINK("proteomic_fractions_linear_files/Yang_linear_img/254692843.jpg", "254692843")</f>
        <v>254692843</v>
      </c>
      <c r="C1862" s="3" t="str">
        <f>HYPERLINK("http://www.ncbi.nlm.nih.gov/protein/254692843","Dnah10")</f>
        <v>Dnah10</v>
      </c>
      <c r="E1862" t="str">
        <f>HYPERLINK("J:\Depot - mpkCCD Fractions\Main Web Page\Web Pages_old\proteomic_fractions_linear_files/Yang_linear_img/254692843.jpg","show blot")</f>
        <v>show blot</v>
      </c>
      <c r="G1862" t="s">
        <v>1850</v>
      </c>
      <c r="I1862" s="6">
        <v>3.701025951726292</v>
      </c>
      <c r="K1862" s="8"/>
    </row>
    <row r="1863" spans="1:11" ht="15" x14ac:dyDescent="0.25">
      <c r="A1863" s="3" t="str">
        <f>HYPERLINK("proteomic_fractions_linear_files/Yang_linear_img/393794754.jpg", "393794754")</f>
        <v>393794754</v>
      </c>
      <c r="C1863" s="3" t="str">
        <f>HYPERLINK("http://www.ncbi.nlm.nih.gov/protein/393794754","Dnah11")</f>
        <v>Dnah11</v>
      </c>
      <c r="E1863" t="str">
        <f>HYPERLINK("J:\Depot - mpkCCD Fractions\Main Web Page\Web Pages_old\proteomic_fractions_linear_files/Yang_linear_img/393794754.jpg","show blot")</f>
        <v>show blot</v>
      </c>
      <c r="G1863" t="s">
        <v>1851</v>
      </c>
      <c r="I1863" s="6">
        <v>3.6997113916659483</v>
      </c>
      <c r="K1863" s="8"/>
    </row>
    <row r="1864" spans="1:11" ht="15" x14ac:dyDescent="0.25">
      <c r="A1864" s="3" t="str">
        <f>HYPERLINK("proteomic_fractions_linear_files/Yang_linear_img/283837762.jpg", "283837762")</f>
        <v>283837762</v>
      </c>
      <c r="C1864" s="3" t="str">
        <f>HYPERLINK("http://www.ncbi.nlm.nih.gov/protein/283837762","Dnah17")</f>
        <v>Dnah17</v>
      </c>
      <c r="E1864" t="str">
        <f>HYPERLINK("J:\Depot - mpkCCD Fractions\Main Web Page\Web Pages_old\proteomic_fractions_linear_files/Yang_linear_img/283837762.jpg","show blot")</f>
        <v>show blot</v>
      </c>
      <c r="G1864" t="s">
        <v>1852</v>
      </c>
      <c r="I1864" s="6">
        <v>1.0506023142099137</v>
      </c>
      <c r="K1864" s="8"/>
    </row>
    <row r="1865" spans="1:11" ht="15" x14ac:dyDescent="0.25">
      <c r="A1865" s="3" t="str">
        <f>HYPERLINK("proteomic_fractions_linear_files/Yang_linear_img/342672105.jpg", "342672105")</f>
        <v>342672105</v>
      </c>
      <c r="C1865" s="3" t="str">
        <f>HYPERLINK("http://www.ncbi.nlm.nih.gov/protein/342672105","Dnah5")</f>
        <v>Dnah5</v>
      </c>
      <c r="E1865" t="str">
        <f>HYPERLINK("J:\Depot - mpkCCD Fractions\Main Web Page\Web Pages_old\proteomic_fractions_linear_files/Yang_linear_img/342672105.jpg","show blot")</f>
        <v>show blot</v>
      </c>
      <c r="G1865" t="s">
        <v>1853</v>
      </c>
      <c r="I1865" s="6">
        <v>4.5394878630856139</v>
      </c>
      <c r="K1865" s="8"/>
    </row>
    <row r="1866" spans="1:11" ht="15" x14ac:dyDescent="0.25">
      <c r="A1866" s="3" t="str">
        <f>HYPERLINK("proteomic_fractions_linear_files/Yang_linear_img/153792273.jpg", "153792273")</f>
        <v>153792273</v>
      </c>
      <c r="C1866" s="3" t="str">
        <f>HYPERLINK("http://www.ncbi.nlm.nih.gov/protein/153792273","Dnah8")</f>
        <v>Dnah8</v>
      </c>
      <c r="E1866" t="str">
        <f>HYPERLINK("J:\Depot - mpkCCD Fractions\Main Web Page\Web Pages_old\proteomic_fractions_linear_files/Yang_linear_img/153792273.jpg","show blot")</f>
        <v>show blot</v>
      </c>
      <c r="G1866" t="s">
        <v>1854</v>
      </c>
      <c r="I1866" s="6">
        <v>3.6791638281865904</v>
      </c>
      <c r="K1866" s="8"/>
    </row>
    <row r="1867" spans="1:11" ht="15" x14ac:dyDescent="0.25">
      <c r="A1867" s="3" t="str">
        <f>HYPERLINK("proteomic_fractions_linear_files/Yang_linear_img/153791933.jpg", "153791933")</f>
        <v>153791933</v>
      </c>
      <c r="C1867" s="3" t="str">
        <f>HYPERLINK("http://www.ncbi.nlm.nih.gov/protein/153791933","Dnah9")</f>
        <v>Dnah9</v>
      </c>
      <c r="E1867" t="str">
        <f>HYPERLINK("J:\Depot - mpkCCD Fractions\Main Web Page\Web Pages_old\proteomic_fractions_linear_files/Yang_linear_img/153791933.jpg","show blot")</f>
        <v>show blot</v>
      </c>
      <c r="G1867" t="s">
        <v>1855</v>
      </c>
      <c r="I1867" s="6">
        <v>1.1310243706356056</v>
      </c>
      <c r="K1867" s="8"/>
    </row>
    <row r="1868" spans="1:11" ht="15" x14ac:dyDescent="0.25">
      <c r="A1868" s="3" t="str">
        <f>HYPERLINK("proteomic_fractions_linear_files/Yang_linear_img/407262105.jpg", "407262105")</f>
        <v>407262105</v>
      </c>
      <c r="C1868" s="3" t="str">
        <f>HYPERLINK("http://www.ncbi.nlm.nih.gov/protein/407262105","Dnahc12")</f>
        <v>Dnahc12</v>
      </c>
      <c r="E1868" t="str">
        <f>HYPERLINK("J:\Depot - mpkCCD Fractions\Main Web Page\Web Pages_old\proteomic_fractions_linear_files/Yang_linear_img/407262105.jpg","show blot")</f>
        <v>show blot</v>
      </c>
      <c r="G1868" t="s">
        <v>1856</v>
      </c>
      <c r="I1868" s="6">
        <v>3.7553052404360558</v>
      </c>
      <c r="K1868" s="8"/>
    </row>
    <row r="1869" spans="1:11" ht="15" x14ac:dyDescent="0.25">
      <c r="A1869" s="3" t="str">
        <f>HYPERLINK("proteomic_fractions_linear_files/Yang_linear_img/407264021.jpg", "407264021")</f>
        <v>407264021</v>
      </c>
      <c r="C1869" s="3" t="str">
        <f>HYPERLINK("http://www.ncbi.nlm.nih.gov/protein/407264021","Dnahc12")</f>
        <v>Dnahc12</v>
      </c>
      <c r="E1869" t="str">
        <f>HYPERLINK("J:\Depot - mpkCCD Fractions\Main Web Page\Web Pages_old\proteomic_fractions_linear_files/Yang_linear_img/407264021.jpg","show blot")</f>
        <v>show blot</v>
      </c>
      <c r="G1869" t="s">
        <v>1856</v>
      </c>
      <c r="I1869" s="6">
        <v>3.7553052404360558</v>
      </c>
      <c r="K1869" s="8"/>
    </row>
    <row r="1870" spans="1:11" ht="15" x14ac:dyDescent="0.25">
      <c r="A1870" s="3" t="str">
        <f>HYPERLINK("proteomic_fractions_linear_files/Yang_linear_img/377833725.jpg", "377833725")</f>
        <v>377833725</v>
      </c>
      <c r="C1870" s="3" t="str">
        <f>HYPERLINK("http://www.ncbi.nlm.nih.gov/protein/377833725","Dnahc14")</f>
        <v>Dnahc14</v>
      </c>
      <c r="E1870" t="str">
        <f>HYPERLINK("J:\Depot - mpkCCD Fractions\Main Web Page\Web Pages_old\proteomic_fractions_linear_files/Yang_linear_img/377833725.jpg","show blot")</f>
        <v>show blot</v>
      </c>
      <c r="G1870" t="s">
        <v>1857</v>
      </c>
      <c r="I1870" s="6">
        <v>1.0781518677939503</v>
      </c>
      <c r="K1870" s="8"/>
    </row>
    <row r="1871" spans="1:11" ht="15" x14ac:dyDescent="0.25">
      <c r="A1871" s="3" t="str">
        <f>HYPERLINK("proteomic_fractions_linear_files/Yang_linear_img/377834821.jpg", "377834821")</f>
        <v>377834821</v>
      </c>
      <c r="C1871" s="3" t="str">
        <f>HYPERLINK("http://www.ncbi.nlm.nih.gov/protein/377834821","Dnahc14")</f>
        <v>Dnahc14</v>
      </c>
      <c r="E1871" t="str">
        <f>HYPERLINK("J:\Depot - mpkCCD Fractions\Main Web Page\Web Pages_old\proteomic_fractions_linear_files/Yang_linear_img/377834821.jpg","show blot")</f>
        <v>show blot</v>
      </c>
      <c r="G1871" t="s">
        <v>1857</v>
      </c>
      <c r="I1871" s="6">
        <v>1.0781518677939503</v>
      </c>
      <c r="K1871" s="8"/>
    </row>
    <row r="1872" spans="1:11" ht="15" x14ac:dyDescent="0.25">
      <c r="A1872" s="3" t="str">
        <f>HYPERLINK("proteomic_fractions_linear_files/Yang_linear_img/6680297;258547146.jpg", "6680297;258547146")</f>
        <v>6680297;258547146</v>
      </c>
      <c r="C1872" s="3" t="str">
        <f>HYPERLINK("http://www.ncbi.nlm.nih.gov/protein/6680297;258547146","Dnaja1")</f>
        <v>Dnaja1</v>
      </c>
      <c r="E1872" t="str">
        <f>HYPERLINK("J:\Depot - mpkCCD Fractions\Main Web Page\Web Pages_old\proteomic_fractions_linear_files/Yang_linear_img/6680297;258547146.jpg","show blot")</f>
        <v>show blot</v>
      </c>
      <c r="G1872" t="s">
        <v>1858</v>
      </c>
      <c r="I1872" s="6">
        <v>5.4910624045464287</v>
      </c>
      <c r="K1872" s="8"/>
    </row>
    <row r="1873" spans="1:11" ht="15" x14ac:dyDescent="0.25">
      <c r="A1873" s="3" t="str">
        <f>HYPERLINK("proteomic_fractions_linear_files/Yang_linear_img/258547146.jpg", "258547146")</f>
        <v>258547146</v>
      </c>
      <c r="C1873" s="3" t="str">
        <f>HYPERLINK("http://www.ncbi.nlm.nih.gov/protein/258547146","Dnaja1")</f>
        <v>Dnaja1</v>
      </c>
      <c r="E1873" t="str">
        <f>HYPERLINK("J:\Depot - mpkCCD Fractions\Main Web Page\Web Pages_old\proteomic_fractions_linear_files/Yang_linear_img/258547146.jpg","show blot")</f>
        <v>show blot</v>
      </c>
      <c r="G1873" t="s">
        <v>1858</v>
      </c>
      <c r="I1873" s="6">
        <v>5.4910624045464287</v>
      </c>
      <c r="K1873" s="8"/>
    </row>
    <row r="1874" spans="1:11" ht="15" x14ac:dyDescent="0.25">
      <c r="A1874" s="3" t="str">
        <f>HYPERLINK("proteomic_fractions_linear_files/Yang_linear_img/9789937.jpg", "9789937")</f>
        <v>9789937</v>
      </c>
      <c r="C1874" s="3" t="str">
        <f>HYPERLINK("http://www.ncbi.nlm.nih.gov/protein/9789937","Dnaja2")</f>
        <v>Dnaja2</v>
      </c>
      <c r="E1874" t="str">
        <f>HYPERLINK("J:\Depot - mpkCCD Fractions\Main Web Page\Web Pages_old\proteomic_fractions_linear_files/Yang_linear_img/9789937.jpg","show blot")</f>
        <v>show blot</v>
      </c>
      <c r="G1874" t="s">
        <v>1859</v>
      </c>
      <c r="I1874" s="6">
        <v>5.6915602355384323</v>
      </c>
      <c r="K1874" s="8"/>
    </row>
    <row r="1875" spans="1:11" ht="15" x14ac:dyDescent="0.25">
      <c r="A1875" s="3" t="str">
        <f>HYPERLINK("proteomic_fractions_linear_files/Yang_linear_img/205361112.jpg", "205361112")</f>
        <v>205361112</v>
      </c>
      <c r="C1875" s="3" t="str">
        <f>HYPERLINK("http://www.ncbi.nlm.nih.gov/protein/205361112","Dnaja3")</f>
        <v>Dnaja3</v>
      </c>
      <c r="E1875" t="str">
        <f>HYPERLINK("J:\Depot - mpkCCD Fractions\Main Web Page\Web Pages_old\proteomic_fractions_linear_files/Yang_linear_img/205361112.jpg","show blot")</f>
        <v>show blot</v>
      </c>
      <c r="G1875" t="s">
        <v>1860</v>
      </c>
      <c r="I1875" s="6">
        <v>4.829794919396722</v>
      </c>
      <c r="K1875" s="8"/>
    </row>
    <row r="1876" spans="1:11" ht="15" x14ac:dyDescent="0.25">
      <c r="A1876" s="3" t="str">
        <f>HYPERLINK("proteomic_fractions_linear_files/Yang_linear_img/205361114.jpg", "205361114")</f>
        <v>205361114</v>
      </c>
      <c r="C1876" s="3" t="str">
        <f>HYPERLINK("http://www.ncbi.nlm.nih.gov/protein/205361114","Dnaja3")</f>
        <v>Dnaja3</v>
      </c>
      <c r="E1876" t="str">
        <f>HYPERLINK("J:\Depot - mpkCCD Fractions\Main Web Page\Web Pages_old\proteomic_fractions_linear_files/Yang_linear_img/205361114.jpg","show blot")</f>
        <v>show blot</v>
      </c>
      <c r="G1876" t="s">
        <v>1861</v>
      </c>
      <c r="I1876" s="6">
        <v>4.829794919396722</v>
      </c>
      <c r="K1876" s="8"/>
    </row>
    <row r="1877" spans="1:11" ht="15" x14ac:dyDescent="0.25">
      <c r="A1877" s="3" t="str">
        <f>HYPERLINK("proteomic_fractions_linear_files/Yang_linear_img/9055242.jpg", "9055242")</f>
        <v>9055242</v>
      </c>
      <c r="C1877" s="3" t="str">
        <f>HYPERLINK("http://www.ncbi.nlm.nih.gov/protein/9055242","Dnajb1")</f>
        <v>Dnajb1</v>
      </c>
      <c r="E1877" t="str">
        <f>HYPERLINK("J:\Depot - mpkCCD Fractions\Main Web Page\Web Pages_old\proteomic_fractions_linear_files/Yang_linear_img/9055242.jpg","show blot")</f>
        <v>show blot</v>
      </c>
      <c r="G1877" t="s">
        <v>1862</v>
      </c>
      <c r="I1877" s="6">
        <v>5.2675177499368795</v>
      </c>
      <c r="K1877" s="8"/>
    </row>
    <row r="1878" spans="1:11" ht="15" x14ac:dyDescent="0.25">
      <c r="A1878" s="3" t="str">
        <f>HYPERLINK("proteomic_fractions_linear_files/Yang_linear_img/110625998.jpg", "110625998")</f>
        <v>110625998</v>
      </c>
      <c r="C1878" s="3" t="str">
        <f>HYPERLINK("http://www.ncbi.nlm.nih.gov/protein/110625998","Dnajb11")</f>
        <v>Dnajb11</v>
      </c>
      <c r="E1878" t="str">
        <f>HYPERLINK("J:\Depot - mpkCCD Fractions\Main Web Page\Web Pages_old\proteomic_fractions_linear_files/Yang_linear_img/110625998.jpg","show blot")</f>
        <v>show blot</v>
      </c>
      <c r="G1878" t="s">
        <v>1863</v>
      </c>
      <c r="I1878" s="6">
        <v>5.2714002267669082</v>
      </c>
      <c r="K1878" s="8"/>
    </row>
    <row r="1879" spans="1:11" ht="15" x14ac:dyDescent="0.25">
      <c r="A1879" s="3" t="str">
        <f>HYPERLINK("proteomic_fractions_linear_files/Yang_linear_img/31982701.jpg", "31982701")</f>
        <v>31982701</v>
      </c>
      <c r="C1879" s="3" t="str">
        <f>HYPERLINK("http://www.ncbi.nlm.nih.gov/protein/31982701","Dnajb12")</f>
        <v>Dnajb12</v>
      </c>
      <c r="E1879" t="str">
        <f>HYPERLINK("J:\Depot - mpkCCD Fractions\Main Web Page\Web Pages_old\proteomic_fractions_linear_files/Yang_linear_img/31982701.jpg","show blot")</f>
        <v>show blot</v>
      </c>
      <c r="G1879" t="s">
        <v>1864</v>
      </c>
      <c r="I1879" s="6">
        <v>1.8095597146352678</v>
      </c>
      <c r="K1879" s="8"/>
    </row>
    <row r="1880" spans="1:11" ht="15" x14ac:dyDescent="0.25">
      <c r="A1880" s="3" t="str">
        <f>HYPERLINK("proteomic_fractions_linear_files/Yang_linear_img/229577334;30017349.jpg", "229577334;30017349")</f>
        <v>229577334;30017349</v>
      </c>
      <c r="C1880" s="3" t="str">
        <f>HYPERLINK("http://www.ncbi.nlm.nih.gov/protein/229577334;30017349","Dnajb2")</f>
        <v>Dnajb2</v>
      </c>
      <c r="E1880" t="str">
        <f>HYPERLINK("J:\Depot - mpkCCD Fractions\Main Web Page\Web Pages_old\proteomic_fractions_linear_files/Yang_linear_img/229577334;30017349.jpg","show blot")</f>
        <v>show blot</v>
      </c>
      <c r="G1880" t="s">
        <v>1865</v>
      </c>
      <c r="I1880" s="6">
        <v>4.2887576125733569</v>
      </c>
      <c r="K1880" s="8"/>
    </row>
    <row r="1881" spans="1:11" ht="15" x14ac:dyDescent="0.25">
      <c r="A1881" s="3" t="str">
        <f>HYPERLINK("proteomic_fractions_linear_files/Yang_linear_img/30017349.jpg", "30017349")</f>
        <v>30017349</v>
      </c>
      <c r="C1881" s="3" t="str">
        <f>HYPERLINK("http://www.ncbi.nlm.nih.gov/protein/30017349","Dnajb2")</f>
        <v>Dnajb2</v>
      </c>
      <c r="E1881" t="str">
        <f>HYPERLINK("J:\Depot - mpkCCD Fractions\Main Web Page\Web Pages_old\proteomic_fractions_linear_files/Yang_linear_img/30017349.jpg","show blot")</f>
        <v>show blot</v>
      </c>
      <c r="G1881" t="s">
        <v>1865</v>
      </c>
      <c r="I1881" s="6">
        <v>4.2887576125733569</v>
      </c>
      <c r="K1881" s="8"/>
    </row>
    <row r="1882" spans="1:11" ht="15" x14ac:dyDescent="0.25">
      <c r="A1882" s="3" t="str">
        <f>HYPERLINK("proteomic_fractions_linear_files/Yang_linear_img/229577329.jpg", "229577329")</f>
        <v>229577329</v>
      </c>
      <c r="C1882" s="3" t="str">
        <f>HYPERLINK("http://www.ncbi.nlm.nih.gov/protein/229577329","Dnajb2")</f>
        <v>Dnajb2</v>
      </c>
      <c r="E1882" t="str">
        <f>HYPERLINK("J:\Depot - mpkCCD Fractions\Main Web Page\Web Pages_old\proteomic_fractions_linear_files/Yang_linear_img/229577329.jpg","show blot")</f>
        <v>show blot</v>
      </c>
      <c r="G1882" t="s">
        <v>1866</v>
      </c>
      <c r="I1882" s="6">
        <v>4.2887576125733569</v>
      </c>
      <c r="K1882" s="8"/>
    </row>
    <row r="1883" spans="1:11" ht="15" x14ac:dyDescent="0.25">
      <c r="A1883" s="3" t="str">
        <f>HYPERLINK("proteomic_fractions_linear_files/Yang_linear_img/229577332.jpg", "229577332")</f>
        <v>229577332</v>
      </c>
      <c r="C1883" s="3" t="str">
        <f>HYPERLINK("http://www.ncbi.nlm.nih.gov/protein/229577332","Dnajb2")</f>
        <v>Dnajb2</v>
      </c>
      <c r="E1883" t="str">
        <f>HYPERLINK("J:\Depot - mpkCCD Fractions\Main Web Page\Web Pages_old\proteomic_fractions_linear_files/Yang_linear_img/229577332.jpg","show blot")</f>
        <v>show blot</v>
      </c>
      <c r="G1883" t="s">
        <v>1867</v>
      </c>
      <c r="I1883" s="6">
        <v>4.2887576125733569</v>
      </c>
      <c r="K1883" s="8"/>
    </row>
    <row r="1884" spans="1:11" ht="15" x14ac:dyDescent="0.25">
      <c r="A1884" s="3" t="str">
        <f>HYPERLINK("proteomic_fractions_linear_files/Yang_linear_img/21313156;165377271.jpg", "21313156;165377271")</f>
        <v>21313156;165377271</v>
      </c>
      <c r="C1884" s="3" t="str">
        <f>HYPERLINK("http://www.ncbi.nlm.nih.gov/protein/21313156;165377271","Dnajb4")</f>
        <v>Dnajb4</v>
      </c>
      <c r="E1884" t="str">
        <f>HYPERLINK("J:\Depot - mpkCCD Fractions\Main Web Page\Web Pages_old\proteomic_fractions_linear_files/Yang_linear_img/21313156;165377271.jpg","show blot")</f>
        <v>show blot</v>
      </c>
      <c r="G1884" t="s">
        <v>1868</v>
      </c>
      <c r="I1884" s="6">
        <v>5.3181357506381586</v>
      </c>
      <c r="K1884" s="8"/>
    </row>
    <row r="1885" spans="1:11" ht="15" x14ac:dyDescent="0.25">
      <c r="A1885" s="3" t="str">
        <f>HYPERLINK("proteomic_fractions_linear_files/Yang_linear_img/165377271.jpg", "165377271")</f>
        <v>165377271</v>
      </c>
      <c r="C1885" s="3" t="str">
        <f>HYPERLINK("http://www.ncbi.nlm.nih.gov/protein/165377271","Dnajb4")</f>
        <v>Dnajb4</v>
      </c>
      <c r="E1885" t="str">
        <f>HYPERLINK("J:\Depot - mpkCCD Fractions\Main Web Page\Web Pages_old\proteomic_fractions_linear_files/Yang_linear_img/165377271.jpg","show blot")</f>
        <v>show blot</v>
      </c>
      <c r="G1885" t="s">
        <v>1868</v>
      </c>
      <c r="I1885" s="6">
        <v>5.3181357506381586</v>
      </c>
      <c r="K1885" s="8"/>
    </row>
    <row r="1886" spans="1:11" ht="15" x14ac:dyDescent="0.25">
      <c r="A1886" s="3" t="str">
        <f>HYPERLINK("proteomic_fractions_linear_files/Yang_linear_img/188219642.jpg", "188219642")</f>
        <v>188219642</v>
      </c>
      <c r="C1886" s="3" t="str">
        <f>HYPERLINK("http://www.ncbi.nlm.nih.gov/protein/188219642","Dnajb6")</f>
        <v>Dnajb6</v>
      </c>
      <c r="E1886" t="str">
        <f>HYPERLINK("J:\Depot - mpkCCD Fractions\Main Web Page\Web Pages_old\proteomic_fractions_linear_files/Yang_linear_img/188219642.jpg","show blot")</f>
        <v>show blot</v>
      </c>
      <c r="G1886" t="s">
        <v>1869</v>
      </c>
      <c r="I1886" s="6">
        <v>5.0751355785135166</v>
      </c>
      <c r="K1886" s="8"/>
    </row>
    <row r="1887" spans="1:11" ht="15" x14ac:dyDescent="0.25">
      <c r="A1887" s="3" t="str">
        <f>HYPERLINK("proteomic_fractions_linear_files/Yang_linear_img/188219644.jpg", "188219644")</f>
        <v>188219644</v>
      </c>
      <c r="C1887" s="3" t="str">
        <f>HYPERLINK("http://www.ncbi.nlm.nih.gov/protein/188219644","Dnajb6")</f>
        <v>Dnajb6</v>
      </c>
      <c r="E1887" t="str">
        <f>HYPERLINK("J:\Depot - mpkCCD Fractions\Main Web Page\Web Pages_old\proteomic_fractions_linear_files/Yang_linear_img/188219644.jpg","show blot")</f>
        <v>show blot</v>
      </c>
      <c r="G1887" t="s">
        <v>1870</v>
      </c>
      <c r="I1887" s="6">
        <v>5.0751355785135166</v>
      </c>
      <c r="K1887" s="8"/>
    </row>
    <row r="1888" spans="1:11" ht="15" x14ac:dyDescent="0.25">
      <c r="A1888" s="3" t="str">
        <f>HYPERLINK("proteomic_fractions_linear_files/Yang_linear_img/83816903.jpg", "83816903")</f>
        <v>83816903</v>
      </c>
      <c r="C1888" s="3" t="str">
        <f>HYPERLINK("http://www.ncbi.nlm.nih.gov/protein/83816903","Dnajb6")</f>
        <v>Dnajb6</v>
      </c>
      <c r="E1888" t="str">
        <f>HYPERLINK("J:\Depot - mpkCCD Fractions\Main Web Page\Web Pages_old\proteomic_fractions_linear_files/Yang_linear_img/83816903.jpg","show blot")</f>
        <v>show blot</v>
      </c>
      <c r="G1888" t="s">
        <v>1871</v>
      </c>
      <c r="I1888" s="6">
        <v>5.0751355785135166</v>
      </c>
      <c r="K1888" s="8"/>
    </row>
    <row r="1889" spans="1:11" ht="15" x14ac:dyDescent="0.25">
      <c r="A1889" s="3" t="str">
        <f>HYPERLINK("proteomic_fractions_linear_files/Yang_linear_img/83816907.jpg", "83816907")</f>
        <v>83816907</v>
      </c>
      <c r="C1889" s="3" t="str">
        <f>HYPERLINK("http://www.ncbi.nlm.nih.gov/protein/83816907","Dnajb6")</f>
        <v>Dnajb6</v>
      </c>
      <c r="E1889" t="str">
        <f>HYPERLINK("J:\Depot - mpkCCD Fractions\Main Web Page\Web Pages_old\proteomic_fractions_linear_files/Yang_linear_img/83816907.jpg","show blot")</f>
        <v>show blot</v>
      </c>
      <c r="G1889" t="s">
        <v>1872</v>
      </c>
      <c r="I1889" s="6">
        <v>5.0751355785135166</v>
      </c>
      <c r="K1889" s="8"/>
    </row>
    <row r="1890" spans="1:11" ht="15" x14ac:dyDescent="0.25">
      <c r="A1890" s="3" t="str">
        <f>HYPERLINK("proteomic_fractions_linear_files/Yang_linear_img/119392096.jpg", "119392096")</f>
        <v>119392096</v>
      </c>
      <c r="C1890" s="3" t="str">
        <f>HYPERLINK("http://www.ncbi.nlm.nih.gov/protein/119392096","Dnajb7")</f>
        <v>Dnajb7</v>
      </c>
      <c r="E1890" t="str">
        <f>HYPERLINK("J:\Depot - mpkCCD Fractions\Main Web Page\Web Pages_old\proteomic_fractions_linear_files/Yang_linear_img/119392096.jpg","show blot")</f>
        <v>show blot</v>
      </c>
      <c r="G1890" t="s">
        <v>1873</v>
      </c>
      <c r="I1890" s="6">
        <v>4.5274994414300309</v>
      </c>
      <c r="K1890" s="8"/>
    </row>
    <row r="1891" spans="1:11" ht="15" x14ac:dyDescent="0.25">
      <c r="A1891" s="3" t="str">
        <f>HYPERLINK("proteomic_fractions_linear_files/Yang_linear_img/7106295.jpg", "7106295")</f>
        <v>7106295</v>
      </c>
      <c r="C1891" s="3" t="str">
        <f>HYPERLINK("http://www.ncbi.nlm.nih.gov/protein/7106295","Dnajc1")</f>
        <v>Dnajc1</v>
      </c>
      <c r="E1891" t="str">
        <f>HYPERLINK("J:\Depot - mpkCCD Fractions\Main Web Page\Web Pages_old\proteomic_fractions_linear_files/Yang_linear_img/7106295.jpg","show blot")</f>
        <v>show blot</v>
      </c>
      <c r="G1891" t="s">
        <v>1874</v>
      </c>
      <c r="I1891" s="6">
        <v>3.4642391356445654</v>
      </c>
      <c r="K1891" s="8"/>
    </row>
    <row r="1892" spans="1:11" ht="15" x14ac:dyDescent="0.25">
      <c r="A1892" s="3" t="str">
        <f>HYPERLINK("proteomic_fractions_linear_files/Yang_linear_img/119508443.jpg", "119508443")</f>
        <v>119508443</v>
      </c>
      <c r="C1892" s="3" t="str">
        <f>HYPERLINK("http://www.ncbi.nlm.nih.gov/protein/119508443","Dnajc10")</f>
        <v>Dnajc10</v>
      </c>
      <c r="E1892" t="str">
        <f>HYPERLINK("J:\Depot - mpkCCD Fractions\Main Web Page\Web Pages_old\proteomic_fractions_linear_files/Yang_linear_img/119508443.jpg","show blot")</f>
        <v>show blot</v>
      </c>
      <c r="G1892" t="s">
        <v>1875</v>
      </c>
      <c r="I1892" s="6">
        <v>4.3322866346035296</v>
      </c>
      <c r="K1892" s="8"/>
    </row>
    <row r="1893" spans="1:11" ht="15" x14ac:dyDescent="0.25">
      <c r="A1893" s="3" t="str">
        <f>HYPERLINK("proteomic_fractions_linear_files/Yang_linear_img/164565394.jpg", "164565394")</f>
        <v>164565394</v>
      </c>
      <c r="C1893" s="3" t="str">
        <f>HYPERLINK("http://www.ncbi.nlm.nih.gov/protein/164565394","Dnajc11")</f>
        <v>Dnajc11</v>
      </c>
      <c r="E1893" t="str">
        <f>HYPERLINK("J:\Depot - mpkCCD Fractions\Main Web Page\Web Pages_old\proteomic_fractions_linear_files/Yang_linear_img/164565394.jpg","show blot")</f>
        <v>show blot</v>
      </c>
      <c r="G1893" t="s">
        <v>1876</v>
      </c>
      <c r="I1893" s="6">
        <v>4.1147879357880059</v>
      </c>
      <c r="K1893" s="8"/>
    </row>
    <row r="1894" spans="1:11" ht="15" x14ac:dyDescent="0.25">
      <c r="A1894" s="3" t="str">
        <f>HYPERLINK("proteomic_fractions_linear_files/Yang_linear_img/247494234.jpg", "247494234")</f>
        <v>247494234</v>
      </c>
      <c r="C1894" s="3" t="str">
        <f>HYPERLINK("http://www.ncbi.nlm.nih.gov/protein/247494234","Dnajc13")</f>
        <v>Dnajc13</v>
      </c>
      <c r="E1894" t="str">
        <f>HYPERLINK("J:\Depot - mpkCCD Fractions\Main Web Page\Web Pages_old\proteomic_fractions_linear_files/Yang_linear_img/247494234.jpg","show blot")</f>
        <v>show blot</v>
      </c>
      <c r="G1894" t="s">
        <v>1877</v>
      </c>
      <c r="I1894" s="6">
        <v>4.3960645702029373</v>
      </c>
      <c r="K1894" s="8"/>
    </row>
    <row r="1895" spans="1:11" ht="15" x14ac:dyDescent="0.25">
      <c r="A1895" s="3" t="str">
        <f>HYPERLINK("proteomic_fractions_linear_files/Yang_linear_img/71061474.jpg", "71061474")</f>
        <v>71061474</v>
      </c>
      <c r="C1895" s="3" t="str">
        <f>HYPERLINK("http://www.ncbi.nlm.nih.gov/protein/71061474","Dnajc19")</f>
        <v>Dnajc19</v>
      </c>
      <c r="E1895" t="str">
        <f>HYPERLINK("J:\Depot - mpkCCD Fractions\Main Web Page\Web Pages_old\proteomic_fractions_linear_files/Yang_linear_img/71061474.jpg","show blot")</f>
        <v>show blot</v>
      </c>
      <c r="G1895" t="s">
        <v>1878</v>
      </c>
      <c r="I1895" s="6">
        <v>4.3300108280245597</v>
      </c>
      <c r="K1895" s="8"/>
    </row>
    <row r="1896" spans="1:11" ht="15" x14ac:dyDescent="0.25">
      <c r="A1896" s="3" t="str">
        <f>HYPERLINK("proteomic_fractions_linear_files/Yang_linear_img/309268906.jpg", "309268906")</f>
        <v>309268906</v>
      </c>
      <c r="C1896" s="3" t="str">
        <f>HYPERLINK("http://www.ncbi.nlm.nih.gov/protein/309268906","Dnajc19-ps")</f>
        <v>Dnajc19-ps</v>
      </c>
      <c r="E1896" t="str">
        <f>HYPERLINK("J:\Depot - mpkCCD Fractions\Main Web Page\Web Pages_old\proteomic_fractions_linear_files/Yang_linear_img/309268906.jpg","show blot")</f>
        <v>show blot</v>
      </c>
      <c r="G1896" t="s">
        <v>1879</v>
      </c>
      <c r="I1896" s="6">
        <v>4.4812785033552096</v>
      </c>
      <c r="K1896" s="8"/>
    </row>
    <row r="1897" spans="1:11" ht="15" x14ac:dyDescent="0.25">
      <c r="A1897" s="3" t="str">
        <f>HYPERLINK("proteomic_fractions_linear_files/Yang_linear_img/6677659.jpg", "6677659")</f>
        <v>6677659</v>
      </c>
      <c r="C1897" s="3" t="str">
        <f>HYPERLINK("http://www.ncbi.nlm.nih.gov/protein/6677659","Dnajc2")</f>
        <v>Dnajc2</v>
      </c>
      <c r="E1897" t="str">
        <f>HYPERLINK("J:\Depot - mpkCCD Fractions\Main Web Page\Web Pages_old\proteomic_fractions_linear_files/Yang_linear_img/6677659.jpg","show blot")</f>
        <v>show blot</v>
      </c>
      <c r="G1897" t="s">
        <v>1880</v>
      </c>
      <c r="I1897" s="6">
        <v>5.0283937758538881</v>
      </c>
      <c r="K1897" s="8"/>
    </row>
    <row r="1898" spans="1:11" ht="15" x14ac:dyDescent="0.25">
      <c r="A1898" s="3" t="str">
        <f>HYPERLINK("proteomic_fractions_linear_files/Yang_linear_img/190194391.jpg", "190194391")</f>
        <v>190194391</v>
      </c>
      <c r="C1898" s="3" t="str">
        <f>HYPERLINK("http://www.ncbi.nlm.nih.gov/protein/190194391","Dnajc21")</f>
        <v>Dnajc21</v>
      </c>
      <c r="E1898" t="str">
        <f>HYPERLINK("J:\Depot - mpkCCD Fractions\Main Web Page\Web Pages_old\proteomic_fractions_linear_files/Yang_linear_img/190194391.jpg","show blot")</f>
        <v>show blot</v>
      </c>
      <c r="G1898" t="s">
        <v>1881</v>
      </c>
      <c r="I1898" s="6">
        <v>4.5163103539663716</v>
      </c>
      <c r="K1898" s="8"/>
    </row>
    <row r="1899" spans="1:11" ht="15" x14ac:dyDescent="0.25">
      <c r="A1899" s="3" t="str">
        <f>HYPERLINK("proteomic_fractions_linear_files/Yang_linear_img/21729759.jpg", "21729759")</f>
        <v>21729759</v>
      </c>
      <c r="C1899" s="3" t="str">
        <f>HYPERLINK("http://www.ncbi.nlm.nih.gov/protein/21729759","Dnajc24")</f>
        <v>Dnajc24</v>
      </c>
      <c r="E1899" t="str">
        <f>HYPERLINK("J:\Depot - mpkCCD Fractions\Main Web Page\Web Pages_old\proteomic_fractions_linear_files/Yang_linear_img/21729759.jpg","show blot")</f>
        <v>show blot</v>
      </c>
      <c r="G1899" t="s">
        <v>1882</v>
      </c>
      <c r="I1899" s="6">
        <v>4.5308489145377013</v>
      </c>
      <c r="K1899" s="8"/>
    </row>
    <row r="1900" spans="1:11" ht="15" x14ac:dyDescent="0.25">
      <c r="A1900" s="3" t="str">
        <f>HYPERLINK("proteomic_fractions_linear_files/Yang_linear_img/239985468.jpg", "239985468")</f>
        <v>239985468</v>
      </c>
      <c r="C1900" s="3" t="str">
        <f>HYPERLINK("http://www.ncbi.nlm.nih.gov/protein/239985468","Dnajc25")</f>
        <v>Dnajc25</v>
      </c>
      <c r="E1900" t="str">
        <f>HYPERLINK("J:\Depot - mpkCCD Fractions\Main Web Page\Web Pages_old\proteomic_fractions_linear_files/Yang_linear_img/239985468.jpg","show blot")</f>
        <v>show blot</v>
      </c>
      <c r="G1900" t="s">
        <v>1883</v>
      </c>
      <c r="I1900" s="6">
        <v>3.9748717494257813</v>
      </c>
      <c r="K1900" s="8"/>
    </row>
    <row r="1901" spans="1:11" ht="15" x14ac:dyDescent="0.25">
      <c r="A1901" s="3" t="str">
        <f>HYPERLINK("proteomic_fractions_linear_files/Yang_linear_img/31542563.jpg", "31542563")</f>
        <v>31542563</v>
      </c>
      <c r="C1901" s="3" t="str">
        <f>HYPERLINK("http://www.ncbi.nlm.nih.gov/protein/31542563","Dnajc3")</f>
        <v>Dnajc3</v>
      </c>
      <c r="E1901" t="str">
        <f>HYPERLINK("J:\Depot - mpkCCD Fractions\Main Web Page\Web Pages_old\proteomic_fractions_linear_files/Yang_linear_img/31542563.jpg","show blot")</f>
        <v>show blot</v>
      </c>
      <c r="G1901" t="s">
        <v>1884</v>
      </c>
      <c r="I1901" s="6">
        <v>4.1377200104195282</v>
      </c>
      <c r="K1901" s="8"/>
    </row>
    <row r="1902" spans="1:11" ht="15" x14ac:dyDescent="0.25">
      <c r="A1902" s="3" t="str">
        <f>HYPERLINK("proteomic_fractions_linear_files/Yang_linear_img/10181196.jpg", "10181196")</f>
        <v>10181196</v>
      </c>
      <c r="C1902" s="3" t="str">
        <f>HYPERLINK("http://www.ncbi.nlm.nih.gov/protein/10181196","Dnajc4")</f>
        <v>Dnajc4</v>
      </c>
      <c r="E1902" t="str">
        <f>HYPERLINK("J:\Depot - mpkCCD Fractions\Main Web Page\Web Pages_old\proteomic_fractions_linear_files/Yang_linear_img/10181196.jpg","show blot")</f>
        <v>show blot</v>
      </c>
      <c r="G1902" t="s">
        <v>1885</v>
      </c>
      <c r="I1902" s="6">
        <v>1.7791177112616345</v>
      </c>
      <c r="K1902" s="8"/>
    </row>
    <row r="1903" spans="1:11" ht="15" x14ac:dyDescent="0.25">
      <c r="A1903" s="3" t="str">
        <f>HYPERLINK("proteomic_fractions_linear_files/Yang_linear_img/7949027.jpg", "7949027")</f>
        <v>7949027</v>
      </c>
      <c r="C1903" s="3" t="str">
        <f>HYPERLINK("http://www.ncbi.nlm.nih.gov/protein/7949027","Dnajc5")</f>
        <v>Dnajc5</v>
      </c>
      <c r="E1903" t="str">
        <f>HYPERLINK("J:\Depot - mpkCCD Fractions\Main Web Page\Web Pages_old\proteomic_fractions_linear_files/Yang_linear_img/7949027.jpg","show blot")</f>
        <v>show blot</v>
      </c>
      <c r="G1903" t="s">
        <v>1886</v>
      </c>
      <c r="I1903" s="6">
        <v>4.2741497971888558</v>
      </c>
      <c r="K1903" s="8"/>
    </row>
    <row r="1904" spans="1:11" ht="15" x14ac:dyDescent="0.25">
      <c r="A1904" s="3" t="str">
        <f>HYPERLINK("proteomic_fractions_linear_files/Yang_linear_img/31980994.jpg", "31980994")</f>
        <v>31980994</v>
      </c>
      <c r="C1904" s="3" t="str">
        <f>HYPERLINK("http://www.ncbi.nlm.nih.gov/protein/31980994","Dnajc7")</f>
        <v>Dnajc7</v>
      </c>
      <c r="E1904" t="str">
        <f>HYPERLINK("J:\Depot - mpkCCD Fractions\Main Web Page\Web Pages_old\proteomic_fractions_linear_files/Yang_linear_img/31980994.jpg","show blot")</f>
        <v>show blot</v>
      </c>
      <c r="G1904" t="s">
        <v>1887</v>
      </c>
      <c r="I1904" s="6">
        <v>4.4665081652262719</v>
      </c>
      <c r="K1904" s="8"/>
    </row>
    <row r="1905" spans="1:11" ht="15" x14ac:dyDescent="0.25">
      <c r="A1905" s="3" t="str">
        <f>HYPERLINK("proteomic_fractions_linear_files/Yang_linear_img/157951606.jpg", "157951606")</f>
        <v>157951606</v>
      </c>
      <c r="C1905" s="3" t="str">
        <f>HYPERLINK("http://www.ncbi.nlm.nih.gov/protein/157951606","Dnajc8")</f>
        <v>Dnajc8</v>
      </c>
      <c r="E1905" t="str">
        <f>HYPERLINK("J:\Depot - mpkCCD Fractions\Main Web Page\Web Pages_old\proteomic_fractions_linear_files/Yang_linear_img/157951606.jpg","show blot")</f>
        <v>show blot</v>
      </c>
      <c r="G1905" t="s">
        <v>1888</v>
      </c>
      <c r="I1905" s="6">
        <v>5.3559038072450287</v>
      </c>
      <c r="K1905" s="8"/>
    </row>
    <row r="1906" spans="1:11" ht="15" x14ac:dyDescent="0.25">
      <c r="A1906" s="3" t="str">
        <f>HYPERLINK("proteomic_fractions_linear_files/Yang_linear_img/23956266.jpg", "23956266")</f>
        <v>23956266</v>
      </c>
      <c r="C1906" s="3" t="str">
        <f>HYPERLINK("http://www.ncbi.nlm.nih.gov/protein/23956266","Dnajc9")</f>
        <v>Dnajc9</v>
      </c>
      <c r="E1906" t="str">
        <f>HYPERLINK("J:\Depot - mpkCCD Fractions\Main Web Page\Web Pages_old\proteomic_fractions_linear_files/Yang_linear_img/23956266.jpg","show blot")</f>
        <v>show blot</v>
      </c>
      <c r="G1906" t="s">
        <v>1889</v>
      </c>
      <c r="I1906" s="6">
        <v>5.5435717696438287</v>
      </c>
      <c r="K1906" s="8"/>
    </row>
    <row r="1907" spans="1:11" ht="15" x14ac:dyDescent="0.25">
      <c r="A1907" s="3" t="str">
        <f>HYPERLINK("proteomic_fractions_linear_files/Yang_linear_img/164607162.jpg", "164607162")</f>
        <v>164607162</v>
      </c>
      <c r="C1907" s="3" t="str">
        <f>HYPERLINK("http://www.ncbi.nlm.nih.gov/protein/164607162","Dnal1")</f>
        <v>Dnal1</v>
      </c>
      <c r="E1907" t="str">
        <f>HYPERLINK("J:\Depot - mpkCCD Fractions\Main Web Page\Web Pages_old\proteomic_fractions_linear_files/Yang_linear_img/164607162.jpg","show blot")</f>
        <v>show blot</v>
      </c>
      <c r="G1907" t="s">
        <v>1890</v>
      </c>
      <c r="I1907" s="6">
        <v>3.4009884915739161</v>
      </c>
      <c r="K1907" s="8"/>
    </row>
    <row r="1908" spans="1:11" ht="15" x14ac:dyDescent="0.25">
      <c r="A1908" s="3" t="str">
        <f>HYPERLINK("proteomic_fractions_linear_files/Yang_linear_img/148539953.jpg", "148539953")</f>
        <v>148539953</v>
      </c>
      <c r="C1908" s="3" t="str">
        <f>HYPERLINK("http://www.ncbi.nlm.nih.gov/protein/148539953","Dnase1l2")</f>
        <v>Dnase1l2</v>
      </c>
      <c r="E1908" t="str">
        <f>HYPERLINK("J:\Depot - mpkCCD Fractions\Main Web Page\Web Pages_old\proteomic_fractions_linear_files/Yang_linear_img/148539953.jpg","show blot")</f>
        <v>show blot</v>
      </c>
      <c r="G1908" t="s">
        <v>1891</v>
      </c>
      <c r="I1908" s="6">
        <v>5.2963871448937754</v>
      </c>
      <c r="K1908" s="8"/>
    </row>
    <row r="1909" spans="1:11" ht="15" x14ac:dyDescent="0.25">
      <c r="A1909" s="3" t="str">
        <f>HYPERLINK("proteomic_fractions_linear_files/Yang_linear_img/6753654.jpg", "6753654")</f>
        <v>6753654</v>
      </c>
      <c r="C1909" s="3" t="str">
        <f>HYPERLINK("http://www.ncbi.nlm.nih.gov/protein/6753654","Dnase2a")</f>
        <v>Dnase2a</v>
      </c>
      <c r="E1909" t="str">
        <f>HYPERLINK("J:\Depot - mpkCCD Fractions\Main Web Page\Web Pages_old\proteomic_fractions_linear_files/Yang_linear_img/6753654.jpg","show blot")</f>
        <v>show blot</v>
      </c>
      <c r="G1909" t="s">
        <v>1892</v>
      </c>
      <c r="I1909" s="6">
        <v>4.2154906514949646</v>
      </c>
      <c r="K1909" s="8"/>
    </row>
    <row r="1910" spans="1:11" ht="15" x14ac:dyDescent="0.25">
      <c r="A1910" s="3" t="str">
        <f>HYPERLINK("proteomic_fractions_linear_files/Yang_linear_img/110625712.jpg", "110625712")</f>
        <v>110625712</v>
      </c>
      <c r="C1910" s="3" t="str">
        <f>HYPERLINK("http://www.ncbi.nlm.nih.gov/protein/110625712","Dnlz")</f>
        <v>Dnlz</v>
      </c>
      <c r="E1910" t="str">
        <f>HYPERLINK("J:\Depot - mpkCCD Fractions\Main Web Page\Web Pages_old\proteomic_fractions_linear_files/Yang_linear_img/110625712.jpg","show blot")</f>
        <v>show blot</v>
      </c>
      <c r="G1910" t="s">
        <v>1893</v>
      </c>
      <c r="I1910" s="6">
        <v>3.4827010590327747</v>
      </c>
      <c r="K1910" s="8"/>
    </row>
    <row r="1911" spans="1:11" ht="15" x14ac:dyDescent="0.25">
      <c r="A1911" s="3" t="str">
        <f>HYPERLINK("proteomic_fractions_linear_files/Yang_linear_img/218777849.jpg", "218777849")</f>
        <v>218777849</v>
      </c>
      <c r="C1911" s="3" t="str">
        <f>HYPERLINK("http://www.ncbi.nlm.nih.gov/protein/218777849","Dnlz")</f>
        <v>Dnlz</v>
      </c>
      <c r="E1911" t="str">
        <f>HYPERLINK("J:\Depot - mpkCCD Fractions\Main Web Page\Web Pages_old\proteomic_fractions_linear_files/Yang_linear_img/218777849.jpg","show blot")</f>
        <v>show blot</v>
      </c>
      <c r="G1911" t="s">
        <v>1894</v>
      </c>
      <c r="I1911" s="6">
        <v>3.4827010590327747</v>
      </c>
      <c r="K1911" s="8"/>
    </row>
    <row r="1912" spans="1:11" ht="15" x14ac:dyDescent="0.25">
      <c r="A1912" s="3" t="str">
        <f>HYPERLINK("proteomic_fractions_linear_files/Yang_linear_img/218777851.jpg", "218777851")</f>
        <v>218777851</v>
      </c>
      <c r="C1912" s="3" t="str">
        <f>HYPERLINK("http://www.ncbi.nlm.nih.gov/protein/218777851","Dnlz")</f>
        <v>Dnlz</v>
      </c>
      <c r="E1912" t="str">
        <f>HYPERLINK("J:\Depot - mpkCCD Fractions\Main Web Page\Web Pages_old\proteomic_fractions_linear_files/Yang_linear_img/218777851.jpg","show blot")</f>
        <v>show blot</v>
      </c>
      <c r="G1912" t="s">
        <v>1895</v>
      </c>
      <c r="I1912" s="6">
        <v>3.4827010590327747</v>
      </c>
      <c r="K1912" s="8"/>
    </row>
    <row r="1913" spans="1:11" ht="15" x14ac:dyDescent="0.25">
      <c r="A1913" s="3" t="str">
        <f>HYPERLINK("proteomic_fractions_linear_files/Yang_linear_img/116063570.jpg", "116063570")</f>
        <v>116063570</v>
      </c>
      <c r="C1913" s="3" t="str">
        <f>HYPERLINK("http://www.ncbi.nlm.nih.gov/protein/116063570","Dnm1")</f>
        <v>Dnm1</v>
      </c>
      <c r="E1913" t="str">
        <f>HYPERLINK("J:\Depot - mpkCCD Fractions\Main Web Page\Web Pages_old\proteomic_fractions_linear_files/Yang_linear_img/116063570.jpg","show blot")</f>
        <v>show blot</v>
      </c>
      <c r="G1913" t="s">
        <v>1896</v>
      </c>
      <c r="I1913" s="6">
        <v>4.7254492585626382</v>
      </c>
      <c r="K1913" s="8"/>
    </row>
    <row r="1914" spans="1:11" ht="15" x14ac:dyDescent="0.25">
      <c r="A1914" s="3" t="str">
        <f>HYPERLINK("proteomic_fractions_linear_files/Yang_linear_img/448261635.jpg", "448261635")</f>
        <v>448261635</v>
      </c>
      <c r="C1914" s="3" t="str">
        <f>HYPERLINK("http://www.ncbi.nlm.nih.gov/protein/448261635","Dnm1l")</f>
        <v>Dnm1l</v>
      </c>
      <c r="E1914" t="str">
        <f>HYPERLINK("J:\Depot - mpkCCD Fractions\Main Web Page\Web Pages_old\proteomic_fractions_linear_files/Yang_linear_img/448261635.jpg","show blot")</f>
        <v>show blot</v>
      </c>
      <c r="G1914" t="s">
        <v>1897</v>
      </c>
      <c r="I1914" s="6">
        <v>5.5699291932883899</v>
      </c>
      <c r="K1914" s="8"/>
    </row>
    <row r="1915" spans="1:11" ht="15" x14ac:dyDescent="0.25">
      <c r="A1915" s="3" t="str">
        <f>HYPERLINK("proteomic_fractions_linear_files/Yang_linear_img/448261637.jpg", "448261637")</f>
        <v>448261637</v>
      </c>
      <c r="C1915" s="3" t="str">
        <f>HYPERLINK("http://www.ncbi.nlm.nih.gov/protein/448261637","Dnm1l")</f>
        <v>Dnm1l</v>
      </c>
      <c r="E1915" t="str">
        <f>HYPERLINK("J:\Depot - mpkCCD Fractions\Main Web Page\Web Pages_old\proteomic_fractions_linear_files/Yang_linear_img/448261637.jpg","show blot")</f>
        <v>show blot</v>
      </c>
      <c r="G1915" t="s">
        <v>1898</v>
      </c>
      <c r="I1915" s="6">
        <v>5.5699291932883899</v>
      </c>
      <c r="K1915" s="8"/>
    </row>
    <row r="1916" spans="1:11" ht="15" x14ac:dyDescent="0.25">
      <c r="A1916" s="3" t="str">
        <f>HYPERLINK("proteomic_fractions_linear_files/Yang_linear_img/71061455.jpg", "71061455")</f>
        <v>71061455</v>
      </c>
      <c r="C1916" s="3" t="str">
        <f>HYPERLINK("http://www.ncbi.nlm.nih.gov/protein/71061455","Dnm1l")</f>
        <v>Dnm1l</v>
      </c>
      <c r="E1916" t="str">
        <f>HYPERLINK("J:\Depot - mpkCCD Fractions\Main Web Page\Web Pages_old\proteomic_fractions_linear_files/Yang_linear_img/71061455.jpg","show blot")</f>
        <v>show blot</v>
      </c>
      <c r="G1916" t="s">
        <v>1899</v>
      </c>
      <c r="I1916" s="6">
        <v>5.5699291932883899</v>
      </c>
      <c r="K1916" s="8"/>
    </row>
    <row r="1917" spans="1:11" ht="15" x14ac:dyDescent="0.25">
      <c r="A1917" s="3" t="str">
        <f>HYPERLINK("proteomic_fractions_linear_files/Yang_linear_img/71061458.jpg", "71061458")</f>
        <v>71061458</v>
      </c>
      <c r="C1917" s="3" t="str">
        <f>HYPERLINK("http://www.ncbi.nlm.nih.gov/protein/71061458","Dnm1l")</f>
        <v>Dnm1l</v>
      </c>
      <c r="E1917" t="str">
        <f>HYPERLINK("J:\Depot - mpkCCD Fractions\Main Web Page\Web Pages_old\proteomic_fractions_linear_files/Yang_linear_img/71061458.jpg","show blot")</f>
        <v>show blot</v>
      </c>
      <c r="G1917" t="s">
        <v>1900</v>
      </c>
      <c r="I1917" s="6">
        <v>5.5699291932883899</v>
      </c>
      <c r="K1917" s="8"/>
    </row>
    <row r="1918" spans="1:11" ht="15" x14ac:dyDescent="0.25">
      <c r="A1918" s="3" t="str">
        <f>HYPERLINK("proteomic_fractions_linear_files/Yang_linear_img/359751391.jpg", "359751391")</f>
        <v>359751391</v>
      </c>
      <c r="C1918" s="3" t="str">
        <f>HYPERLINK("http://www.ncbi.nlm.nih.gov/protein/359751391","Dnm2")</f>
        <v>Dnm2</v>
      </c>
      <c r="E1918" t="str">
        <f>HYPERLINK("J:\Depot - mpkCCD Fractions\Main Web Page\Web Pages_old\proteomic_fractions_linear_files/Yang_linear_img/359751391.jpg","show blot")</f>
        <v>show blot</v>
      </c>
      <c r="G1918" t="s">
        <v>1901</v>
      </c>
      <c r="I1918" s="6">
        <v>5.1699182927386014</v>
      </c>
      <c r="K1918" s="8"/>
    </row>
    <row r="1919" spans="1:11" ht="15" x14ac:dyDescent="0.25">
      <c r="A1919" s="3" t="str">
        <f>HYPERLINK("proteomic_fractions_linear_files/Yang_linear_img/359751394.jpg", "359751394")</f>
        <v>359751394</v>
      </c>
      <c r="C1919" s="3" t="str">
        <f>HYPERLINK("http://www.ncbi.nlm.nih.gov/protein/359751394","Dnm2")</f>
        <v>Dnm2</v>
      </c>
      <c r="E1919" t="str">
        <f>HYPERLINK("J:\Depot - mpkCCD Fractions\Main Web Page\Web Pages_old\proteomic_fractions_linear_files/Yang_linear_img/359751394.jpg","show blot")</f>
        <v>show blot</v>
      </c>
      <c r="G1919" t="s">
        <v>1902</v>
      </c>
      <c r="I1919" s="6">
        <v>5.1699182927386014</v>
      </c>
      <c r="K1919" s="8"/>
    </row>
    <row r="1920" spans="1:11" ht="15" x14ac:dyDescent="0.25">
      <c r="A1920" s="3" t="str">
        <f>HYPERLINK("proteomic_fractions_linear_files/Yang_linear_img/359751399.jpg", "359751399")</f>
        <v>359751399</v>
      </c>
      <c r="C1920" s="3" t="str">
        <f>HYPERLINK("http://www.ncbi.nlm.nih.gov/protein/359751399","Dnm2")</f>
        <v>Dnm2</v>
      </c>
      <c r="E1920" t="str">
        <f>HYPERLINK("J:\Depot - mpkCCD Fractions\Main Web Page\Web Pages_old\proteomic_fractions_linear_files/Yang_linear_img/359751399.jpg","show blot")</f>
        <v>show blot</v>
      </c>
      <c r="G1920" t="s">
        <v>1903</v>
      </c>
      <c r="I1920" s="6">
        <v>5.1699182927386014</v>
      </c>
      <c r="K1920" s="8"/>
    </row>
    <row r="1921" spans="1:11" ht="15" x14ac:dyDescent="0.25">
      <c r="A1921" s="3" t="str">
        <f>HYPERLINK("proteomic_fractions_linear_files/Yang_linear_img/87299637.jpg", "87299637")</f>
        <v>87299637</v>
      </c>
      <c r="C1921" s="3" t="str">
        <f>HYPERLINK("http://www.ncbi.nlm.nih.gov/protein/87299637","Dnm2")</f>
        <v>Dnm2</v>
      </c>
      <c r="E1921" t="str">
        <f>HYPERLINK("J:\Depot - mpkCCD Fractions\Main Web Page\Web Pages_old\proteomic_fractions_linear_files/Yang_linear_img/87299637.jpg","show blot")</f>
        <v>show blot</v>
      </c>
      <c r="G1921" t="s">
        <v>1904</v>
      </c>
      <c r="I1921" s="6">
        <v>5.1699182927386014</v>
      </c>
      <c r="K1921" s="8"/>
    </row>
    <row r="1922" spans="1:11" ht="15" x14ac:dyDescent="0.25">
      <c r="A1922" s="3" t="str">
        <f>HYPERLINK("proteomic_fractions_linear_files/Yang_linear_img/27369922.jpg", "27369922")</f>
        <v>27369922</v>
      </c>
      <c r="C1922" s="3" t="str">
        <f>HYPERLINK("http://www.ncbi.nlm.nih.gov/protein/27369922","Dnm3")</f>
        <v>Dnm3</v>
      </c>
      <c r="E1922" t="str">
        <f>HYPERLINK("J:\Depot - mpkCCD Fractions\Main Web Page\Web Pages_old\proteomic_fractions_linear_files/Yang_linear_img/27369922.jpg","show blot")</f>
        <v>show blot</v>
      </c>
      <c r="G1922" t="s">
        <v>1905</v>
      </c>
      <c r="I1922" s="6">
        <v>4.7396200466222096</v>
      </c>
      <c r="K1922" s="8"/>
    </row>
    <row r="1923" spans="1:11" ht="15" x14ac:dyDescent="0.25">
      <c r="A1923" s="3" t="str">
        <f>HYPERLINK("proteomic_fractions_linear_files/Yang_linear_img/84490431.jpg", "84490431")</f>
        <v>84490431</v>
      </c>
      <c r="C1923" s="3" t="str">
        <f>HYPERLINK("http://www.ncbi.nlm.nih.gov/protein/84490431","Dnm3")</f>
        <v>Dnm3</v>
      </c>
      <c r="E1923" t="str">
        <f>HYPERLINK("J:\Depot - mpkCCD Fractions\Main Web Page\Web Pages_old\proteomic_fractions_linear_files/Yang_linear_img/84490431.jpg","show blot")</f>
        <v>show blot</v>
      </c>
      <c r="G1923" t="s">
        <v>1906</v>
      </c>
      <c r="I1923" s="6">
        <v>4.7396200466222096</v>
      </c>
      <c r="K1923" s="8"/>
    </row>
    <row r="1924" spans="1:11" ht="15" x14ac:dyDescent="0.25">
      <c r="A1924" s="3" t="str">
        <f>HYPERLINK("proteomic_fractions_linear_files/Yang_linear_img/313661497.jpg", "313661497")</f>
        <v>313661497</v>
      </c>
      <c r="C1924" s="3" t="str">
        <f>HYPERLINK("http://www.ncbi.nlm.nih.gov/protein/313661497","Dnmt1")</f>
        <v>Dnmt1</v>
      </c>
      <c r="E1924" t="str">
        <f>HYPERLINK("J:\Depot - mpkCCD Fractions\Main Web Page\Web Pages_old\proteomic_fractions_linear_files/Yang_linear_img/313661497.jpg","show blot")</f>
        <v>show blot</v>
      </c>
      <c r="G1924" t="s">
        <v>1907</v>
      </c>
      <c r="I1924" s="6">
        <v>5.0251147775911535</v>
      </c>
      <c r="K1924" s="8"/>
    </row>
    <row r="1925" spans="1:11" ht="15" x14ac:dyDescent="0.25">
      <c r="A1925" s="3" t="str">
        <f>HYPERLINK("proteomic_fractions_linear_files/Yang_linear_img/313661499.jpg", "313661499")</f>
        <v>313661499</v>
      </c>
      <c r="C1925" s="3" t="str">
        <f>HYPERLINK("http://www.ncbi.nlm.nih.gov/protein/313661499","Dnmt1")</f>
        <v>Dnmt1</v>
      </c>
      <c r="E1925" t="str">
        <f>HYPERLINK("J:\Depot - mpkCCD Fractions\Main Web Page\Web Pages_old\proteomic_fractions_linear_files/Yang_linear_img/313661499.jpg","show blot")</f>
        <v>show blot</v>
      </c>
      <c r="G1925" t="s">
        <v>1908</v>
      </c>
      <c r="I1925" s="6">
        <v>5.0251147775911535</v>
      </c>
      <c r="K1925" s="8"/>
    </row>
    <row r="1926" spans="1:11" ht="15" x14ac:dyDescent="0.25">
      <c r="A1926" s="3" t="str">
        <f>HYPERLINK("proteomic_fractions_linear_files/Yang_linear_img/327180732.jpg", "327180732")</f>
        <v>327180732</v>
      </c>
      <c r="C1926" s="3" t="str">
        <f>HYPERLINK("http://www.ncbi.nlm.nih.gov/protein/327180732","Dnmt1")</f>
        <v>Dnmt1</v>
      </c>
      <c r="E1926" t="str">
        <f>HYPERLINK("J:\Depot - mpkCCD Fractions\Main Web Page\Web Pages_old\proteomic_fractions_linear_files/Yang_linear_img/327180732.jpg","show blot")</f>
        <v>show blot</v>
      </c>
      <c r="G1926" t="s">
        <v>1909</v>
      </c>
      <c r="I1926" s="6">
        <v>5.0251147775911535</v>
      </c>
      <c r="K1926" s="8"/>
    </row>
    <row r="1927" spans="1:11" ht="15" x14ac:dyDescent="0.25">
      <c r="A1927" s="3" t="str">
        <f>HYPERLINK("proteomic_fractions_linear_files/Yang_linear_img/327180734.jpg", "327180734")</f>
        <v>327180734</v>
      </c>
      <c r="C1927" s="3" t="str">
        <f>HYPERLINK("http://www.ncbi.nlm.nih.gov/protein/327180734","Dnmt1")</f>
        <v>Dnmt1</v>
      </c>
      <c r="E1927" t="str">
        <f>HYPERLINK("J:\Depot - mpkCCD Fractions\Main Web Page\Web Pages_old\proteomic_fractions_linear_files/Yang_linear_img/327180734.jpg","show blot")</f>
        <v>show blot</v>
      </c>
      <c r="G1927" t="s">
        <v>1910</v>
      </c>
      <c r="I1927" s="6">
        <v>5.0251147775911535</v>
      </c>
      <c r="K1927" s="8"/>
    </row>
    <row r="1928" spans="1:11" ht="15" x14ac:dyDescent="0.25">
      <c r="A1928" s="3" t="str">
        <f>HYPERLINK("proteomic_fractions_linear_files/Yang_linear_img/161016820.jpg", "161016820")</f>
        <v>161016820</v>
      </c>
      <c r="C1928" s="3" t="str">
        <f>HYPERLINK("http://www.ncbi.nlm.nih.gov/protein/161016820","Dnpep")</f>
        <v>Dnpep</v>
      </c>
      <c r="E1928" t="str">
        <f>HYPERLINK("J:\Depot - mpkCCD Fractions\Main Web Page\Web Pages_old\proteomic_fractions_linear_files/Yang_linear_img/161016820.jpg","show blot")</f>
        <v>show blot</v>
      </c>
      <c r="G1928" t="s">
        <v>1911</v>
      </c>
      <c r="I1928" s="6">
        <v>6.1710064673111988</v>
      </c>
      <c r="K1928" s="8"/>
    </row>
    <row r="1929" spans="1:11" ht="15" x14ac:dyDescent="0.25">
      <c r="A1929" s="3" t="str">
        <f>HYPERLINK("proteomic_fractions_linear_files/Yang_linear_img/161016822.jpg", "161016822")</f>
        <v>161016822</v>
      </c>
      <c r="C1929" s="3" t="str">
        <f>HYPERLINK("http://www.ncbi.nlm.nih.gov/protein/161016822","Dnpep")</f>
        <v>Dnpep</v>
      </c>
      <c r="E1929" t="str">
        <f>HYPERLINK("J:\Depot - mpkCCD Fractions\Main Web Page\Web Pages_old\proteomic_fractions_linear_files/Yang_linear_img/161016822.jpg","show blot")</f>
        <v>show blot</v>
      </c>
      <c r="G1929" t="s">
        <v>1912</v>
      </c>
      <c r="I1929" s="6">
        <v>6.1710064673111988</v>
      </c>
      <c r="K1929" s="8"/>
    </row>
    <row r="1930" spans="1:11" ht="15" x14ac:dyDescent="0.25">
      <c r="A1930" s="3" t="str">
        <f>HYPERLINK("proteomic_fractions_linear_files/Yang_linear_img/110625744.jpg", "110625744")</f>
        <v>110625744</v>
      </c>
      <c r="C1930" s="3" t="str">
        <f>HYPERLINK("http://www.ncbi.nlm.nih.gov/protein/110625744","Dnph1")</f>
        <v>Dnph1</v>
      </c>
      <c r="E1930" t="str">
        <f>HYPERLINK("J:\Depot - mpkCCD Fractions\Main Web Page\Web Pages_old\proteomic_fractions_linear_files/Yang_linear_img/110625744.jpg","show blot")</f>
        <v>show blot</v>
      </c>
      <c r="G1930" t="s">
        <v>1913</v>
      </c>
      <c r="I1930" s="6">
        <v>5.2755302064408065</v>
      </c>
      <c r="K1930" s="8"/>
    </row>
    <row r="1931" spans="1:11" ht="15" x14ac:dyDescent="0.25">
      <c r="A1931" s="3" t="str">
        <f>HYPERLINK("proteomic_fractions_linear_files/Yang_linear_img/24418931.jpg", "24418931")</f>
        <v>24418931</v>
      </c>
      <c r="C1931" s="3" t="str">
        <f>HYPERLINK("http://www.ncbi.nlm.nih.gov/protein/24418931","Dnttip2")</f>
        <v>Dnttip2</v>
      </c>
      <c r="E1931" t="str">
        <f>HYPERLINK("J:\Depot - mpkCCD Fractions\Main Web Page\Web Pages_old\proteomic_fractions_linear_files/Yang_linear_img/24418931.jpg","show blot")</f>
        <v>show blot</v>
      </c>
      <c r="G1931" t="s">
        <v>1914</v>
      </c>
      <c r="I1931" s="6">
        <v>3.1286629697606254</v>
      </c>
      <c r="K1931" s="8"/>
    </row>
    <row r="1932" spans="1:11" ht="15" x14ac:dyDescent="0.25">
      <c r="A1932" s="3" t="str">
        <f>HYPERLINK("proteomic_fractions_linear_files/Yang_linear_img/88853584.jpg", "88853584")</f>
        <v>88853584</v>
      </c>
      <c r="C1932" s="3" t="str">
        <f>HYPERLINK("http://www.ncbi.nlm.nih.gov/protein/88853584","Dock1")</f>
        <v>Dock1</v>
      </c>
      <c r="E1932" t="str">
        <f>HYPERLINK("J:\Depot - mpkCCD Fractions\Main Web Page\Web Pages_old\proteomic_fractions_linear_files/Yang_linear_img/88853584.jpg","show blot")</f>
        <v>show blot</v>
      </c>
      <c r="G1932" t="s">
        <v>1915</v>
      </c>
      <c r="I1932" s="6">
        <v>4.6549349879290816</v>
      </c>
      <c r="K1932" s="8"/>
    </row>
    <row r="1933" spans="1:11" ht="15" x14ac:dyDescent="0.25">
      <c r="A1933" s="3" t="str">
        <f>HYPERLINK("proteomic_fractions_linear_files/Yang_linear_img/148277096.jpg", "148277096")</f>
        <v>148277096</v>
      </c>
      <c r="C1933" s="3" t="str">
        <f>HYPERLINK("http://www.ncbi.nlm.nih.gov/protein/148277096","Dock3")</f>
        <v>Dock3</v>
      </c>
      <c r="E1933" t="str">
        <f>HYPERLINK("J:\Depot - mpkCCD Fractions\Main Web Page\Web Pages_old\proteomic_fractions_linear_files/Yang_linear_img/148277096.jpg","show blot")</f>
        <v>show blot</v>
      </c>
      <c r="G1933" t="s">
        <v>1916</v>
      </c>
      <c r="I1933" s="6">
        <v>2.0457090258113921</v>
      </c>
      <c r="K1933" s="8"/>
    </row>
    <row r="1934" spans="1:11" ht="15" x14ac:dyDescent="0.25">
      <c r="A1934" s="3" t="str">
        <f>HYPERLINK("proteomic_fractions_linear_files/Yang_linear_img/124358946.jpg", "124358946")</f>
        <v>124358946</v>
      </c>
      <c r="C1934" s="3" t="str">
        <f>HYPERLINK("http://www.ncbi.nlm.nih.gov/protein/124358946","Dock5")</f>
        <v>Dock5</v>
      </c>
      <c r="E1934" t="str">
        <f>HYPERLINK("J:\Depot - mpkCCD Fractions\Main Web Page\Web Pages_old\proteomic_fractions_linear_files/Yang_linear_img/124358946.jpg","show blot")</f>
        <v>show blot</v>
      </c>
      <c r="G1934" t="s">
        <v>1917</v>
      </c>
      <c r="I1934" s="6">
        <v>2.6440499962608635</v>
      </c>
      <c r="K1934" s="8"/>
    </row>
    <row r="1935" spans="1:11" ht="15" x14ac:dyDescent="0.25">
      <c r="A1935" s="3" t="str">
        <f>HYPERLINK("proteomic_fractions_linear_files/Yang_linear_img/78191789.jpg", "78191789")</f>
        <v>78191789</v>
      </c>
      <c r="C1935" s="3" t="str">
        <f>HYPERLINK("http://www.ncbi.nlm.nih.gov/protein/78191789","Dock7")</f>
        <v>Dock7</v>
      </c>
      <c r="E1935" t="str">
        <f>HYPERLINK("J:\Depot - mpkCCD Fractions\Main Web Page\Web Pages_old\proteomic_fractions_linear_files/Yang_linear_img/78191789.jpg","show blot")</f>
        <v>show blot</v>
      </c>
      <c r="G1935" t="s">
        <v>1918</v>
      </c>
      <c r="I1935" s="6">
        <v>2.7402014976087696</v>
      </c>
      <c r="K1935" s="8"/>
    </row>
    <row r="1936" spans="1:11" ht="15" x14ac:dyDescent="0.25">
      <c r="A1936" s="3" t="str">
        <f>HYPERLINK("proteomic_fractions_linear_files/Yang_linear_img/62241030.jpg", "62241030")</f>
        <v>62241030</v>
      </c>
      <c r="C1936" s="3" t="str">
        <f>HYPERLINK("http://www.ncbi.nlm.nih.gov/protein/62241030","Dock8")</f>
        <v>Dock8</v>
      </c>
      <c r="E1936" t="str">
        <f>HYPERLINK("J:\Depot - mpkCCD Fractions\Main Web Page\Web Pages_old\proteomic_fractions_linear_files/Yang_linear_img/62241030.jpg","show blot")</f>
        <v>show blot</v>
      </c>
      <c r="G1936" t="s">
        <v>1919</v>
      </c>
      <c r="I1936" s="6">
        <v>3.2777739076403658</v>
      </c>
      <c r="K1936" s="8"/>
    </row>
    <row r="1937" spans="1:11" ht="15" x14ac:dyDescent="0.25">
      <c r="A1937" s="3" t="str">
        <f>HYPERLINK("proteomic_fractions_linear_files/Yang_linear_img/124486664.jpg", "124486664")</f>
        <v>124486664</v>
      </c>
      <c r="C1937" s="3" t="str">
        <f>HYPERLINK("http://www.ncbi.nlm.nih.gov/protein/124486664","Dock9")</f>
        <v>Dock9</v>
      </c>
      <c r="E1937" t="str">
        <f>HYPERLINK("J:\Depot - mpkCCD Fractions\Main Web Page\Web Pages_old\proteomic_fractions_linear_files/Yang_linear_img/124486664.jpg","show blot")</f>
        <v>show blot</v>
      </c>
      <c r="G1937" t="s">
        <v>1920</v>
      </c>
      <c r="I1937" s="6">
        <v>3.2985718259341854</v>
      </c>
      <c r="K1937" s="8"/>
    </row>
    <row r="1938" spans="1:11" ht="15" x14ac:dyDescent="0.25">
      <c r="A1938" s="3" t="str">
        <f>HYPERLINK("proteomic_fractions_linear_files/Yang_linear_img/190194397.jpg", "190194397")</f>
        <v>190194397</v>
      </c>
      <c r="C1938" s="3" t="str">
        <f>HYPERLINK("http://www.ncbi.nlm.nih.gov/protein/190194397","Dock9")</f>
        <v>Dock9</v>
      </c>
      <c r="E1938" t="str">
        <f>HYPERLINK("J:\Depot - mpkCCD Fractions\Main Web Page\Web Pages_old\proteomic_fractions_linear_files/Yang_linear_img/190194397.jpg","show blot")</f>
        <v>show blot</v>
      </c>
      <c r="G1938" t="s">
        <v>1921</v>
      </c>
      <c r="I1938" s="6">
        <v>3.2985718259341854</v>
      </c>
      <c r="K1938" s="8"/>
    </row>
    <row r="1939" spans="1:11" ht="15" x14ac:dyDescent="0.25">
      <c r="A1939" s="3" t="str">
        <f>HYPERLINK("proteomic_fractions_linear_files/Yang_linear_img/190194399.jpg", "190194399")</f>
        <v>190194399</v>
      </c>
      <c r="C1939" s="3" t="str">
        <f>HYPERLINK("http://www.ncbi.nlm.nih.gov/protein/190194399","Dock9")</f>
        <v>Dock9</v>
      </c>
      <c r="E1939" t="str">
        <f>HYPERLINK("J:\Depot - mpkCCD Fractions\Main Web Page\Web Pages_old\proteomic_fractions_linear_files/Yang_linear_img/190194399.jpg","show blot")</f>
        <v>show blot</v>
      </c>
      <c r="G1939" t="s">
        <v>1922</v>
      </c>
      <c r="I1939" s="6">
        <v>3.2985718259341854</v>
      </c>
      <c r="K1939" s="8"/>
    </row>
    <row r="1940" spans="1:11" ht="15" x14ac:dyDescent="0.25">
      <c r="A1940" s="3" t="str">
        <f>HYPERLINK("proteomic_fractions_linear_files/Yang_linear_img/190194401.jpg", "190194401")</f>
        <v>190194401</v>
      </c>
      <c r="C1940" s="3" t="str">
        <f>HYPERLINK("http://www.ncbi.nlm.nih.gov/protein/190194401","Dock9")</f>
        <v>Dock9</v>
      </c>
      <c r="E1940" t="str">
        <f>HYPERLINK("J:\Depot - mpkCCD Fractions\Main Web Page\Web Pages_old\proteomic_fractions_linear_files/Yang_linear_img/190194401.jpg","show blot")</f>
        <v>show blot</v>
      </c>
      <c r="G1940" t="s">
        <v>1923</v>
      </c>
      <c r="I1940" s="6">
        <v>3.2985718259341854</v>
      </c>
      <c r="K1940" s="8"/>
    </row>
    <row r="1941" spans="1:11" ht="15" x14ac:dyDescent="0.25">
      <c r="A1941" s="3" t="str">
        <f>HYPERLINK("proteomic_fractions_linear_files/Yang_linear_img/284005490.jpg", "284005490")</f>
        <v>284005490</v>
      </c>
      <c r="C1941" s="3" t="str">
        <f>HYPERLINK("http://www.ncbi.nlm.nih.gov/protein/284005490","Dohh")</f>
        <v>Dohh</v>
      </c>
      <c r="E1941" t="str">
        <f>HYPERLINK("J:\Depot - mpkCCD Fractions\Main Web Page\Web Pages_old\proteomic_fractions_linear_files/Yang_linear_img/284005490.jpg","show blot")</f>
        <v>show blot</v>
      </c>
      <c r="G1941" t="s">
        <v>1924</v>
      </c>
      <c r="I1941" s="6">
        <v>4.7297386534667929</v>
      </c>
      <c r="K1941" s="8"/>
    </row>
    <row r="1942" spans="1:11" ht="15" x14ac:dyDescent="0.25">
      <c r="A1942" s="3" t="str">
        <f>HYPERLINK("proteomic_fractions_linear_files/Yang_linear_img/190194414.jpg", "190194414")</f>
        <v>190194414</v>
      </c>
      <c r="C1942" s="3" t="str">
        <f>HYPERLINK("http://www.ncbi.nlm.nih.gov/protein/190194414","Dopey1")</f>
        <v>Dopey1</v>
      </c>
      <c r="E1942" t="str">
        <f>HYPERLINK("J:\Depot - mpkCCD Fractions\Main Web Page\Web Pages_old\proteomic_fractions_linear_files/Yang_linear_img/190194414.jpg","show blot")</f>
        <v>show blot</v>
      </c>
      <c r="G1942" t="s">
        <v>1925</v>
      </c>
      <c r="I1942" s="6">
        <v>1.9879159561953299</v>
      </c>
      <c r="K1942" s="8"/>
    </row>
    <row r="1943" spans="1:11" ht="15" x14ac:dyDescent="0.25">
      <c r="A1943" s="3" t="str">
        <f>HYPERLINK("proteomic_fractions_linear_files/Yang_linear_img/62243808.jpg", "62243808")</f>
        <v>62243808</v>
      </c>
      <c r="C1943" s="3" t="str">
        <f>HYPERLINK("http://www.ncbi.nlm.nih.gov/protein/62243808","Dopey2")</f>
        <v>Dopey2</v>
      </c>
      <c r="E1943" t="str">
        <f>HYPERLINK("J:\Depot - mpkCCD Fractions\Main Web Page\Web Pages_old\proteomic_fractions_linear_files/Yang_linear_img/62243808.jpg","show blot")</f>
        <v>show blot</v>
      </c>
      <c r="G1943" t="s">
        <v>1926</v>
      </c>
      <c r="I1943" s="6">
        <v>1.4632430395393656</v>
      </c>
      <c r="K1943" s="8"/>
    </row>
    <row r="1944" spans="1:11" ht="15" x14ac:dyDescent="0.25">
      <c r="A1944" s="3" t="str">
        <f>HYPERLINK("proteomic_fractions_linear_files/Yang_linear_img/31541998.jpg", "31541998")</f>
        <v>31541998</v>
      </c>
      <c r="C1944" s="3" t="str">
        <f>HYPERLINK("http://www.ncbi.nlm.nih.gov/protein/31541998","Dpcd")</f>
        <v>Dpcd</v>
      </c>
      <c r="E1944" t="str">
        <f>HYPERLINK("J:\Depot - mpkCCD Fractions\Main Web Page\Web Pages_old\proteomic_fractions_linear_files/Yang_linear_img/31541998.jpg","show blot")</f>
        <v>show blot</v>
      </c>
      <c r="G1944" t="s">
        <v>1927</v>
      </c>
      <c r="I1944" s="6">
        <v>4.7524195254950028</v>
      </c>
      <c r="K1944" s="8"/>
    </row>
    <row r="1945" spans="1:11" ht="15" x14ac:dyDescent="0.25">
      <c r="A1945" s="3" t="str">
        <f>HYPERLINK("proteomic_fractions_linear_files/Yang_linear_img/21313683.jpg", "21313683")</f>
        <v>21313683</v>
      </c>
      <c r="C1945" s="3" t="str">
        <f>HYPERLINK("http://www.ncbi.nlm.nih.gov/protein/21313683","Dpep3")</f>
        <v>Dpep3</v>
      </c>
      <c r="E1945" t="str">
        <f>HYPERLINK("J:\Depot - mpkCCD Fractions\Main Web Page\Web Pages_old\proteomic_fractions_linear_files/Yang_linear_img/21313683.jpg","show blot")</f>
        <v>show blot</v>
      </c>
      <c r="G1945" t="s">
        <v>1928</v>
      </c>
      <c r="I1945" s="6">
        <v>2.7932403719243708</v>
      </c>
      <c r="K1945" s="8"/>
    </row>
    <row r="1946" spans="1:11" ht="15" x14ac:dyDescent="0.25">
      <c r="A1946" s="3" t="str">
        <f>HYPERLINK("proteomic_fractions_linear_files/Yang_linear_img/6755314.jpg", "6755314")</f>
        <v>6755314</v>
      </c>
      <c r="C1946" s="3" t="str">
        <f>HYPERLINK("http://www.ncbi.nlm.nih.gov/protein/6755314","Dpf2")</f>
        <v>Dpf2</v>
      </c>
      <c r="E1946" t="str">
        <f>HYPERLINK("J:\Depot - mpkCCD Fractions\Main Web Page\Web Pages_old\proteomic_fractions_linear_files/Yang_linear_img/6755314.jpg","show blot")</f>
        <v>show blot</v>
      </c>
      <c r="G1946" t="s">
        <v>1929</v>
      </c>
      <c r="I1946" s="6">
        <v>3.3473416725874752</v>
      </c>
      <c r="K1946" s="8"/>
    </row>
    <row r="1947" spans="1:11" ht="15" x14ac:dyDescent="0.25">
      <c r="A1947" s="3" t="str">
        <f>HYPERLINK("proteomic_fractions_linear_files/Yang_linear_img/118026919.jpg", "118026919")</f>
        <v>118026919</v>
      </c>
      <c r="C1947" s="3" t="str">
        <f>HYPERLINK("http://www.ncbi.nlm.nih.gov/protein/118026919","Dph1")</f>
        <v>Dph1</v>
      </c>
      <c r="E1947" t="str">
        <f>HYPERLINK("J:\Depot - mpkCCD Fractions\Main Web Page\Web Pages_old\proteomic_fractions_linear_files/Yang_linear_img/118026919.jpg","show blot")</f>
        <v>show blot</v>
      </c>
      <c r="G1947" t="s">
        <v>1930</v>
      </c>
      <c r="I1947" s="6">
        <v>3.6153962067477816</v>
      </c>
      <c r="K1947" s="8"/>
    </row>
    <row r="1948" spans="1:11" ht="15" x14ac:dyDescent="0.25">
      <c r="A1948" s="3" t="str">
        <f>HYPERLINK("proteomic_fractions_linear_files/Yang_linear_img/33468993.jpg", "33468993")</f>
        <v>33468993</v>
      </c>
      <c r="C1948" s="3" t="str">
        <f>HYPERLINK("http://www.ncbi.nlm.nih.gov/protein/33468993","Dph2")</f>
        <v>Dph2</v>
      </c>
      <c r="E1948" t="str">
        <f>HYPERLINK("J:\Depot - mpkCCD Fractions\Main Web Page\Web Pages_old\proteomic_fractions_linear_files/Yang_linear_img/33468993.jpg","show blot")</f>
        <v>show blot</v>
      </c>
      <c r="G1948" t="s">
        <v>1931</v>
      </c>
      <c r="I1948" s="6">
        <v>3.6723161797480879</v>
      </c>
      <c r="K1948" s="8"/>
    </row>
    <row r="1949" spans="1:11" ht="15" x14ac:dyDescent="0.25">
      <c r="A1949" s="3" t="str">
        <f>HYPERLINK("proteomic_fractions_linear_files/Yang_linear_img/40254183.jpg", "40254183")</f>
        <v>40254183</v>
      </c>
      <c r="C1949" s="3" t="str">
        <f>HYPERLINK("http://www.ncbi.nlm.nih.gov/protein/40254183","Dph5")</f>
        <v>Dph5</v>
      </c>
      <c r="E1949" t="str">
        <f>HYPERLINK("J:\Depot - mpkCCD Fractions\Main Web Page\Web Pages_old\proteomic_fractions_linear_files/Yang_linear_img/40254183.jpg","show blot")</f>
        <v>show blot</v>
      </c>
      <c r="G1949" t="s">
        <v>1932</v>
      </c>
      <c r="I1949" s="6">
        <v>3.958844820409825</v>
      </c>
      <c r="K1949" s="8"/>
    </row>
    <row r="1950" spans="1:11" ht="15" x14ac:dyDescent="0.25">
      <c r="A1950" s="3" t="str">
        <f>HYPERLINK("proteomic_fractions_linear_files/Yang_linear_img/13385136.jpg", "13385136")</f>
        <v>13385136</v>
      </c>
      <c r="C1950" s="3" t="str">
        <f>HYPERLINK("http://www.ncbi.nlm.nih.gov/protein/13385136","Dph6")</f>
        <v>Dph6</v>
      </c>
      <c r="E1950" t="str">
        <f>HYPERLINK("J:\Depot - mpkCCD Fractions\Main Web Page\Web Pages_old\proteomic_fractions_linear_files/Yang_linear_img/13385136.jpg","show blot")</f>
        <v>show blot</v>
      </c>
      <c r="G1950" t="s">
        <v>1933</v>
      </c>
      <c r="I1950" s="6">
        <v>4.2956275698789748</v>
      </c>
      <c r="K1950" s="8"/>
    </row>
    <row r="1951" spans="1:11" ht="15" x14ac:dyDescent="0.25">
      <c r="A1951" s="3" t="str">
        <f>HYPERLINK("proteomic_fractions_linear_files/Yang_linear_img/21313066.jpg", "21313066")</f>
        <v>21313066</v>
      </c>
      <c r="C1951" s="3" t="str">
        <f>HYPERLINK("http://www.ncbi.nlm.nih.gov/protein/21313066","Dph7")</f>
        <v>Dph7</v>
      </c>
      <c r="E1951" t="str">
        <f>HYPERLINK("J:\Depot - mpkCCD Fractions\Main Web Page\Web Pages_old\proteomic_fractions_linear_files/Yang_linear_img/21313066.jpg","show blot")</f>
        <v>show blot</v>
      </c>
      <c r="G1951" t="s">
        <v>1934</v>
      </c>
      <c r="I1951" s="6">
        <v>3.883538498004977</v>
      </c>
      <c r="K1951" s="8"/>
    </row>
    <row r="1952" spans="1:11" ht="15" x14ac:dyDescent="0.25">
      <c r="A1952" s="3" t="str">
        <f>HYPERLINK("proteomic_fractions_linear_files/Yang_linear_img/6753670.jpg", "6753670")</f>
        <v>6753670</v>
      </c>
      <c r="C1952" s="3" t="str">
        <f>HYPERLINK("http://www.ncbi.nlm.nih.gov/protein/6753670","Dpm1")</f>
        <v>Dpm1</v>
      </c>
      <c r="E1952" t="str">
        <f>HYPERLINK("J:\Depot - mpkCCD Fractions\Main Web Page\Web Pages_old\proteomic_fractions_linear_files/Yang_linear_img/6753670.jpg","show blot")</f>
        <v>show blot</v>
      </c>
      <c r="G1952" t="s">
        <v>1935</v>
      </c>
      <c r="I1952" s="6">
        <v>5.3719857949441856</v>
      </c>
      <c r="K1952" s="8"/>
    </row>
    <row r="1953" spans="1:11" ht="15" x14ac:dyDescent="0.25">
      <c r="A1953" s="3" t="str">
        <f>HYPERLINK("proteomic_fractions_linear_files/Yang_linear_img/58037125.jpg", "58037125")</f>
        <v>58037125</v>
      </c>
      <c r="C1953" s="3" t="str">
        <f>HYPERLINK("http://www.ncbi.nlm.nih.gov/protein/58037125","Dpm3")</f>
        <v>Dpm3</v>
      </c>
      <c r="E1953" t="str">
        <f>HYPERLINK("J:\Depot - mpkCCD Fractions\Main Web Page\Web Pages_old\proteomic_fractions_linear_files/Yang_linear_img/58037125.jpg","show blot")</f>
        <v>show blot</v>
      </c>
      <c r="G1953" t="s">
        <v>1936</v>
      </c>
      <c r="I1953" s="6">
        <v>5.7035378240722849</v>
      </c>
      <c r="K1953" s="8"/>
    </row>
    <row r="1954" spans="1:11" ht="15" x14ac:dyDescent="0.25">
      <c r="A1954" s="3" t="str">
        <f>HYPERLINK("proteomic_fractions_linear_files/Yang_linear_img/244791124.jpg", "244791124")</f>
        <v>244791124</v>
      </c>
      <c r="C1954" s="3" t="str">
        <f>HYPERLINK("http://www.ncbi.nlm.nih.gov/protein/244791124","Dpp3")</f>
        <v>Dpp3</v>
      </c>
      <c r="E1954" t="str">
        <f>HYPERLINK("J:\Depot - mpkCCD Fractions\Main Web Page\Web Pages_old\proteomic_fractions_linear_files/Yang_linear_img/244791124.jpg","show blot")</f>
        <v>show blot</v>
      </c>
      <c r="G1954" t="s">
        <v>1937</v>
      </c>
      <c r="I1954" s="6">
        <v>5.4098716222074206</v>
      </c>
      <c r="K1954" s="8"/>
    </row>
    <row r="1955" spans="1:11" ht="15" x14ac:dyDescent="0.25">
      <c r="A1955" s="3" t="str">
        <f>HYPERLINK("proteomic_fractions_linear_files/Yang_linear_img/227116292.jpg", "227116292")</f>
        <v>227116292</v>
      </c>
      <c r="C1955" s="3" t="str">
        <f>HYPERLINK("http://www.ncbi.nlm.nih.gov/protein/227116292","Dpp4")</f>
        <v>Dpp4</v>
      </c>
      <c r="E1955" t="str">
        <f>HYPERLINK("J:\Depot - mpkCCD Fractions\Main Web Page\Web Pages_old\proteomic_fractions_linear_files/Yang_linear_img/227116292.jpg","show blot")</f>
        <v>show blot</v>
      </c>
      <c r="G1955" t="s">
        <v>1938</v>
      </c>
      <c r="I1955" s="6">
        <v>2.0456489033662346</v>
      </c>
      <c r="K1955" s="8"/>
    </row>
    <row r="1956" spans="1:11" ht="15" x14ac:dyDescent="0.25">
      <c r="A1956" s="3" t="str">
        <f>HYPERLINK("proteomic_fractions_linear_files/Yang_linear_img/6753674.jpg", "6753674")</f>
        <v>6753674</v>
      </c>
      <c r="C1956" s="3" t="str">
        <f>HYPERLINK("http://www.ncbi.nlm.nih.gov/protein/6753674","Dpp4")</f>
        <v>Dpp4</v>
      </c>
      <c r="E1956" t="str">
        <f>HYPERLINK("J:\Depot - mpkCCD Fractions\Main Web Page\Web Pages_old\proteomic_fractions_linear_files/Yang_linear_img/6753674.jpg","show blot")</f>
        <v>show blot</v>
      </c>
      <c r="G1956" t="s">
        <v>1939</v>
      </c>
      <c r="I1956" s="6">
        <v>2.0456489033662346</v>
      </c>
      <c r="K1956" s="8"/>
    </row>
    <row r="1957" spans="1:11" ht="15" x14ac:dyDescent="0.25">
      <c r="A1957" s="3" t="str">
        <f>HYPERLINK("proteomic_fractions_linear_files/Yang_linear_img/31981425.jpg", "31981425")</f>
        <v>31981425</v>
      </c>
      <c r="C1957" s="3" t="str">
        <f>HYPERLINK("http://www.ncbi.nlm.nih.gov/protein/31981425","Dpp7")</f>
        <v>Dpp7</v>
      </c>
      <c r="E1957" t="str">
        <f>HYPERLINK("J:\Depot - mpkCCD Fractions\Main Web Page\Web Pages_old\proteomic_fractions_linear_files/Yang_linear_img/31981425.jpg","show blot")</f>
        <v>show blot</v>
      </c>
      <c r="G1957" t="s">
        <v>1940</v>
      </c>
      <c r="I1957" s="6">
        <v>5.4358098663884249</v>
      </c>
      <c r="K1957" s="8"/>
    </row>
    <row r="1958" spans="1:11" ht="15" x14ac:dyDescent="0.25">
      <c r="A1958" s="3" t="str">
        <f>HYPERLINK("proteomic_fractions_linear_files/Yang_linear_img/255003757.jpg", "255003757")</f>
        <v>255003757</v>
      </c>
      <c r="C1958" s="3" t="str">
        <f>HYPERLINK("http://www.ncbi.nlm.nih.gov/protein/255003757","Dpp9")</f>
        <v>Dpp9</v>
      </c>
      <c r="E1958" t="str">
        <f>HYPERLINK("J:\Depot - mpkCCD Fractions\Main Web Page\Web Pages_old\proteomic_fractions_linear_files/Yang_linear_img/255003757.jpg","show blot")</f>
        <v>show blot</v>
      </c>
      <c r="G1958" t="s">
        <v>1941</v>
      </c>
      <c r="I1958" s="6">
        <v>3.7399987520549658</v>
      </c>
      <c r="K1958" s="8"/>
    </row>
    <row r="1959" spans="1:11" ht="15" x14ac:dyDescent="0.25">
      <c r="A1959" s="3" t="str">
        <f>HYPERLINK("proteomic_fractions_linear_files/Yang_linear_img/226246654.jpg", "226246654")</f>
        <v>226246654</v>
      </c>
      <c r="C1959" s="3" t="str">
        <f>HYPERLINK("http://www.ncbi.nlm.nih.gov/protein/226246654","Dpy30")</f>
        <v>Dpy30</v>
      </c>
      <c r="E1959" t="str">
        <f>HYPERLINK("J:\Depot - mpkCCD Fractions\Main Web Page\Web Pages_old\proteomic_fractions_linear_files/Yang_linear_img/226246654.jpg","show blot")</f>
        <v>show blot</v>
      </c>
      <c r="G1959" t="s">
        <v>1942</v>
      </c>
      <c r="I1959" s="6">
        <v>5.4253031905500029</v>
      </c>
      <c r="K1959" s="8"/>
    </row>
    <row r="1960" spans="1:11" ht="15" x14ac:dyDescent="0.25">
      <c r="A1960" s="3" t="str">
        <f>HYPERLINK("proteomic_fractions_linear_files/Yang_linear_img/40254595.jpg", "40254595")</f>
        <v>40254595</v>
      </c>
      <c r="C1960" s="3" t="str">
        <f>HYPERLINK("http://www.ncbi.nlm.nih.gov/protein/40254595","Dpysl2")</f>
        <v>Dpysl2</v>
      </c>
      <c r="E1960" t="str">
        <f>HYPERLINK("J:\Depot - mpkCCD Fractions\Main Web Page\Web Pages_old\proteomic_fractions_linear_files/Yang_linear_img/40254595.jpg","show blot")</f>
        <v>show blot</v>
      </c>
      <c r="G1960" t="s">
        <v>1943</v>
      </c>
      <c r="I1960" s="6">
        <v>6.0980988020776818</v>
      </c>
      <c r="K1960" s="8"/>
    </row>
    <row r="1961" spans="1:11" ht="15" x14ac:dyDescent="0.25">
      <c r="A1961" s="3" t="str">
        <f>HYPERLINK("proteomic_fractions_linear_files/Yang_linear_img/209862992.jpg", "209862992")</f>
        <v>209862992</v>
      </c>
      <c r="C1961" s="3" t="str">
        <f>HYPERLINK("http://www.ncbi.nlm.nih.gov/protein/209862992","Dpysl3")</f>
        <v>Dpysl3</v>
      </c>
      <c r="E1961" t="str">
        <f>HYPERLINK("J:\Depot - mpkCCD Fractions\Main Web Page\Web Pages_old\proteomic_fractions_linear_files/Yang_linear_img/209862992.jpg","show blot")</f>
        <v>show blot</v>
      </c>
      <c r="G1961" t="s">
        <v>1944</v>
      </c>
      <c r="I1961" s="6">
        <v>4.9501617014356265</v>
      </c>
      <c r="K1961" s="8"/>
    </row>
    <row r="1962" spans="1:11" ht="15" x14ac:dyDescent="0.25">
      <c r="A1962" s="3" t="str">
        <f>HYPERLINK("proteomic_fractions_linear_files/Yang_linear_img/6681219.jpg", "6681219")</f>
        <v>6681219</v>
      </c>
      <c r="C1962" s="3" t="str">
        <f>HYPERLINK("http://www.ncbi.nlm.nih.gov/protein/6681219","Dpysl3")</f>
        <v>Dpysl3</v>
      </c>
      <c r="E1962" t="str">
        <f>HYPERLINK("J:\Depot - mpkCCD Fractions\Main Web Page\Web Pages_old\proteomic_fractions_linear_files/Yang_linear_img/6681219.jpg","show blot")</f>
        <v>show blot</v>
      </c>
      <c r="G1962" t="s">
        <v>1945</v>
      </c>
      <c r="I1962" s="6">
        <v>4.9501617014356265</v>
      </c>
      <c r="K1962" s="8"/>
    </row>
    <row r="1963" spans="1:11" ht="15" x14ac:dyDescent="0.25">
      <c r="A1963" s="3" t="str">
        <f>HYPERLINK("proteomic_fractions_linear_files/Yang_linear_img/12746424.jpg", "12746424")</f>
        <v>12746424</v>
      </c>
      <c r="C1963" s="3" t="str">
        <f>HYPERLINK("http://www.ncbi.nlm.nih.gov/protein/12746424","Dpysl5")</f>
        <v>Dpysl5</v>
      </c>
      <c r="E1963" t="str">
        <f>HYPERLINK("J:\Depot - mpkCCD Fractions\Main Web Page\Web Pages_old\proteomic_fractions_linear_files/Yang_linear_img/12746424.jpg","show blot")</f>
        <v>show blot</v>
      </c>
      <c r="G1963" t="s">
        <v>1946</v>
      </c>
      <c r="I1963" s="6">
        <v>4.895823511284398</v>
      </c>
      <c r="K1963" s="8"/>
    </row>
    <row r="1964" spans="1:11" ht="15" x14ac:dyDescent="0.25">
      <c r="A1964" s="3" t="str">
        <f>HYPERLINK("proteomic_fractions_linear_files/Yang_linear_img/27754097.jpg", "27754097")</f>
        <v>27754097</v>
      </c>
      <c r="C1964" s="3" t="str">
        <f>HYPERLINK("http://www.ncbi.nlm.nih.gov/protein/27754097","Dr1")</f>
        <v>Dr1</v>
      </c>
      <c r="E1964" t="str">
        <f>HYPERLINK("J:\Depot - mpkCCD Fractions\Main Web Page\Web Pages_old\proteomic_fractions_linear_files/Yang_linear_img/27754097.jpg","show blot")</f>
        <v>show blot</v>
      </c>
      <c r="G1964" t="s">
        <v>1947</v>
      </c>
      <c r="I1964" s="6">
        <v>4.2807435453880291</v>
      </c>
      <c r="K1964" s="8"/>
    </row>
    <row r="1965" spans="1:11" ht="15" x14ac:dyDescent="0.25">
      <c r="A1965" s="3" t="str">
        <f>HYPERLINK("proteomic_fractions_linear_files/Yang_linear_img/21313106.jpg", "21313106")</f>
        <v>21313106</v>
      </c>
      <c r="C1965" s="3" t="str">
        <f>HYPERLINK("http://www.ncbi.nlm.nih.gov/protein/21313106","Dram2")</f>
        <v>Dram2</v>
      </c>
      <c r="E1965" t="str">
        <f>HYPERLINK("J:\Depot - mpkCCD Fractions\Main Web Page\Web Pages_old\proteomic_fractions_linear_files/Yang_linear_img/21313106.jpg","show blot")</f>
        <v>show blot</v>
      </c>
      <c r="G1965" t="s">
        <v>1948</v>
      </c>
      <c r="I1965" s="6">
        <v>4.3500080339122587</v>
      </c>
      <c r="K1965" s="8"/>
    </row>
    <row r="1966" spans="1:11" ht="15" x14ac:dyDescent="0.25">
      <c r="A1966" s="3" t="str">
        <f>HYPERLINK("proteomic_fractions_linear_files/Yang_linear_img/70980526.jpg", "70980526")</f>
        <v>70980526</v>
      </c>
      <c r="C1966" s="3" t="str">
        <f>HYPERLINK("http://www.ncbi.nlm.nih.gov/protein/70980526","Dram2")</f>
        <v>Dram2</v>
      </c>
      <c r="E1966" t="str">
        <f>HYPERLINK("J:\Depot - mpkCCD Fractions\Main Web Page\Web Pages_old\proteomic_fractions_linear_files/Yang_linear_img/70980526.jpg","show blot")</f>
        <v>show blot</v>
      </c>
      <c r="G1966" t="s">
        <v>1949</v>
      </c>
      <c r="I1966" s="6">
        <v>4.3500080339122587</v>
      </c>
      <c r="K1966" s="8"/>
    </row>
    <row r="1967" spans="1:11" ht="15" x14ac:dyDescent="0.25">
      <c r="A1967" s="3" t="str">
        <f>HYPERLINK("proteomic_fractions_linear_files/Yang_linear_img/21313424.jpg", "21313424")</f>
        <v>21313424</v>
      </c>
      <c r="C1967" s="3" t="str">
        <f>HYPERLINK("http://www.ncbi.nlm.nih.gov/protein/21313424","Drap1")</f>
        <v>Drap1</v>
      </c>
      <c r="E1967" t="str">
        <f>HYPERLINK("J:\Depot - mpkCCD Fractions\Main Web Page\Web Pages_old\proteomic_fractions_linear_files/Yang_linear_img/21313424.jpg","show blot")</f>
        <v>show blot</v>
      </c>
      <c r="G1967" t="s">
        <v>1950</v>
      </c>
      <c r="I1967" s="6">
        <v>5.0049762549603845</v>
      </c>
      <c r="K1967" s="8"/>
    </row>
    <row r="1968" spans="1:11" ht="15" x14ac:dyDescent="0.25">
      <c r="A1968" s="3" t="str">
        <f>HYPERLINK("proteomic_fractions_linear_files/Yang_linear_img/6681225.jpg", "6681225")</f>
        <v>6681225</v>
      </c>
      <c r="C1968" s="3" t="str">
        <f>HYPERLINK("http://www.ncbi.nlm.nih.gov/protein/6681225","Drg1")</f>
        <v>Drg1</v>
      </c>
      <c r="E1968" t="str">
        <f>HYPERLINK("J:\Depot - mpkCCD Fractions\Main Web Page\Web Pages_old\proteomic_fractions_linear_files/Yang_linear_img/6681225.jpg","show blot")</f>
        <v>show blot</v>
      </c>
      <c r="G1968" t="s">
        <v>1951</v>
      </c>
      <c r="I1968" s="6">
        <v>5.7277379030702447</v>
      </c>
      <c r="K1968" s="8"/>
    </row>
    <row r="1969" spans="1:11" ht="15" x14ac:dyDescent="0.25">
      <c r="A1969" s="3" t="str">
        <f>HYPERLINK("proteomic_fractions_linear_files/Yang_linear_img/10946678.jpg", "10946678")</f>
        <v>10946678</v>
      </c>
      <c r="C1969" s="3" t="str">
        <f>HYPERLINK("http://www.ncbi.nlm.nih.gov/protein/10946678","Drg2")</f>
        <v>Drg2</v>
      </c>
      <c r="E1969" t="str">
        <f>HYPERLINK("J:\Depot - mpkCCD Fractions\Main Web Page\Web Pages_old\proteomic_fractions_linear_files/Yang_linear_img/10946678.jpg","show blot")</f>
        <v>show blot</v>
      </c>
      <c r="G1969" t="s">
        <v>1952</v>
      </c>
      <c r="I1969" s="6">
        <v>5.6898455689552465</v>
      </c>
      <c r="K1969" s="8"/>
    </row>
    <row r="1970" spans="1:11" ht="15" x14ac:dyDescent="0.25">
      <c r="A1970" s="3" t="str">
        <f>HYPERLINK("proteomic_fractions_linear_files/Yang_linear_img/194328670.jpg", "194328670")</f>
        <v>194328670</v>
      </c>
      <c r="C1970" s="3" t="str">
        <f>HYPERLINK("http://www.ncbi.nlm.nih.gov/protein/194328670","Drosha")</f>
        <v>Drosha</v>
      </c>
      <c r="E1970" t="str">
        <f>HYPERLINK("J:\Depot - mpkCCD Fractions\Main Web Page\Web Pages_old\proteomic_fractions_linear_files/Yang_linear_img/194328670.jpg","show blot")</f>
        <v>show blot</v>
      </c>
      <c r="G1970" t="s">
        <v>1953</v>
      </c>
      <c r="I1970" s="6">
        <v>1.0553206216570354</v>
      </c>
      <c r="K1970" s="8"/>
    </row>
    <row r="1971" spans="1:11" ht="15" x14ac:dyDescent="0.25">
      <c r="A1971" s="3" t="str">
        <f>HYPERLINK("proteomic_fractions_linear_files/Yang_linear_img/62821774.jpg", "62821774")</f>
        <v>62821774</v>
      </c>
      <c r="C1971" s="3" t="str">
        <f>HYPERLINK("http://www.ncbi.nlm.nih.gov/protein/62821774","Dscc1")</f>
        <v>Dscc1</v>
      </c>
      <c r="E1971" t="str">
        <f>HYPERLINK("J:\Depot - mpkCCD Fractions\Main Web Page\Web Pages_old\proteomic_fractions_linear_files/Yang_linear_img/62821774.jpg","show blot")</f>
        <v>show blot</v>
      </c>
      <c r="G1971" t="s">
        <v>1954</v>
      </c>
      <c r="I1971" s="6">
        <v>4.5940188508186175</v>
      </c>
      <c r="K1971" s="8"/>
    </row>
    <row r="1972" spans="1:11" ht="15" x14ac:dyDescent="0.25">
      <c r="A1972" s="3" t="str">
        <f>HYPERLINK("proteomic_fractions_linear_files/Yang_linear_img/6681145.jpg", "6681145")</f>
        <v>6681145</v>
      </c>
      <c r="C1972" s="3" t="str">
        <f>HYPERLINK("http://www.ncbi.nlm.nih.gov/protein/6681145","Dscr3")</f>
        <v>Dscr3</v>
      </c>
      <c r="E1972" t="str">
        <f>HYPERLINK("J:\Depot - mpkCCD Fractions\Main Web Page\Web Pages_old\proteomic_fractions_linear_files/Yang_linear_img/6681145.jpg","show blot")</f>
        <v>show blot</v>
      </c>
      <c r="G1972" t="s">
        <v>1955</v>
      </c>
      <c r="I1972" s="6">
        <v>5.1206212259177066</v>
      </c>
      <c r="K1972" s="8"/>
    </row>
    <row r="1973" spans="1:11" ht="15" x14ac:dyDescent="0.25">
      <c r="A1973" s="3" t="str">
        <f>HYPERLINK("proteomic_fractions_linear_files/Yang_linear_img/169234958.jpg", "169234958")</f>
        <v>169234958</v>
      </c>
      <c r="C1973" s="3" t="str">
        <f>HYPERLINK("http://www.ncbi.nlm.nih.gov/protein/169234958","Dsg1a")</f>
        <v>Dsg1a</v>
      </c>
      <c r="E1973" t="str">
        <f>HYPERLINK("J:\Depot - mpkCCD Fractions\Main Web Page\Web Pages_old\proteomic_fractions_linear_files/Yang_linear_img/169234958.jpg","show blot")</f>
        <v>show blot</v>
      </c>
      <c r="G1973" t="s">
        <v>1956</v>
      </c>
      <c r="I1973" s="6">
        <v>2.383492543176478</v>
      </c>
      <c r="K1973" s="8"/>
    </row>
    <row r="1974" spans="1:11" ht="15" x14ac:dyDescent="0.25">
      <c r="A1974" s="3" t="str">
        <f>HYPERLINK("proteomic_fractions_linear_files/Yang_linear_img/32129201.jpg", "32129201")</f>
        <v>32129201</v>
      </c>
      <c r="C1974" s="3" t="str">
        <f>HYPERLINK("http://www.ncbi.nlm.nih.gov/protein/32129201","Dsg1b")</f>
        <v>Dsg1b</v>
      </c>
      <c r="E1974" t="str">
        <f>HYPERLINK("J:\Depot - mpkCCD Fractions\Main Web Page\Web Pages_old\proteomic_fractions_linear_files/Yang_linear_img/32129201.jpg","show blot")</f>
        <v>show blot</v>
      </c>
      <c r="G1974" t="s">
        <v>1957</v>
      </c>
      <c r="I1974" s="6">
        <v>2.383492543176478</v>
      </c>
      <c r="K1974" s="8"/>
    </row>
    <row r="1975" spans="1:11" ht="15" x14ac:dyDescent="0.25">
      <c r="A1975" s="3" t="str">
        <f>HYPERLINK("proteomic_fractions_linear_files/Yang_linear_img/161016843.jpg", "161016843")</f>
        <v>161016843</v>
      </c>
      <c r="C1975" s="3" t="str">
        <f>HYPERLINK("http://www.ncbi.nlm.nih.gov/protein/161016843","Dsg2")</f>
        <v>Dsg2</v>
      </c>
      <c r="E1975" t="str">
        <f>HYPERLINK("J:\Depot - mpkCCD Fractions\Main Web Page\Web Pages_old\proteomic_fractions_linear_files/Yang_linear_img/161016843.jpg","show blot")</f>
        <v>show blot</v>
      </c>
      <c r="G1975" t="s">
        <v>1958</v>
      </c>
      <c r="I1975" s="6">
        <v>2.8206214746459248</v>
      </c>
      <c r="K1975" s="8"/>
    </row>
    <row r="1976" spans="1:11" ht="15" x14ac:dyDescent="0.25">
      <c r="A1976" s="3" t="str">
        <f>HYPERLINK("proteomic_fractions_linear_files/Yang_linear_img/254540034.jpg", "254540034")</f>
        <v>254540034</v>
      </c>
      <c r="C1976" s="3" t="str">
        <f>HYPERLINK("http://www.ncbi.nlm.nih.gov/protein/254540034","Dsn1")</f>
        <v>Dsn1</v>
      </c>
      <c r="E1976" t="str">
        <f>HYPERLINK("J:\Depot - mpkCCD Fractions\Main Web Page\Web Pages_old\proteomic_fractions_linear_files/Yang_linear_img/254540034.jpg","show blot")</f>
        <v>show blot</v>
      </c>
      <c r="G1976" t="s">
        <v>1959</v>
      </c>
      <c r="I1976" s="6">
        <v>3.8938039023172348</v>
      </c>
      <c r="K1976" s="8"/>
    </row>
    <row r="1977" spans="1:11" ht="15" x14ac:dyDescent="0.25">
      <c r="A1977" s="3" t="str">
        <f>HYPERLINK("proteomic_fractions_linear_files/Yang_linear_img/190194418.jpg", "190194418")</f>
        <v>190194418</v>
      </c>
      <c r="C1977" s="3" t="str">
        <f>HYPERLINK("http://www.ncbi.nlm.nih.gov/protein/190194418","Dsp")</f>
        <v>Dsp</v>
      </c>
      <c r="E1977" t="str">
        <f>HYPERLINK("J:\Depot - mpkCCD Fractions\Main Web Page\Web Pages_old\proteomic_fractions_linear_files/Yang_linear_img/190194418.jpg","show blot")</f>
        <v>show blot</v>
      </c>
      <c r="G1977" t="s">
        <v>1960</v>
      </c>
      <c r="I1977" s="6">
        <v>4.9176090834643276</v>
      </c>
      <c r="K1977" s="8"/>
    </row>
    <row r="1978" spans="1:11" ht="15" x14ac:dyDescent="0.25">
      <c r="A1978" s="3" t="str">
        <f>HYPERLINK("proteomic_fractions_linear_files/Yang_linear_img/454525117.jpg", "454525117")</f>
        <v>454525117</v>
      </c>
      <c r="C1978" s="3" t="str">
        <f>HYPERLINK("http://www.ncbi.nlm.nih.gov/protein/454525117","Dst")</f>
        <v>Dst</v>
      </c>
      <c r="E1978" t="str">
        <f>HYPERLINK("J:\Depot - mpkCCD Fractions\Main Web Page\Web Pages_old\proteomic_fractions_linear_files/Yang_linear_img/454525117.jpg","show blot")</f>
        <v>show blot</v>
      </c>
      <c r="G1978" t="s">
        <v>1961</v>
      </c>
      <c r="I1978" s="6">
        <v>3.0721097774946515</v>
      </c>
      <c r="K1978" s="8"/>
    </row>
    <row r="1979" spans="1:11" ht="15" x14ac:dyDescent="0.25">
      <c r="A1979" s="3" t="str">
        <f>HYPERLINK("proteomic_fractions_linear_files/Yang_linear_img/111154076.jpg", "111154076")</f>
        <v>111154076</v>
      </c>
      <c r="C1979" s="3" t="str">
        <f>HYPERLINK("http://www.ncbi.nlm.nih.gov/protein/111154076","Dst")</f>
        <v>Dst</v>
      </c>
      <c r="E1979" t="str">
        <f>HYPERLINK("J:\Depot - mpkCCD Fractions\Main Web Page\Web Pages_old\proteomic_fractions_linear_files/Yang_linear_img/111154076.jpg","show blot")</f>
        <v>show blot</v>
      </c>
      <c r="G1979" t="s">
        <v>1962</v>
      </c>
      <c r="I1979" s="6">
        <v>3.0721097774946515</v>
      </c>
      <c r="K1979" s="8"/>
    </row>
    <row r="1980" spans="1:11" ht="15" x14ac:dyDescent="0.25">
      <c r="A1980" s="3" t="str">
        <f>HYPERLINK("proteomic_fractions_linear_files/Yang_linear_img/111154082.jpg", "111154082")</f>
        <v>111154082</v>
      </c>
      <c r="C1980" s="3" t="str">
        <f>HYPERLINK("http://www.ncbi.nlm.nih.gov/protein/111154082","Dst")</f>
        <v>Dst</v>
      </c>
      <c r="E1980" t="str">
        <f>HYPERLINK("J:\Depot - mpkCCD Fractions\Main Web Page\Web Pages_old\proteomic_fractions_linear_files/Yang_linear_img/111154082.jpg","show blot")</f>
        <v>show blot</v>
      </c>
      <c r="G1980" t="s">
        <v>1963</v>
      </c>
      <c r="I1980" s="6">
        <v>3.0721097774946515</v>
      </c>
      <c r="K1980" s="8"/>
    </row>
    <row r="1981" spans="1:11" ht="15" x14ac:dyDescent="0.25">
      <c r="A1981" s="3" t="str">
        <f>HYPERLINK("proteomic_fractions_linear_files/Yang_linear_img/9790219.jpg", "9790219")</f>
        <v>9790219</v>
      </c>
      <c r="C1981" s="3" t="str">
        <f>HYPERLINK("http://www.ncbi.nlm.nih.gov/protein/9790219","Dstn")</f>
        <v>Dstn</v>
      </c>
      <c r="E1981" t="str">
        <f>HYPERLINK("J:\Depot - mpkCCD Fractions\Main Web Page\Web Pages_old\proteomic_fractions_linear_files/Yang_linear_img/9790219.jpg","show blot")</f>
        <v>show blot</v>
      </c>
      <c r="G1981" t="s">
        <v>1964</v>
      </c>
      <c r="I1981" s="6">
        <v>6.7027143795174133</v>
      </c>
      <c r="K1981" s="8"/>
    </row>
    <row r="1982" spans="1:11" ht="15" x14ac:dyDescent="0.25">
      <c r="A1982" s="3" t="str">
        <f>HYPERLINK("proteomic_fractions_linear_files/Yang_linear_img/13384676.jpg", "13384676")</f>
        <v>13384676</v>
      </c>
      <c r="C1982" s="3" t="str">
        <f>HYPERLINK("http://www.ncbi.nlm.nih.gov/protein/13384676","Dtd1")</f>
        <v>Dtd1</v>
      </c>
      <c r="E1982" t="str">
        <f>HYPERLINK("J:\Depot - mpkCCD Fractions\Main Web Page\Web Pages_old\proteomic_fractions_linear_files/Yang_linear_img/13384676.jpg","show blot")</f>
        <v>show blot</v>
      </c>
      <c r="G1982" t="s">
        <v>1965</v>
      </c>
      <c r="I1982" s="6">
        <v>4.9962451576594527</v>
      </c>
      <c r="K1982" s="8"/>
    </row>
    <row r="1983" spans="1:11" ht="15" x14ac:dyDescent="0.25">
      <c r="A1983" s="3" t="str">
        <f>HYPERLINK("proteomic_fractions_linear_files/Yang_linear_img/31324532.jpg", "31324532")</f>
        <v>31324532</v>
      </c>
      <c r="C1983" s="3" t="str">
        <f>HYPERLINK("http://www.ncbi.nlm.nih.gov/protein/31324532","Dtd2")</f>
        <v>Dtd2</v>
      </c>
      <c r="E1983" t="str">
        <f>HYPERLINK("J:\Depot - mpkCCD Fractions\Main Web Page\Web Pages_old\proteomic_fractions_linear_files/Yang_linear_img/31324532.jpg","show blot")</f>
        <v>show blot</v>
      </c>
      <c r="G1983" t="s">
        <v>1966</v>
      </c>
      <c r="I1983" s="6">
        <v>5.4191271984358425</v>
      </c>
      <c r="K1983" s="8"/>
    </row>
    <row r="1984" spans="1:11" ht="15" x14ac:dyDescent="0.25">
      <c r="A1984" s="3" t="str">
        <f>HYPERLINK("proteomic_fractions_linear_files/Yang_linear_img/46519164.jpg", "46519164")</f>
        <v>46519164</v>
      </c>
      <c r="C1984" s="3" t="str">
        <f>HYPERLINK("http://www.ncbi.nlm.nih.gov/protein/46519164","Dtna")</f>
        <v>Dtna</v>
      </c>
      <c r="E1984" t="str">
        <f>HYPERLINK("J:\Depot - mpkCCD Fractions\Main Web Page\Web Pages_old\proteomic_fractions_linear_files/Yang_linear_img/46519164.jpg","show blot")</f>
        <v>show blot</v>
      </c>
      <c r="G1984" t="s">
        <v>1967</v>
      </c>
      <c r="I1984" s="6">
        <v>3.548724349626565</v>
      </c>
      <c r="K1984" s="8"/>
    </row>
    <row r="1985" spans="1:11" ht="15" x14ac:dyDescent="0.25">
      <c r="A1985" s="3" t="str">
        <f>HYPERLINK("proteomic_fractions_linear_files/Yang_linear_img/247269547.jpg", "247269547")</f>
        <v>247269547</v>
      </c>
      <c r="C1985" s="3" t="str">
        <f>HYPERLINK("http://www.ncbi.nlm.nih.gov/protein/247269547","Dtnb")</f>
        <v>Dtnb</v>
      </c>
      <c r="E1985" t="str">
        <f>HYPERLINK("J:\Depot - mpkCCD Fractions\Main Web Page\Web Pages_old\proteomic_fractions_linear_files/Yang_linear_img/247269547.jpg","show blot")</f>
        <v>show blot</v>
      </c>
      <c r="G1985" t="s">
        <v>1968</v>
      </c>
      <c r="I1985" s="6">
        <v>4.3410158296064454</v>
      </c>
      <c r="K1985" s="8"/>
    </row>
    <row r="1986" spans="1:11" ht="15" x14ac:dyDescent="0.25">
      <c r="A1986" s="3" t="str">
        <f>HYPERLINK("proteomic_fractions_linear_files/Yang_linear_img/247269964.jpg", "247269964")</f>
        <v>247269964</v>
      </c>
      <c r="C1986" s="3" t="str">
        <f>HYPERLINK("http://www.ncbi.nlm.nih.gov/protein/247269964","Dtnb")</f>
        <v>Dtnb</v>
      </c>
      <c r="E1986" t="str">
        <f>HYPERLINK("J:\Depot - mpkCCD Fractions\Main Web Page\Web Pages_old\proteomic_fractions_linear_files/Yang_linear_img/247269964.jpg","show blot")</f>
        <v>show blot</v>
      </c>
      <c r="G1986" t="s">
        <v>1969</v>
      </c>
      <c r="I1986" s="6">
        <v>4.3410158296064454</v>
      </c>
      <c r="K1986" s="8"/>
    </row>
    <row r="1987" spans="1:11" ht="15" x14ac:dyDescent="0.25">
      <c r="A1987" s="3" t="str">
        <f>HYPERLINK("proteomic_fractions_linear_files/Yang_linear_img/133930784.jpg", "133930784")</f>
        <v>133930784</v>
      </c>
      <c r="C1987" s="3" t="str">
        <f>HYPERLINK("http://www.ncbi.nlm.nih.gov/protein/133930784","Dtx3l")</f>
        <v>Dtx3l</v>
      </c>
      <c r="E1987" t="str">
        <f>HYPERLINK("J:\Depot - mpkCCD Fractions\Main Web Page\Web Pages_old\proteomic_fractions_linear_files/Yang_linear_img/133930784.jpg","show blot")</f>
        <v>show blot</v>
      </c>
      <c r="G1987" t="s">
        <v>1970</v>
      </c>
      <c r="I1987" s="6">
        <v>4.038385998394932</v>
      </c>
      <c r="K1987" s="8"/>
    </row>
    <row r="1988" spans="1:11" ht="15" x14ac:dyDescent="0.25">
      <c r="A1988" s="3" t="str">
        <f>HYPERLINK("proteomic_fractions_linear_files/Yang_linear_img/12963517.jpg", "12963517")</f>
        <v>12963517</v>
      </c>
      <c r="C1988" s="3" t="str">
        <f>HYPERLINK("http://www.ncbi.nlm.nih.gov/protein/12963517","Dtymk")</f>
        <v>Dtymk</v>
      </c>
      <c r="E1988" t="str">
        <f>HYPERLINK("J:\Depot - mpkCCD Fractions\Main Web Page\Web Pages_old\proteomic_fractions_linear_files/Yang_linear_img/12963517.jpg","show blot")</f>
        <v>show blot</v>
      </c>
      <c r="G1988" t="s">
        <v>1971</v>
      </c>
      <c r="I1988" s="6">
        <v>6.2048291692166702</v>
      </c>
      <c r="K1988" s="8"/>
    </row>
    <row r="1989" spans="1:11" ht="15" x14ac:dyDescent="0.25">
      <c r="A1989" s="3" t="str">
        <f>HYPERLINK("proteomic_fractions_linear_files/Yang_linear_img/157785665.jpg", "157785665")</f>
        <v>157785665</v>
      </c>
      <c r="C1989" s="3" t="str">
        <f>HYPERLINK("http://www.ncbi.nlm.nih.gov/protein/157785665","Dtymk")</f>
        <v>Dtymk</v>
      </c>
      <c r="E1989" t="str">
        <f>HYPERLINK("J:\Depot - mpkCCD Fractions\Main Web Page\Web Pages_old\proteomic_fractions_linear_files/Yang_linear_img/157785665.jpg","show blot")</f>
        <v>show blot</v>
      </c>
      <c r="G1989" t="s">
        <v>1972</v>
      </c>
      <c r="I1989" s="6">
        <v>6.2048291692166702</v>
      </c>
      <c r="K1989" s="8"/>
    </row>
    <row r="1990" spans="1:11" ht="15" x14ac:dyDescent="0.25">
      <c r="A1990" s="3" t="str">
        <f>HYPERLINK("proteomic_fractions_linear_files/Yang_linear_img/31980834.jpg", "31980834")</f>
        <v>31980834</v>
      </c>
      <c r="C1990" s="3" t="str">
        <f>HYPERLINK("http://www.ncbi.nlm.nih.gov/protein/31980834","Dus1l")</f>
        <v>Dus1l</v>
      </c>
      <c r="E1990" t="str">
        <f>HYPERLINK("J:\Depot - mpkCCD Fractions\Main Web Page\Web Pages_old\proteomic_fractions_linear_files/Yang_linear_img/31980834.jpg","show blot")</f>
        <v>show blot</v>
      </c>
      <c r="G1990" t="s">
        <v>1973</v>
      </c>
      <c r="I1990" s="6">
        <v>2.9989319167070465</v>
      </c>
      <c r="K1990" s="8"/>
    </row>
    <row r="1991" spans="1:11" ht="15" x14ac:dyDescent="0.25">
      <c r="A1991" s="3" t="str">
        <f>HYPERLINK("proteomic_fractions_linear_files/Yang_linear_img/255003775.jpg", "255003775")</f>
        <v>255003775</v>
      </c>
      <c r="C1991" s="3" t="str">
        <f>HYPERLINK("http://www.ncbi.nlm.nih.gov/protein/255003775","Dus3l")</f>
        <v>Dus3l</v>
      </c>
      <c r="E1991" t="str">
        <f>HYPERLINK("J:\Depot - mpkCCD Fractions\Main Web Page\Web Pages_old\proteomic_fractions_linear_files/Yang_linear_img/255003775.jpg","show blot")</f>
        <v>show blot</v>
      </c>
      <c r="G1991" t="s">
        <v>1974</v>
      </c>
      <c r="I1991" s="6">
        <v>4.1441668510568253</v>
      </c>
      <c r="K1991" s="8"/>
    </row>
    <row r="1992" spans="1:11" ht="15" x14ac:dyDescent="0.25">
      <c r="A1992" s="3" t="str">
        <f>HYPERLINK("proteomic_fractions_linear_files/Yang_linear_img/19527288.jpg", "19527288")</f>
        <v>19527288</v>
      </c>
      <c r="C1992" s="3" t="str">
        <f>HYPERLINK("http://www.ncbi.nlm.nih.gov/protein/19527288","Dusp22")</f>
        <v>Dusp22</v>
      </c>
      <c r="E1992" t="str">
        <f>HYPERLINK("J:\Depot - mpkCCD Fractions\Main Web Page\Web Pages_old\proteomic_fractions_linear_files/Yang_linear_img/19527288.jpg","show blot")</f>
        <v>show blot</v>
      </c>
      <c r="G1992" t="s">
        <v>1975</v>
      </c>
      <c r="I1992" s="6">
        <v>4.0074136552386719</v>
      </c>
      <c r="K1992" s="8"/>
    </row>
    <row r="1993" spans="1:11" ht="15" x14ac:dyDescent="0.25">
      <c r="A1993" s="3" t="str">
        <f>HYPERLINK("proteomic_fractions_linear_files/Yang_linear_img/83816915.jpg", "83816915")</f>
        <v>83816915</v>
      </c>
      <c r="C1993" s="3" t="str">
        <f>HYPERLINK("http://www.ncbi.nlm.nih.gov/protein/83816915","Dusp22")</f>
        <v>Dusp22</v>
      </c>
      <c r="E1993" t="str">
        <f>HYPERLINK("J:\Depot - mpkCCD Fractions\Main Web Page\Web Pages_old\proteomic_fractions_linear_files/Yang_linear_img/83816915.jpg","show blot")</f>
        <v>show blot</v>
      </c>
      <c r="G1993" t="s">
        <v>1976</v>
      </c>
      <c r="I1993" s="6">
        <v>4.0074136552386719</v>
      </c>
      <c r="K1993" s="8"/>
    </row>
    <row r="1994" spans="1:11" ht="15" x14ac:dyDescent="0.25">
      <c r="A1994" s="3" t="str">
        <f>HYPERLINK("proteomic_fractions_linear_files/Yang_linear_img/29171320.jpg", "29171320")</f>
        <v>29171320</v>
      </c>
      <c r="C1994" s="3" t="str">
        <f>HYPERLINK("http://www.ncbi.nlm.nih.gov/protein/29171320","Dusp28")</f>
        <v>Dusp28</v>
      </c>
      <c r="E1994" t="str">
        <f>HYPERLINK("J:\Depot - mpkCCD Fractions\Main Web Page\Web Pages_old\proteomic_fractions_linear_files/Yang_linear_img/29171320.jpg","show blot")</f>
        <v>show blot</v>
      </c>
      <c r="G1994" t="s">
        <v>1977</v>
      </c>
      <c r="I1994" s="6">
        <v>4.4025822345804739</v>
      </c>
      <c r="K1994" s="8"/>
    </row>
    <row r="1995" spans="1:11" ht="15" x14ac:dyDescent="0.25">
      <c r="A1995" s="3" t="str">
        <f>HYPERLINK("proteomic_fractions_linear_files/Yang_linear_img/21312314.jpg", "21312314")</f>
        <v>21312314</v>
      </c>
      <c r="C1995" s="3" t="str">
        <f>HYPERLINK("http://www.ncbi.nlm.nih.gov/protein/21312314","Dusp3")</f>
        <v>Dusp3</v>
      </c>
      <c r="E1995" t="str">
        <f>HYPERLINK("J:\Depot - mpkCCD Fractions\Main Web Page\Web Pages_old\proteomic_fractions_linear_files/Yang_linear_img/21312314.jpg","show blot")</f>
        <v>show blot</v>
      </c>
      <c r="G1995" t="s">
        <v>1978</v>
      </c>
      <c r="I1995" s="6">
        <v>5.1911328930886924</v>
      </c>
      <c r="K1995" s="8"/>
    </row>
    <row r="1996" spans="1:11" ht="15" x14ac:dyDescent="0.25">
      <c r="A1996" s="3" t="str">
        <f>HYPERLINK("proteomic_fractions_linear_files/Yang_linear_img/21281687.jpg", "21281687")</f>
        <v>21281687</v>
      </c>
      <c r="C1996" s="3" t="str">
        <f>HYPERLINK("http://www.ncbi.nlm.nih.gov/protein/21281687","Dut")</f>
        <v>Dut</v>
      </c>
      <c r="E1996" t="str">
        <f>HYPERLINK("J:\Depot - mpkCCD Fractions\Main Web Page\Web Pages_old\proteomic_fractions_linear_files/Yang_linear_img/21281687.jpg","show blot")</f>
        <v>show blot</v>
      </c>
      <c r="G1996" t="s">
        <v>1979</v>
      </c>
      <c r="I1996" s="6">
        <v>5.3281523836545039</v>
      </c>
      <c r="K1996" s="8"/>
    </row>
    <row r="1997" spans="1:11" ht="15" x14ac:dyDescent="0.25">
      <c r="A1997" s="3" t="str">
        <f>HYPERLINK("proteomic_fractions_linear_files/Yang_linear_img/227497222.jpg", "227497222")</f>
        <v>227497222</v>
      </c>
      <c r="C1997" s="3" t="str">
        <f>HYPERLINK("http://www.ncbi.nlm.nih.gov/protein/227497222","Dut")</f>
        <v>Dut</v>
      </c>
      <c r="E1997" t="str">
        <f>HYPERLINK("J:\Depot - mpkCCD Fractions\Main Web Page\Web Pages_old\proteomic_fractions_linear_files/Yang_linear_img/227497222.jpg","show blot")</f>
        <v>show blot</v>
      </c>
      <c r="G1997" t="s">
        <v>1980</v>
      </c>
      <c r="I1997" s="6">
        <v>5.3281523836545039</v>
      </c>
      <c r="K1997" s="8"/>
    </row>
    <row r="1998" spans="1:11" ht="15" x14ac:dyDescent="0.25">
      <c r="A1998" s="3" t="str">
        <f>HYPERLINK("proteomic_fractions_linear_files/Yang_linear_img/87299588.jpg", "87299588")</f>
        <v>87299588</v>
      </c>
      <c r="C1998" s="3" t="str">
        <f>HYPERLINK("http://www.ncbi.nlm.nih.gov/protein/87299588","Dvl2")</f>
        <v>Dvl2</v>
      </c>
      <c r="E1998" t="str">
        <f>HYPERLINK("J:\Depot - mpkCCD Fractions\Main Web Page\Web Pages_old\proteomic_fractions_linear_files/Yang_linear_img/87299588.jpg","show blot")</f>
        <v>show blot</v>
      </c>
      <c r="G1998" t="s">
        <v>1981</v>
      </c>
      <c r="I1998" s="6">
        <v>1.6223320894616271</v>
      </c>
      <c r="K1998" s="8"/>
    </row>
    <row r="1999" spans="1:11" ht="15" x14ac:dyDescent="0.25">
      <c r="A1999" s="3" t="str">
        <f>HYPERLINK("proteomic_fractions_linear_files/Yang_linear_img/117168287.jpg", "117168287")</f>
        <v>117168287</v>
      </c>
      <c r="C1999" s="3" t="str">
        <f>HYPERLINK("http://www.ncbi.nlm.nih.gov/protein/117168287","Dvl3")</f>
        <v>Dvl3</v>
      </c>
      <c r="E1999" t="str">
        <f>HYPERLINK("J:\Depot - mpkCCD Fractions\Main Web Page\Web Pages_old\proteomic_fractions_linear_files/Yang_linear_img/117168287.jpg","show blot")</f>
        <v>show blot</v>
      </c>
      <c r="G1999" t="s">
        <v>1982</v>
      </c>
      <c r="I1999" s="6">
        <v>1.6278645780615881</v>
      </c>
      <c r="K1999" s="8"/>
    </row>
    <row r="2000" spans="1:11" ht="15" x14ac:dyDescent="0.25">
      <c r="A2000" s="3" t="str">
        <f>HYPERLINK("proteomic_fractions_linear_files/Yang_linear_img/254939704.jpg", "254939704")</f>
        <v>254939704</v>
      </c>
      <c r="C2000" s="3" t="str">
        <f>HYPERLINK("http://www.ncbi.nlm.nih.gov/protein/254939704","Dxo")</f>
        <v>Dxo</v>
      </c>
      <c r="E2000" t="str">
        <f>HYPERLINK("J:\Depot - mpkCCD Fractions\Main Web Page\Web Pages_old\proteomic_fractions_linear_files/Yang_linear_img/254939704.jpg","show blot")</f>
        <v>show blot</v>
      </c>
      <c r="G2000" t="s">
        <v>1983</v>
      </c>
      <c r="I2000" s="6">
        <v>2.8121257160847444</v>
      </c>
      <c r="K2000" s="8"/>
    </row>
    <row r="2001" spans="1:11" ht="15" x14ac:dyDescent="0.25">
      <c r="A2001" s="3" t="str">
        <f>HYPERLINK("proteomic_fractions_linear_files/Yang_linear_img/25282389.jpg", "25282389")</f>
        <v>25282389</v>
      </c>
      <c r="C2001" s="3" t="str">
        <f>HYPERLINK("http://www.ncbi.nlm.nih.gov/protein/25282389","Dym")</f>
        <v>Dym</v>
      </c>
      <c r="E2001" t="str">
        <f>HYPERLINK("J:\Depot - mpkCCD Fractions\Main Web Page\Web Pages_old\proteomic_fractions_linear_files/Yang_linear_img/25282389.jpg","show blot")</f>
        <v>show blot</v>
      </c>
      <c r="G2001" t="s">
        <v>1984</v>
      </c>
      <c r="I2001" s="6">
        <v>3.3456366625713985</v>
      </c>
      <c r="K2001" s="8"/>
    </row>
    <row r="2002" spans="1:11" ht="15" x14ac:dyDescent="0.25">
      <c r="A2002" s="3" t="str">
        <f>HYPERLINK("proteomic_fractions_linear_files/Yang_linear_img/134288917.jpg", "134288917")</f>
        <v>134288917</v>
      </c>
      <c r="C2002" s="3" t="str">
        <f>HYPERLINK("http://www.ncbi.nlm.nih.gov/protein/134288917","Dync1h1")</f>
        <v>Dync1h1</v>
      </c>
      <c r="E2002" t="str">
        <f>HYPERLINK("J:\Depot - mpkCCD Fractions\Main Web Page\Web Pages_old\proteomic_fractions_linear_files/Yang_linear_img/134288917.jpg","show blot")</f>
        <v>show blot</v>
      </c>
      <c r="G2002" t="s">
        <v>1985</v>
      </c>
      <c r="I2002" s="6">
        <v>6.0132818238831982</v>
      </c>
      <c r="K2002" s="8"/>
    </row>
    <row r="2003" spans="1:11" ht="15" x14ac:dyDescent="0.25">
      <c r="A2003" s="3" t="str">
        <f>HYPERLINK("proteomic_fractions_linear_files/Yang_linear_img/311893374.jpg", "311893374")</f>
        <v>311893374</v>
      </c>
      <c r="C2003" s="3" t="str">
        <f>HYPERLINK("http://www.ncbi.nlm.nih.gov/protein/311893374","Dync1i2")</f>
        <v>Dync1i2</v>
      </c>
      <c r="E2003" t="str">
        <f>HYPERLINK("J:\Depot - mpkCCD Fractions\Main Web Page\Web Pages_old\proteomic_fractions_linear_files/Yang_linear_img/311893374.jpg","show blot")</f>
        <v>show blot</v>
      </c>
      <c r="G2003" t="s">
        <v>1986</v>
      </c>
      <c r="I2003" s="6">
        <v>5.3484371113626752</v>
      </c>
      <c r="K2003" s="8"/>
    </row>
    <row r="2004" spans="1:11" ht="15" x14ac:dyDescent="0.25">
      <c r="A2004" s="3" t="str">
        <f>HYPERLINK("proteomic_fractions_linear_files/Yang_linear_img/311893376.jpg", "311893376")</f>
        <v>311893376</v>
      </c>
      <c r="C2004" s="3" t="str">
        <f>HYPERLINK("http://www.ncbi.nlm.nih.gov/protein/311893376","Dync1i2")</f>
        <v>Dync1i2</v>
      </c>
      <c r="E2004" t="str">
        <f>HYPERLINK("J:\Depot - mpkCCD Fractions\Main Web Page\Web Pages_old\proteomic_fractions_linear_files/Yang_linear_img/311893376.jpg","show blot")</f>
        <v>show blot</v>
      </c>
      <c r="G2004" t="s">
        <v>1987</v>
      </c>
      <c r="I2004" s="6">
        <v>5.3484371113626752</v>
      </c>
      <c r="K2004" s="8"/>
    </row>
    <row r="2005" spans="1:11" ht="15" x14ac:dyDescent="0.25">
      <c r="A2005" s="3" t="str">
        <f>HYPERLINK("proteomic_fractions_linear_files/Yang_linear_img/311893378.jpg", "311893378")</f>
        <v>311893378</v>
      </c>
      <c r="C2005" s="3" t="str">
        <f>HYPERLINK("http://www.ncbi.nlm.nih.gov/protein/311893378","Dync1i2")</f>
        <v>Dync1i2</v>
      </c>
      <c r="E2005" t="str">
        <f>HYPERLINK("J:\Depot - mpkCCD Fractions\Main Web Page\Web Pages_old\proteomic_fractions_linear_files/Yang_linear_img/311893378.jpg","show blot")</f>
        <v>show blot</v>
      </c>
      <c r="G2005" t="s">
        <v>1988</v>
      </c>
      <c r="I2005" s="6">
        <v>5.3484371113626752</v>
      </c>
      <c r="K2005" s="8"/>
    </row>
    <row r="2006" spans="1:11" ht="15" x14ac:dyDescent="0.25">
      <c r="A2006" s="3" t="str">
        <f>HYPERLINK("proteomic_fractions_linear_files/Yang_linear_img/311893380.jpg", "311893380")</f>
        <v>311893380</v>
      </c>
      <c r="C2006" s="3" t="str">
        <f>HYPERLINK("http://www.ncbi.nlm.nih.gov/protein/311893380","Dync1i2")</f>
        <v>Dync1i2</v>
      </c>
      <c r="E2006" t="str">
        <f>HYPERLINK("J:\Depot - mpkCCD Fractions\Main Web Page\Web Pages_old\proteomic_fractions_linear_files/Yang_linear_img/311893380.jpg","show blot")</f>
        <v>show blot</v>
      </c>
      <c r="G2006" t="s">
        <v>1989</v>
      </c>
      <c r="I2006" s="6">
        <v>5.3484371113626752</v>
      </c>
      <c r="K2006" s="8"/>
    </row>
    <row r="2007" spans="1:11" ht="15" x14ac:dyDescent="0.25">
      <c r="A2007" s="3" t="str">
        <f>HYPERLINK("proteomic_fractions_linear_files/Yang_linear_img/6753658.jpg", "6753658")</f>
        <v>6753658</v>
      </c>
      <c r="C2007" s="3" t="str">
        <f>HYPERLINK("http://www.ncbi.nlm.nih.gov/protein/6753658","Dync1i2")</f>
        <v>Dync1i2</v>
      </c>
      <c r="E2007" t="str">
        <f>HYPERLINK("J:\Depot - mpkCCD Fractions\Main Web Page\Web Pages_old\proteomic_fractions_linear_files/Yang_linear_img/6753658.jpg","show blot")</f>
        <v>show blot</v>
      </c>
      <c r="G2007" t="s">
        <v>1990</v>
      </c>
      <c r="I2007" s="6">
        <v>5.3484371113626752</v>
      </c>
      <c r="K2007" s="8"/>
    </row>
    <row r="2008" spans="1:11" ht="15" x14ac:dyDescent="0.25">
      <c r="A2008" s="3" t="str">
        <f>HYPERLINK("proteomic_fractions_linear_files/Yang_linear_img/22122795.jpg", "22122795")</f>
        <v>22122795</v>
      </c>
      <c r="C2008" s="3" t="str">
        <f>HYPERLINK("http://www.ncbi.nlm.nih.gov/protein/22122795","Dync1li1")</f>
        <v>Dync1li1</v>
      </c>
      <c r="E2008" t="str">
        <f>HYPERLINK("J:\Depot - mpkCCD Fractions\Main Web Page\Web Pages_old\proteomic_fractions_linear_files/Yang_linear_img/22122795.jpg","show blot")</f>
        <v>show blot</v>
      </c>
      <c r="G2008" t="s">
        <v>1991</v>
      </c>
      <c r="I2008" s="6">
        <v>5.4482097108259202</v>
      </c>
      <c r="K2008" s="8"/>
    </row>
    <row r="2009" spans="1:11" ht="15" x14ac:dyDescent="0.25">
      <c r="A2009" s="3" t="str">
        <f>HYPERLINK("proteomic_fractions_linear_files/Yang_linear_img/225543181.jpg", "225543181")</f>
        <v>225543181</v>
      </c>
      <c r="C2009" s="3" t="str">
        <f>HYPERLINK("http://www.ncbi.nlm.nih.gov/protein/225543181","Dync1li2")</f>
        <v>Dync1li2</v>
      </c>
      <c r="E2009" t="str">
        <f>HYPERLINK("J:\Depot - mpkCCD Fractions\Main Web Page\Web Pages_old\proteomic_fractions_linear_files/Yang_linear_img/225543181.jpg","show blot")</f>
        <v>show blot</v>
      </c>
      <c r="G2009" t="s">
        <v>1992</v>
      </c>
      <c r="I2009" s="6">
        <v>5.4921199732384904</v>
      </c>
      <c r="K2009" s="8"/>
    </row>
    <row r="2010" spans="1:11" ht="15" x14ac:dyDescent="0.25">
      <c r="A2010" s="3" t="str">
        <f>HYPERLINK("proteomic_fractions_linear_files/Yang_linear_img/72534792.jpg", "72534792")</f>
        <v>72534792</v>
      </c>
      <c r="C2010" s="3" t="str">
        <f>HYPERLINK("http://www.ncbi.nlm.nih.gov/protein/72534792","Dync2h1")</f>
        <v>Dync2h1</v>
      </c>
      <c r="E2010" t="str">
        <f>HYPERLINK("J:\Depot - mpkCCD Fractions\Main Web Page\Web Pages_old\proteomic_fractions_linear_files/Yang_linear_img/72534792.jpg","show blot")</f>
        <v>show blot</v>
      </c>
      <c r="G2010" t="s">
        <v>1993</v>
      </c>
      <c r="I2010" s="6">
        <v>2.6920115511936387</v>
      </c>
      <c r="K2010" s="8"/>
    </row>
    <row r="2011" spans="1:11" ht="15" x14ac:dyDescent="0.25">
      <c r="A2011" s="3" t="str">
        <f>HYPERLINK("proteomic_fractions_linear_files/Yang_linear_img/26986541.jpg", "26986541")</f>
        <v>26986541</v>
      </c>
      <c r="C2011" s="3" t="str">
        <f>HYPERLINK("http://www.ncbi.nlm.nih.gov/protein/26986541","Dync2li1")</f>
        <v>Dync2li1</v>
      </c>
      <c r="E2011" t="str">
        <f>HYPERLINK("J:\Depot - mpkCCD Fractions\Main Web Page\Web Pages_old\proteomic_fractions_linear_files/Yang_linear_img/26986541.jpg","show blot")</f>
        <v>show blot</v>
      </c>
      <c r="G2011" t="s">
        <v>1994</v>
      </c>
      <c r="I2011" s="6">
        <v>2.8904836406806607</v>
      </c>
      <c r="K2011" s="8"/>
    </row>
    <row r="2012" spans="1:11" ht="15" x14ac:dyDescent="0.25">
      <c r="A2012" s="3" t="str">
        <f>HYPERLINK("proteomic_fractions_linear_files/Yang_linear_img/213688406.jpg", "213688406")</f>
        <v>213688406</v>
      </c>
      <c r="C2012" s="3" t="str">
        <f>HYPERLINK("http://www.ncbi.nlm.nih.gov/protein/213688406","Dynll1")</f>
        <v>Dynll1</v>
      </c>
      <c r="E2012" t="str">
        <f>HYPERLINK("J:\Depot - mpkCCD Fractions\Main Web Page\Web Pages_old\proteomic_fractions_linear_files/Yang_linear_img/213688406.jpg","show blot")</f>
        <v>show blot</v>
      </c>
      <c r="G2012" t="s">
        <v>1995</v>
      </c>
      <c r="I2012" s="6">
        <v>6.1612277101185775</v>
      </c>
      <c r="K2012" s="8"/>
    </row>
    <row r="2013" spans="1:11" ht="15" x14ac:dyDescent="0.25">
      <c r="A2013" s="3" t="str">
        <f>HYPERLINK("proteomic_fractions_linear_files/Yang_linear_img/281182473;18087731.jpg", "281182473;18087731")</f>
        <v>281182473;18087731</v>
      </c>
      <c r="C2013" s="3" t="str">
        <f>HYPERLINK("http://www.ncbi.nlm.nih.gov/protein/281182473;18087731","Dynll2")</f>
        <v>Dynll2</v>
      </c>
      <c r="E2013" t="str">
        <f>HYPERLINK("J:\Depot - mpkCCD Fractions\Main Web Page\Web Pages_old\proteomic_fractions_linear_files/Yang_linear_img/281182473;18087731.jpg","show blot")</f>
        <v>show blot</v>
      </c>
      <c r="G2013" t="s">
        <v>1996</v>
      </c>
      <c r="I2013" s="6">
        <v>5.9226699206726723</v>
      </c>
      <c r="K2013" s="8"/>
    </row>
    <row r="2014" spans="1:11" ht="15" x14ac:dyDescent="0.25">
      <c r="A2014" s="3" t="str">
        <f>HYPERLINK("proteomic_fractions_linear_files/Yang_linear_img/18087731.jpg", "18087731")</f>
        <v>18087731</v>
      </c>
      <c r="C2014" s="3" t="str">
        <f>HYPERLINK("http://www.ncbi.nlm.nih.gov/protein/18087731","Dynll2")</f>
        <v>Dynll2</v>
      </c>
      <c r="E2014" t="str">
        <f>HYPERLINK("J:\Depot - mpkCCD Fractions\Main Web Page\Web Pages_old\proteomic_fractions_linear_files/Yang_linear_img/18087731.jpg","show blot")</f>
        <v>show blot</v>
      </c>
      <c r="G2014" t="s">
        <v>1996</v>
      </c>
      <c r="I2014" s="6">
        <v>5.9226699206726723</v>
      </c>
      <c r="K2014" s="8"/>
    </row>
    <row r="2015" spans="1:11" ht="15" x14ac:dyDescent="0.25">
      <c r="A2015" s="3" t="str">
        <f>HYPERLINK("proteomic_fractions_linear_files/Yang_linear_img/254540041.jpg", "254540041")</f>
        <v>254540041</v>
      </c>
      <c r="C2015" s="3" t="str">
        <f>HYPERLINK("http://www.ncbi.nlm.nih.gov/protein/254540041","Dynlrb1")</f>
        <v>Dynlrb1</v>
      </c>
      <c r="E2015" t="str">
        <f>HYPERLINK("J:\Depot - mpkCCD Fractions\Main Web Page\Web Pages_old\proteomic_fractions_linear_files/Yang_linear_img/254540041.jpg","show blot")</f>
        <v>show blot</v>
      </c>
      <c r="G2015" t="s">
        <v>1997</v>
      </c>
      <c r="I2015" s="6">
        <v>5.037534905374538</v>
      </c>
      <c r="K2015" s="8"/>
    </row>
    <row r="2016" spans="1:11" ht="15" x14ac:dyDescent="0.25">
      <c r="A2016" s="3" t="str">
        <f>HYPERLINK("proteomic_fractions_linear_files/Yang_linear_img/262231815.jpg", "262231815")</f>
        <v>262231815</v>
      </c>
      <c r="C2016" s="3" t="str">
        <f>HYPERLINK("http://www.ncbi.nlm.nih.gov/protein/262231815","Dynlt1a")</f>
        <v>Dynlt1a</v>
      </c>
      <c r="E2016" t="str">
        <f>HYPERLINK("J:\Depot - mpkCCD Fractions\Main Web Page\Web Pages_old\proteomic_fractions_linear_files/Yang_linear_img/262231815.jpg","show blot")</f>
        <v>show blot</v>
      </c>
      <c r="G2016" t="s">
        <v>1998</v>
      </c>
      <c r="I2016" s="6">
        <v>5.9118051988323916</v>
      </c>
      <c r="K2016" s="8"/>
    </row>
    <row r="2017" spans="1:11" ht="15" x14ac:dyDescent="0.25">
      <c r="A2017" s="3" t="str">
        <f>HYPERLINK("proteomic_fractions_linear_files/Yang_linear_img/6678265;262231815.jpg", "6678265;262231815")</f>
        <v>6678265;262231815</v>
      </c>
      <c r="C2017" s="3" t="str">
        <f>HYPERLINK("http://www.ncbi.nlm.nih.gov/protein/6678265;262231815","Dynlt1b")</f>
        <v>Dynlt1b</v>
      </c>
      <c r="E2017" t="str">
        <f>HYPERLINK("J:\Depot - mpkCCD Fractions\Main Web Page\Web Pages_old\proteomic_fractions_linear_files/Yang_linear_img/6678265;262231815.jpg","show blot")</f>
        <v>show blot</v>
      </c>
      <c r="G2017" t="s">
        <v>1999</v>
      </c>
      <c r="I2017" s="6">
        <v>4.7976725549036194</v>
      </c>
      <c r="K2017" s="8"/>
    </row>
    <row r="2018" spans="1:11" ht="15" x14ac:dyDescent="0.25">
      <c r="A2018" s="3" t="str">
        <f>HYPERLINK("proteomic_fractions_linear_files/Yang_linear_img/315711043.jpg", "315711043")</f>
        <v>315711043</v>
      </c>
      <c r="C2018" s="3" t="str">
        <f>HYPERLINK("http://www.ncbi.nlm.nih.gov/protein/315711043","Dynlt1f")</f>
        <v>Dynlt1f</v>
      </c>
      <c r="E2018" t="str">
        <f>HYPERLINK("J:\Depot - mpkCCD Fractions\Main Web Page\Web Pages_old\proteomic_fractions_linear_files/Yang_linear_img/315711043.jpg","show blot")</f>
        <v>show blot</v>
      </c>
      <c r="G2018" t="s">
        <v>2000</v>
      </c>
      <c r="I2018" s="6">
        <v>5.9764575940029792</v>
      </c>
      <c r="K2018" s="8"/>
    </row>
    <row r="2019" spans="1:11" ht="15" x14ac:dyDescent="0.25">
      <c r="A2019" s="3" t="str">
        <f>HYPERLINK("proteomic_fractions_linear_files/Yang_linear_img/31543851.jpg", "31543851")</f>
        <v>31543851</v>
      </c>
      <c r="C2019" s="3" t="str">
        <f>HYPERLINK("http://www.ncbi.nlm.nih.gov/protein/31543851","Dynlt3")</f>
        <v>Dynlt3</v>
      </c>
      <c r="E2019" t="str">
        <f>HYPERLINK("J:\Depot - mpkCCD Fractions\Main Web Page\Web Pages_old\proteomic_fractions_linear_files/Yang_linear_img/31543851.jpg","show blot")</f>
        <v>show blot</v>
      </c>
      <c r="G2019" t="s">
        <v>2001</v>
      </c>
      <c r="I2019" s="6">
        <v>3.9416539051361648</v>
      </c>
      <c r="K2019" s="8"/>
    </row>
    <row r="2020" spans="1:11" ht="15" x14ac:dyDescent="0.25">
      <c r="A2020" s="3" t="str">
        <f>HYPERLINK("proteomic_fractions_linear_files/Yang_linear_img/164607150.jpg", "164607150")</f>
        <v>164607150</v>
      </c>
      <c r="C2020" s="3" t="str">
        <f>HYPERLINK("http://www.ncbi.nlm.nih.gov/protein/164607150","Dyrk1a")</f>
        <v>Dyrk1a</v>
      </c>
      <c r="E2020" t="str">
        <f>HYPERLINK("J:\Depot - mpkCCD Fractions\Main Web Page\Web Pages_old\proteomic_fractions_linear_files/Yang_linear_img/164607150.jpg","show blot")</f>
        <v>show blot</v>
      </c>
      <c r="G2020" t="s">
        <v>2002</v>
      </c>
      <c r="I2020" s="6">
        <v>2.105450070646838</v>
      </c>
      <c r="K2020" s="8"/>
    </row>
    <row r="2021" spans="1:11" ht="15" x14ac:dyDescent="0.25">
      <c r="A2021" s="3" t="str">
        <f>HYPERLINK("proteomic_fractions_linear_files/Yang_linear_img/406035327.jpg", "406035327")</f>
        <v>406035327</v>
      </c>
      <c r="C2021" s="3" t="str">
        <f>HYPERLINK("http://www.ncbi.nlm.nih.gov/protein/406035327","Dyrk1b")</f>
        <v>Dyrk1b</v>
      </c>
      <c r="E2021" t="str">
        <f>HYPERLINK("J:\Depot - mpkCCD Fractions\Main Web Page\Web Pages_old\proteomic_fractions_linear_files/Yang_linear_img/406035327.jpg","show blot")</f>
        <v>show blot</v>
      </c>
      <c r="G2021" t="s">
        <v>2003</v>
      </c>
      <c r="I2021" s="6">
        <v>2.2219556397182751</v>
      </c>
      <c r="K2021" s="8"/>
    </row>
    <row r="2022" spans="1:11" ht="15" x14ac:dyDescent="0.25">
      <c r="A2022" s="3" t="str">
        <f>HYPERLINK("proteomic_fractions_linear_files/Yang_linear_img/6753698.jpg", "6753698")</f>
        <v>6753698</v>
      </c>
      <c r="C2022" s="3" t="str">
        <f>HYPERLINK("http://www.ncbi.nlm.nih.gov/protein/6753698","Dyrk1b")</f>
        <v>Dyrk1b</v>
      </c>
      <c r="E2022" t="str">
        <f>HYPERLINK("J:\Depot - mpkCCD Fractions\Main Web Page\Web Pages_old\proteomic_fractions_linear_files/Yang_linear_img/6753698.jpg","show blot")</f>
        <v>show blot</v>
      </c>
      <c r="G2022" t="s">
        <v>2004</v>
      </c>
      <c r="I2022" s="6">
        <v>2.2219556397182751</v>
      </c>
      <c r="K2022" s="8"/>
    </row>
    <row r="2023" spans="1:11" ht="15" x14ac:dyDescent="0.25">
      <c r="A2023" s="3" t="str">
        <f>HYPERLINK("proteomic_fractions_linear_files/Yang_linear_img/83816922.jpg", "83816922")</f>
        <v>83816922</v>
      </c>
      <c r="C2023" s="3" t="str">
        <f>HYPERLINK("http://www.ncbi.nlm.nih.gov/protein/83816922","Dyrk1b")</f>
        <v>Dyrk1b</v>
      </c>
      <c r="E2023" t="str">
        <f>HYPERLINK("J:\Depot - mpkCCD Fractions\Main Web Page\Web Pages_old\proteomic_fractions_linear_files/Yang_linear_img/83816922.jpg","show blot")</f>
        <v>show blot</v>
      </c>
      <c r="G2023" t="s">
        <v>2005</v>
      </c>
      <c r="I2023" s="6">
        <v>2.2219556397182751</v>
      </c>
      <c r="K2023" s="8"/>
    </row>
    <row r="2024" spans="1:11" ht="15" x14ac:dyDescent="0.25">
      <c r="A2024" s="3" t="str">
        <f>HYPERLINK("proteomic_fractions_linear_files/Yang_linear_img/116174791.jpg", "116174791")</f>
        <v>116174791</v>
      </c>
      <c r="C2024" s="3" t="str">
        <f>HYPERLINK("http://www.ncbi.nlm.nih.gov/protein/116174791","Dysf")</f>
        <v>Dysf</v>
      </c>
      <c r="E2024" t="str">
        <f>HYPERLINK("J:\Depot - mpkCCD Fractions\Main Web Page\Web Pages_old\proteomic_fractions_linear_files/Yang_linear_img/116174791.jpg","show blot")</f>
        <v>show blot</v>
      </c>
      <c r="G2024" t="s">
        <v>2006</v>
      </c>
      <c r="I2024" s="6">
        <v>3.7782046237677966</v>
      </c>
      <c r="K2024" s="8"/>
    </row>
    <row r="2025" spans="1:11" ht="15" x14ac:dyDescent="0.25">
      <c r="A2025" s="3" t="str">
        <f>HYPERLINK("proteomic_fractions_linear_files/Yang_linear_img/118026931.jpg", "118026931")</f>
        <v>118026931</v>
      </c>
      <c r="C2025" s="3" t="str">
        <f>HYPERLINK("http://www.ncbi.nlm.nih.gov/protein/118026931","Dysf")</f>
        <v>Dysf</v>
      </c>
      <c r="E2025" t="str">
        <f>HYPERLINK("J:\Depot - mpkCCD Fractions\Main Web Page\Web Pages_old\proteomic_fractions_linear_files/Yang_linear_img/118026931.jpg","show blot")</f>
        <v>show blot</v>
      </c>
      <c r="G2025" t="s">
        <v>2007</v>
      </c>
      <c r="I2025" s="6">
        <v>3.7782046237677966</v>
      </c>
      <c r="K2025" s="8"/>
    </row>
    <row r="2026" spans="1:11" ht="15" x14ac:dyDescent="0.25">
      <c r="A2026" s="3" t="str">
        <f>HYPERLINK("proteomic_fractions_linear_files/Yang_linear_img/124249054.jpg", "124249054")</f>
        <v>124249054</v>
      </c>
      <c r="C2026" s="3" t="str">
        <f>HYPERLINK("http://www.ncbi.nlm.nih.gov/protein/124249054","Dzip3")</f>
        <v>Dzip3</v>
      </c>
      <c r="E2026" t="str">
        <f>HYPERLINK("J:\Depot - mpkCCD Fractions\Main Web Page\Web Pages_old\proteomic_fractions_linear_files/Yang_linear_img/124249054.jpg","show blot")</f>
        <v>show blot</v>
      </c>
      <c r="G2026" t="s">
        <v>2008</v>
      </c>
      <c r="I2026" s="6">
        <v>3.1704329938286624</v>
      </c>
      <c r="K2026" s="8"/>
    </row>
    <row r="2027" spans="1:11" ht="15" x14ac:dyDescent="0.25">
      <c r="A2027" s="3" t="str">
        <f>HYPERLINK("proteomic_fractions_linear_files/Yang_linear_img/158517947.jpg", "158517947")</f>
        <v>158517947</v>
      </c>
      <c r="C2027" s="3" t="str">
        <f>HYPERLINK("http://www.ncbi.nlm.nih.gov/protein/158517947","Dzip3")</f>
        <v>Dzip3</v>
      </c>
      <c r="E2027" t="str">
        <f>HYPERLINK("J:\Depot - mpkCCD Fractions\Main Web Page\Web Pages_old\proteomic_fractions_linear_files/Yang_linear_img/158517947.jpg","show blot")</f>
        <v>show blot</v>
      </c>
      <c r="G2027" t="s">
        <v>2009</v>
      </c>
      <c r="I2027" s="6">
        <v>3.1704329938286624</v>
      </c>
      <c r="K2027" s="8"/>
    </row>
    <row r="2028" spans="1:11" ht="15" x14ac:dyDescent="0.25">
      <c r="A2028" s="3" t="str">
        <f>HYPERLINK("proteomic_fractions_linear_files/Yang_linear_img/149234198.jpg", "149234198")</f>
        <v>149234198</v>
      </c>
      <c r="C2028" s="3" t="str">
        <f>HYPERLINK("http://www.ncbi.nlm.nih.gov/protein/149234198","E030010N08Rik")</f>
        <v>E030010N08Rik</v>
      </c>
      <c r="E2028" t="str">
        <f>HYPERLINK("J:\Depot - mpkCCD Fractions\Main Web Page\Web Pages_old\proteomic_fractions_linear_files/Yang_linear_img/149234198.jpg","show blot")</f>
        <v>show blot</v>
      </c>
      <c r="G2028" t="s">
        <v>2010</v>
      </c>
      <c r="I2028" s="6">
        <v>3.3876332745816087</v>
      </c>
      <c r="K2028" s="8"/>
    </row>
    <row r="2029" spans="1:11" ht="15" x14ac:dyDescent="0.25">
      <c r="A2029" s="3" t="str">
        <f>HYPERLINK("proteomic_fractions_linear_files/Yang_linear_img/309264118.jpg", "309264118")</f>
        <v>309264118</v>
      </c>
      <c r="C2029" s="3" t="str">
        <f>HYPERLINK("http://www.ncbi.nlm.nih.gov/protein/309264118","E030010N08Rik")</f>
        <v>E030010N08Rik</v>
      </c>
      <c r="E2029" t="str">
        <f>HYPERLINK("J:\Depot - mpkCCD Fractions\Main Web Page\Web Pages_old\proteomic_fractions_linear_files/Yang_linear_img/309264118.jpg","show blot")</f>
        <v>show blot</v>
      </c>
      <c r="G2029" t="s">
        <v>2010</v>
      </c>
      <c r="I2029" s="6">
        <v>3.3876332745816087</v>
      </c>
      <c r="K2029" s="8"/>
    </row>
    <row r="2030" spans="1:11" ht="15" x14ac:dyDescent="0.25">
      <c r="A2030" s="3" t="str">
        <f>HYPERLINK("proteomic_fractions_linear_files/Yang_linear_img/170650679.jpg", "170650679")</f>
        <v>170650679</v>
      </c>
      <c r="C2030" s="3" t="str">
        <f>HYPERLINK("http://www.ncbi.nlm.nih.gov/protein/170650679","E130309D02Rik")</f>
        <v>E130309D02Rik</v>
      </c>
      <c r="E2030" t="str">
        <f>HYPERLINK("J:\Depot - mpkCCD Fractions\Main Web Page\Web Pages_old\proteomic_fractions_linear_files/Yang_linear_img/170650679.jpg","show blot")</f>
        <v>show blot</v>
      </c>
      <c r="G2030" t="s">
        <v>2011</v>
      </c>
      <c r="I2030" s="6">
        <v>1.7338390006971496</v>
      </c>
      <c r="K2030" s="8"/>
    </row>
    <row r="2031" spans="1:11" ht="15" x14ac:dyDescent="0.25">
      <c r="A2031" s="3" t="str">
        <f>HYPERLINK("proteomic_fractions_linear_files/Yang_linear_img/29244450.jpg", "29244450")</f>
        <v>29244450</v>
      </c>
      <c r="C2031" s="3" t="str">
        <f>HYPERLINK("http://www.ncbi.nlm.nih.gov/protein/29244450","E130311K13Rik")</f>
        <v>E130311K13Rik</v>
      </c>
      <c r="E2031" t="str">
        <f>HYPERLINK("J:\Depot - mpkCCD Fractions\Main Web Page\Web Pages_old\proteomic_fractions_linear_files/Yang_linear_img/29244450.jpg","show blot")</f>
        <v>show blot</v>
      </c>
      <c r="G2031" t="s">
        <v>2012</v>
      </c>
      <c r="I2031" s="6">
        <v>2.5637756648507573</v>
      </c>
      <c r="K2031" s="8"/>
    </row>
    <row r="2032" spans="1:11" ht="15" x14ac:dyDescent="0.25">
      <c r="A2032" s="3" t="str">
        <f>HYPERLINK("proteomic_fractions_linear_files/Yang_linear_img/319402141.jpg", "319402141")</f>
        <v>319402141</v>
      </c>
      <c r="C2032" s="3" t="str">
        <f>HYPERLINK("http://www.ncbi.nlm.nih.gov/protein/319402141","E330021D16Rik")</f>
        <v>E330021D16Rik</v>
      </c>
      <c r="E2032" t="str">
        <f>HYPERLINK("J:\Depot - mpkCCD Fractions\Main Web Page\Web Pages_old\proteomic_fractions_linear_files/Yang_linear_img/319402141.jpg","show blot")</f>
        <v>show blot</v>
      </c>
      <c r="G2032" t="s">
        <v>2013</v>
      </c>
      <c r="I2032" s="6">
        <v>4.0944956002084325</v>
      </c>
      <c r="K2032" s="8"/>
    </row>
    <row r="2033" spans="1:11" ht="15" x14ac:dyDescent="0.25">
      <c r="A2033" s="3" t="str">
        <f>HYPERLINK("proteomic_fractions_linear_files/Yang_linear_img/46048300.jpg", "46048300")</f>
        <v>46048300</v>
      </c>
      <c r="C2033" s="3" t="str">
        <f>HYPERLINK("http://www.ncbi.nlm.nih.gov/protein/46048300","E430025E21Rik")</f>
        <v>E430025E21Rik</v>
      </c>
      <c r="E2033" t="str">
        <f>HYPERLINK("J:\Depot - mpkCCD Fractions\Main Web Page\Web Pages_old\proteomic_fractions_linear_files/Yang_linear_img/46048300.jpg","show blot")</f>
        <v>show blot</v>
      </c>
      <c r="G2033" t="s">
        <v>2014</v>
      </c>
      <c r="I2033" s="6">
        <v>4.5181369081425524</v>
      </c>
      <c r="K2033" s="8"/>
    </row>
    <row r="2034" spans="1:11" ht="15" x14ac:dyDescent="0.25">
      <c r="A2034" s="3" t="str">
        <f>HYPERLINK("proteomic_fractions_linear_files/Yang_linear_img/21312986.jpg", "21312986")</f>
        <v>21312986</v>
      </c>
      <c r="C2034" s="3" t="str">
        <f>HYPERLINK("http://www.ncbi.nlm.nih.gov/protein/21312986","Ears2")</f>
        <v>Ears2</v>
      </c>
      <c r="E2034" t="str">
        <f>HYPERLINK("J:\Depot - mpkCCD Fractions\Main Web Page\Web Pages_old\proteomic_fractions_linear_files/Yang_linear_img/21312986.jpg","show blot")</f>
        <v>show blot</v>
      </c>
      <c r="G2034" t="s">
        <v>2015</v>
      </c>
      <c r="I2034" s="6">
        <v>4.6892479025234328</v>
      </c>
      <c r="K2034" s="8"/>
    </row>
    <row r="2035" spans="1:11" ht="15" x14ac:dyDescent="0.25">
      <c r="A2035" s="3" t="str">
        <f>HYPERLINK("proteomic_fractions_linear_files/Yang_linear_img/31982524.jpg", "31982524")</f>
        <v>31982524</v>
      </c>
      <c r="C2035" s="3" t="str">
        <f>HYPERLINK("http://www.ncbi.nlm.nih.gov/protein/31982524","Ebag9")</f>
        <v>Ebag9</v>
      </c>
      <c r="E2035" t="str">
        <f>HYPERLINK("J:\Depot - mpkCCD Fractions\Main Web Page\Web Pages_old\proteomic_fractions_linear_files/Yang_linear_img/31982524.jpg","show blot")</f>
        <v>show blot</v>
      </c>
      <c r="G2035" t="s">
        <v>2016</v>
      </c>
      <c r="I2035" s="6">
        <v>3.1971280144326188</v>
      </c>
      <c r="K2035" s="8"/>
    </row>
    <row r="2036" spans="1:11" ht="15" x14ac:dyDescent="0.25">
      <c r="A2036" s="3" t="str">
        <f>HYPERLINK("proteomic_fractions_linear_files/Yang_linear_img/6681255.jpg", "6681255")</f>
        <v>6681255</v>
      </c>
      <c r="C2036" s="3" t="str">
        <f>HYPERLINK("http://www.ncbi.nlm.nih.gov/protein/6681255","Ebp")</f>
        <v>Ebp</v>
      </c>
      <c r="E2036" t="str">
        <f>HYPERLINK("J:\Depot - mpkCCD Fractions\Main Web Page\Web Pages_old\proteomic_fractions_linear_files/Yang_linear_img/6681255.jpg","show blot")</f>
        <v>show blot</v>
      </c>
      <c r="G2036" t="s">
        <v>2017</v>
      </c>
      <c r="I2036" s="6">
        <v>4.2095935897821084</v>
      </c>
      <c r="K2036" s="8"/>
    </row>
    <row r="2037" spans="1:11" ht="15" x14ac:dyDescent="0.25">
      <c r="A2037" s="3" t="str">
        <f>HYPERLINK("proteomic_fractions_linear_files/Yang_linear_img/7949037.jpg", "7949037")</f>
        <v>7949037</v>
      </c>
      <c r="C2037" s="3" t="str">
        <f>HYPERLINK("http://www.ncbi.nlm.nih.gov/protein/7949037","Ech1")</f>
        <v>Ech1</v>
      </c>
      <c r="E2037" t="str">
        <f>HYPERLINK("J:\Depot - mpkCCD Fractions\Main Web Page\Web Pages_old\proteomic_fractions_linear_files/Yang_linear_img/7949037.jpg","show blot")</f>
        <v>show blot</v>
      </c>
      <c r="G2037" t="s">
        <v>2018</v>
      </c>
      <c r="I2037" s="6">
        <v>4.8207797043797855</v>
      </c>
      <c r="K2037" s="8"/>
    </row>
    <row r="2038" spans="1:11" ht="15" x14ac:dyDescent="0.25">
      <c r="A2038" s="3" t="str">
        <f>HYPERLINK("proteomic_fractions_linear_files/Yang_linear_img/158854020.jpg", "158854020")</f>
        <v>158854020</v>
      </c>
      <c r="C2038" s="3" t="str">
        <f>HYPERLINK("http://www.ncbi.nlm.nih.gov/protein/158854020","Echdc1")</f>
        <v>Echdc1</v>
      </c>
      <c r="E2038" t="str">
        <f>HYPERLINK("J:\Depot - mpkCCD Fractions\Main Web Page\Web Pages_old\proteomic_fractions_linear_files/Yang_linear_img/158854020.jpg","show blot")</f>
        <v>show blot</v>
      </c>
      <c r="G2038" t="s">
        <v>2019</v>
      </c>
      <c r="I2038" s="6">
        <v>5.2183560643935385</v>
      </c>
      <c r="K2038" s="8"/>
    </row>
    <row r="2039" spans="1:11" ht="15" x14ac:dyDescent="0.25">
      <c r="A2039" s="3" t="str">
        <f>HYPERLINK("proteomic_fractions_linear_files/Yang_linear_img/158854022.jpg", "158854022")</f>
        <v>158854022</v>
      </c>
      <c r="C2039" s="3" t="str">
        <f>HYPERLINK("http://www.ncbi.nlm.nih.gov/protein/158854022","Echdc1")</f>
        <v>Echdc1</v>
      </c>
      <c r="E2039" t="str">
        <f>HYPERLINK("J:\Depot - mpkCCD Fractions\Main Web Page\Web Pages_old\proteomic_fractions_linear_files/Yang_linear_img/158854022.jpg","show blot")</f>
        <v>show blot</v>
      </c>
      <c r="G2039" t="s">
        <v>2020</v>
      </c>
      <c r="I2039" s="6">
        <v>5.2183560643935385</v>
      </c>
      <c r="K2039" s="8"/>
    </row>
    <row r="2040" spans="1:11" ht="15" x14ac:dyDescent="0.25">
      <c r="A2040" s="3" t="str">
        <f>HYPERLINK("proteomic_fractions_linear_files/Yang_linear_img/225543400.jpg", "225543400")</f>
        <v>225543400</v>
      </c>
      <c r="C2040" s="3" t="str">
        <f>HYPERLINK("http://www.ncbi.nlm.nih.gov/protein/225543400","Echdc2")</f>
        <v>Echdc2</v>
      </c>
      <c r="E2040" t="str">
        <f>HYPERLINK("J:\Depot - mpkCCD Fractions\Main Web Page\Web Pages_old\proteomic_fractions_linear_files/Yang_linear_img/225543400.jpg","show blot")</f>
        <v>show blot</v>
      </c>
      <c r="G2040" t="s">
        <v>2021</v>
      </c>
      <c r="I2040" s="6">
        <v>4.3464135461495825</v>
      </c>
      <c r="K2040" s="8"/>
    </row>
    <row r="2041" spans="1:11" ht="15" x14ac:dyDescent="0.25">
      <c r="A2041" s="3" t="str">
        <f>HYPERLINK("proteomic_fractions_linear_files/Yang_linear_img/363543337.jpg", "363543337")</f>
        <v>363543337</v>
      </c>
      <c r="C2041" s="3" t="str">
        <f>HYPERLINK("http://www.ncbi.nlm.nih.gov/protein/363543337","Echdc2")</f>
        <v>Echdc2</v>
      </c>
      <c r="E2041" t="str">
        <f>HYPERLINK("J:\Depot - mpkCCD Fractions\Main Web Page\Web Pages_old\proteomic_fractions_linear_files/Yang_linear_img/363543337.jpg","show blot")</f>
        <v>show blot</v>
      </c>
      <c r="G2041" t="s">
        <v>2022</v>
      </c>
      <c r="I2041" s="6">
        <v>4.3464135461495825</v>
      </c>
      <c r="K2041" s="8"/>
    </row>
    <row r="2042" spans="1:11" ht="15" x14ac:dyDescent="0.25">
      <c r="A2042" s="3" t="str">
        <f>HYPERLINK("proteomic_fractions_linear_files/Yang_linear_img/31980955.jpg", "31980955")</f>
        <v>31980955</v>
      </c>
      <c r="C2042" s="3" t="str">
        <f>HYPERLINK("http://www.ncbi.nlm.nih.gov/protein/31980955","Echdc3")</f>
        <v>Echdc3</v>
      </c>
      <c r="E2042" t="str">
        <f>HYPERLINK("J:\Depot - mpkCCD Fractions\Main Web Page\Web Pages_old\proteomic_fractions_linear_files/Yang_linear_img/31980955.jpg","show blot")</f>
        <v>show blot</v>
      </c>
      <c r="G2042" t="s">
        <v>2023</v>
      </c>
      <c r="I2042" s="6">
        <v>4.0498625740379763</v>
      </c>
      <c r="K2042" s="8"/>
    </row>
    <row r="2043" spans="1:11" ht="15" x14ac:dyDescent="0.25">
      <c r="A2043" s="3" t="str">
        <f>HYPERLINK("proteomic_fractions_linear_files/Yang_linear_img/29789289.jpg", "29789289")</f>
        <v>29789289</v>
      </c>
      <c r="C2043" s="3" t="str">
        <f>HYPERLINK("http://www.ncbi.nlm.nih.gov/protein/29789289","Echs1")</f>
        <v>Echs1</v>
      </c>
      <c r="E2043" t="str">
        <f>HYPERLINK("J:\Depot - mpkCCD Fractions\Main Web Page\Web Pages_old\proteomic_fractions_linear_files/Yang_linear_img/29789289.jpg","show blot")</f>
        <v>show blot</v>
      </c>
      <c r="G2043" t="s">
        <v>2024</v>
      </c>
      <c r="I2043" s="6">
        <v>5.8794420726860084</v>
      </c>
      <c r="K2043" s="8"/>
    </row>
    <row r="2044" spans="1:11" ht="15" x14ac:dyDescent="0.25">
      <c r="A2044" s="3" t="str">
        <f>HYPERLINK("proteomic_fractions_linear_files/Yang_linear_img/31981810.jpg", "31981810")</f>
        <v>31981810</v>
      </c>
      <c r="C2044" s="3" t="str">
        <f>HYPERLINK("http://www.ncbi.nlm.nih.gov/protein/31981810","Eci1")</f>
        <v>Eci1</v>
      </c>
      <c r="E2044" t="str">
        <f>HYPERLINK("J:\Depot - mpkCCD Fractions\Main Web Page\Web Pages_old\proteomic_fractions_linear_files/Yang_linear_img/31981810.jpg","show blot")</f>
        <v>show blot</v>
      </c>
      <c r="G2044" t="s">
        <v>2025</v>
      </c>
      <c r="I2044" s="6">
        <v>6.1392203060645949</v>
      </c>
      <c r="K2044" s="8"/>
    </row>
    <row r="2045" spans="1:11" ht="15" x14ac:dyDescent="0.25">
      <c r="A2045" s="3" t="str">
        <f>HYPERLINK("proteomic_fractions_linear_files/Yang_linear_img/160333193.jpg", "160333193")</f>
        <v>160333193</v>
      </c>
      <c r="C2045" s="3" t="str">
        <f>HYPERLINK("http://www.ncbi.nlm.nih.gov/protein/160333193","Eci2")</f>
        <v>Eci2</v>
      </c>
      <c r="E2045" t="str">
        <f>HYPERLINK("J:\Depot - mpkCCD Fractions\Main Web Page\Web Pages_old\proteomic_fractions_linear_files/Yang_linear_img/160333193.jpg","show blot")</f>
        <v>show blot</v>
      </c>
      <c r="G2045" t="s">
        <v>2026</v>
      </c>
      <c r="I2045" s="6">
        <v>4.2584893889949402</v>
      </c>
      <c r="K2045" s="8"/>
    </row>
    <row r="2046" spans="1:11" ht="15" x14ac:dyDescent="0.25">
      <c r="A2046" s="3" t="str">
        <f>HYPERLINK("proteomic_fractions_linear_files/Yang_linear_img/160333195.jpg", "160333195")</f>
        <v>160333195</v>
      </c>
      <c r="C2046" s="3" t="str">
        <f>HYPERLINK("http://www.ncbi.nlm.nih.gov/protein/160333195","Eci2")</f>
        <v>Eci2</v>
      </c>
      <c r="E2046" t="str">
        <f>HYPERLINK("J:\Depot - mpkCCD Fractions\Main Web Page\Web Pages_old\proteomic_fractions_linear_files/Yang_linear_img/160333195.jpg","show blot")</f>
        <v>show blot</v>
      </c>
      <c r="G2046" t="s">
        <v>2027</v>
      </c>
      <c r="I2046" s="6">
        <v>4.2584893889949402</v>
      </c>
      <c r="K2046" s="8"/>
    </row>
    <row r="2047" spans="1:11" ht="15" x14ac:dyDescent="0.25">
      <c r="A2047" s="3" t="str">
        <f>HYPERLINK("proteomic_fractions_linear_files/Yang_linear_img/21312210.jpg", "21312210")</f>
        <v>21312210</v>
      </c>
      <c r="C2047" s="3" t="str">
        <f>HYPERLINK("http://www.ncbi.nlm.nih.gov/protein/21312210","Eci3")</f>
        <v>Eci3</v>
      </c>
      <c r="E2047" t="str">
        <f>HYPERLINK("J:\Depot - mpkCCD Fractions\Main Web Page\Web Pages_old\proteomic_fractions_linear_files/Yang_linear_img/21312210.jpg","show blot")</f>
        <v>show blot</v>
      </c>
      <c r="G2047" t="s">
        <v>2028</v>
      </c>
      <c r="I2047" s="6">
        <v>3.772637796911638</v>
      </c>
      <c r="K2047" s="8"/>
    </row>
    <row r="2048" spans="1:11" ht="15" x14ac:dyDescent="0.25">
      <c r="A2048" s="3" t="str">
        <f>HYPERLINK("proteomic_fractions_linear_files/Yang_linear_img/6755522.jpg", "6755522")</f>
        <v>6755522</v>
      </c>
      <c r="C2048" s="3" t="str">
        <f>HYPERLINK("http://www.ncbi.nlm.nih.gov/protein/6755522","Ecsit")</f>
        <v>Ecsit</v>
      </c>
      <c r="E2048" t="str">
        <f>HYPERLINK("J:\Depot - mpkCCD Fractions\Main Web Page\Web Pages_old\proteomic_fractions_linear_files/Yang_linear_img/6755522.jpg","show blot")</f>
        <v>show blot</v>
      </c>
      <c r="G2048" t="s">
        <v>2029</v>
      </c>
      <c r="I2048" s="6">
        <v>1.5817040615466751</v>
      </c>
      <c r="K2048" s="8"/>
    </row>
    <row r="2049" spans="1:11" ht="15" x14ac:dyDescent="0.25">
      <c r="A2049" s="3" t="str">
        <f>HYPERLINK("proteomic_fractions_linear_files/Yang_linear_img/24418913.jpg", "24418913")</f>
        <v>24418913</v>
      </c>
      <c r="C2049" s="3" t="str">
        <f>HYPERLINK("http://www.ncbi.nlm.nih.gov/protein/24418913","Edc3")</f>
        <v>Edc3</v>
      </c>
      <c r="E2049" t="str">
        <f>HYPERLINK("J:\Depot - mpkCCD Fractions\Main Web Page\Web Pages_old\proteomic_fractions_linear_files/Yang_linear_img/24418913.jpg","show blot")</f>
        <v>show blot</v>
      </c>
      <c r="G2049" t="s">
        <v>2030</v>
      </c>
      <c r="I2049" s="6">
        <v>3.7523039918414662</v>
      </c>
      <c r="K2049" s="8"/>
    </row>
    <row r="2050" spans="1:11" ht="15" x14ac:dyDescent="0.25">
      <c r="A2050" s="3" t="str">
        <f>HYPERLINK("proteomic_fractions_linear_files/Yang_linear_img/31712002.jpg", "31712002")</f>
        <v>31712002</v>
      </c>
      <c r="C2050" s="3" t="str">
        <f>HYPERLINK("http://www.ncbi.nlm.nih.gov/protein/31712002","Edc4")</f>
        <v>Edc4</v>
      </c>
      <c r="E2050" t="str">
        <f>HYPERLINK("J:\Depot - mpkCCD Fractions\Main Web Page\Web Pages_old\proteomic_fractions_linear_files/Yang_linear_img/31712002.jpg","show blot")</f>
        <v>show blot</v>
      </c>
      <c r="G2050" t="s">
        <v>2031</v>
      </c>
      <c r="I2050" s="6">
        <v>4.6174154648322387</v>
      </c>
      <c r="K2050" s="8"/>
    </row>
    <row r="2051" spans="1:11" ht="15" x14ac:dyDescent="0.25">
      <c r="A2051" s="3" t="str">
        <f>HYPERLINK("proteomic_fractions_linear_files/Yang_linear_img/10946942.jpg", "10946942")</f>
        <v>10946942</v>
      </c>
      <c r="C2051" s="3" t="str">
        <f>HYPERLINK("http://www.ncbi.nlm.nih.gov/protein/10946942","Edf1")</f>
        <v>Edf1</v>
      </c>
      <c r="E2051" t="str">
        <f>HYPERLINK("J:\Depot - mpkCCD Fractions\Main Web Page\Web Pages_old\proteomic_fractions_linear_files/Yang_linear_img/10946942.jpg","show blot")</f>
        <v>show blot</v>
      </c>
      <c r="G2051" t="s">
        <v>2032</v>
      </c>
      <c r="I2051" s="6">
        <v>5.2817978229378815</v>
      </c>
      <c r="K2051" s="8"/>
    </row>
    <row r="2052" spans="1:11" ht="15" x14ac:dyDescent="0.25">
      <c r="A2052" s="3" t="str">
        <f>HYPERLINK("proteomic_fractions_linear_files/Yang_linear_img/50053824.jpg", "50053824")</f>
        <v>50053824</v>
      </c>
      <c r="C2052" s="3" t="str">
        <f>HYPERLINK("http://www.ncbi.nlm.nih.gov/protein/50053824","Eea1")</f>
        <v>Eea1</v>
      </c>
      <c r="E2052" t="str">
        <f>HYPERLINK("J:\Depot - mpkCCD Fractions\Main Web Page\Web Pages_old\proteomic_fractions_linear_files/Yang_linear_img/50053824.jpg","show blot")</f>
        <v>show blot</v>
      </c>
      <c r="G2052" t="s">
        <v>2033</v>
      </c>
      <c r="I2052" s="6">
        <v>4.3903684812591903</v>
      </c>
      <c r="K2052" s="8"/>
    </row>
    <row r="2053" spans="1:11" ht="15" x14ac:dyDescent="0.25">
      <c r="A2053" s="3" t="str">
        <f>HYPERLINK("proteomic_fractions_linear_files/Yang_linear_img/6681273.jpg", "6681273")</f>
        <v>6681273</v>
      </c>
      <c r="C2053" s="3" t="str">
        <f>HYPERLINK("http://www.ncbi.nlm.nih.gov/protein/6681273","Eef1a2")</f>
        <v>Eef1a2</v>
      </c>
      <c r="E2053" t="str">
        <f>HYPERLINK("J:\Depot - mpkCCD Fractions\Main Web Page\Web Pages_old\proteomic_fractions_linear_files/Yang_linear_img/6681273.jpg","show blot")</f>
        <v>show blot</v>
      </c>
      <c r="G2053" t="s">
        <v>2034</v>
      </c>
      <c r="I2053" s="6">
        <v>7.3660378493547114</v>
      </c>
      <c r="K2053" s="8"/>
    </row>
    <row r="2054" spans="1:11" ht="15" x14ac:dyDescent="0.25">
      <c r="A2054" s="3" t="str">
        <f>HYPERLINK("proteomic_fractions_linear_files/Yang_linear_img/31980922.jpg", "31980922")</f>
        <v>31980922</v>
      </c>
      <c r="C2054" s="3" t="str">
        <f>HYPERLINK("http://www.ncbi.nlm.nih.gov/protein/31980922","Eef1b2")</f>
        <v>Eef1b2</v>
      </c>
      <c r="E2054" t="str">
        <f>HYPERLINK("J:\Depot - mpkCCD Fractions\Main Web Page\Web Pages_old\proteomic_fractions_linear_files/Yang_linear_img/31980922.jpg","show blot")</f>
        <v>show blot</v>
      </c>
      <c r="G2054" t="s">
        <v>2035</v>
      </c>
      <c r="I2054" s="6">
        <v>6.2814537620489244</v>
      </c>
      <c r="K2054" s="8"/>
    </row>
    <row r="2055" spans="1:11" ht="15" x14ac:dyDescent="0.25">
      <c r="A2055" s="3" t="str">
        <f>HYPERLINK("proteomic_fractions_linear_files/Yang_linear_img/549806736.jpg", "549806736")</f>
        <v>549806736</v>
      </c>
      <c r="C2055" s="3" t="str">
        <f>HYPERLINK("http://www.ncbi.nlm.nih.gov/protein/549806736","Eef1d")</f>
        <v>Eef1d</v>
      </c>
      <c r="E2055" t="str">
        <f>HYPERLINK("J:\Depot - mpkCCD Fractions\Main Web Page\Web Pages_old\proteomic_fractions_linear_files/Yang_linear_img/549806736.jpg","show blot")</f>
        <v>show blot</v>
      </c>
      <c r="G2055" t="s">
        <v>2036</v>
      </c>
      <c r="I2055" s="6">
        <v>6.9064741593564678</v>
      </c>
      <c r="K2055" s="8"/>
    </row>
    <row r="2056" spans="1:11" ht="15" x14ac:dyDescent="0.25">
      <c r="A2056" s="3" t="str">
        <f>HYPERLINK("proteomic_fractions_linear_files/Yang_linear_img/549806774.jpg", "549806774")</f>
        <v>549806774</v>
      </c>
      <c r="C2056" s="3" t="str">
        <f>HYPERLINK("http://www.ncbi.nlm.nih.gov/protein/549806774","Eef1d")</f>
        <v>Eef1d</v>
      </c>
      <c r="E2056" t="str">
        <f>HYPERLINK("J:\Depot - mpkCCD Fractions\Main Web Page\Web Pages_old\proteomic_fractions_linear_files/Yang_linear_img/549806774.jpg","show blot")</f>
        <v>show blot</v>
      </c>
      <c r="G2056" t="s">
        <v>2037</v>
      </c>
      <c r="I2056" s="6">
        <v>6.9064741593564678</v>
      </c>
      <c r="K2056" s="8"/>
    </row>
    <row r="2057" spans="1:11" ht="15" x14ac:dyDescent="0.25">
      <c r="A2057" s="3" t="str">
        <f>HYPERLINK("proteomic_fractions_linear_files/Yang_linear_img/54287684.jpg", "54287684")</f>
        <v>54287684</v>
      </c>
      <c r="C2057" s="3" t="str">
        <f>HYPERLINK("http://www.ncbi.nlm.nih.gov/protein/54287684","Eef1d")</f>
        <v>Eef1d</v>
      </c>
      <c r="E2057" t="str">
        <f>HYPERLINK("J:\Depot - mpkCCD Fractions\Main Web Page\Web Pages_old\proteomic_fractions_linear_files/Yang_linear_img/54287684.jpg","show blot")</f>
        <v>show blot</v>
      </c>
      <c r="G2057" t="s">
        <v>2038</v>
      </c>
      <c r="I2057" s="6">
        <v>6.9064741593564678</v>
      </c>
      <c r="K2057" s="8"/>
    </row>
    <row r="2058" spans="1:11" ht="15" x14ac:dyDescent="0.25">
      <c r="A2058" s="3" t="str">
        <f>HYPERLINK("proteomic_fractions_linear_files/Yang_linear_img/56699438.jpg", "56699438")</f>
        <v>56699438</v>
      </c>
      <c r="C2058" s="3" t="str">
        <f>HYPERLINK("http://www.ncbi.nlm.nih.gov/protein/56699438","Eef1d")</f>
        <v>Eef1d</v>
      </c>
      <c r="E2058" t="str">
        <f>HYPERLINK("J:\Depot - mpkCCD Fractions\Main Web Page\Web Pages_old\proteomic_fractions_linear_files/Yang_linear_img/56699438.jpg","show blot")</f>
        <v>show blot</v>
      </c>
      <c r="G2058" t="s">
        <v>2039</v>
      </c>
      <c r="I2058" s="6">
        <v>6.9064741593564678</v>
      </c>
      <c r="K2058" s="8"/>
    </row>
    <row r="2059" spans="1:11" ht="15" x14ac:dyDescent="0.25">
      <c r="A2059" s="3" t="str">
        <f>HYPERLINK("proteomic_fractions_linear_files/Yang_linear_img/13384756.jpg", "13384756")</f>
        <v>13384756</v>
      </c>
      <c r="C2059" s="3" t="str">
        <f>HYPERLINK("http://www.ncbi.nlm.nih.gov/protein/13384756","Eef1e1")</f>
        <v>Eef1e1</v>
      </c>
      <c r="E2059" t="str">
        <f>HYPERLINK("J:\Depot - mpkCCD Fractions\Main Web Page\Web Pages_old\proteomic_fractions_linear_files/Yang_linear_img/13384756.jpg","show blot")</f>
        <v>show blot</v>
      </c>
      <c r="G2059" t="s">
        <v>2040</v>
      </c>
      <c r="I2059" s="6">
        <v>5.6165430542979413</v>
      </c>
      <c r="K2059" s="8"/>
    </row>
    <row r="2060" spans="1:11" ht="15" x14ac:dyDescent="0.25">
      <c r="A2060" s="3" t="str">
        <f>HYPERLINK("proteomic_fractions_linear_files/Yang_linear_img/110625979.jpg", "110625979")</f>
        <v>110625979</v>
      </c>
      <c r="C2060" s="3" t="str">
        <f>HYPERLINK("http://www.ncbi.nlm.nih.gov/protein/110625979","Eef1g")</f>
        <v>Eef1g</v>
      </c>
      <c r="E2060" t="str">
        <f>HYPERLINK("J:\Depot - mpkCCD Fractions\Main Web Page\Web Pages_old\proteomic_fractions_linear_files/Yang_linear_img/110625979.jpg","show blot")</f>
        <v>show blot</v>
      </c>
      <c r="G2060" t="s">
        <v>2041</v>
      </c>
      <c r="I2060" s="6">
        <v>6.7279250521092973</v>
      </c>
      <c r="K2060" s="8"/>
    </row>
    <row r="2061" spans="1:11" ht="15" x14ac:dyDescent="0.25">
      <c r="A2061" s="3" t="str">
        <f>HYPERLINK("proteomic_fractions_linear_files/Yang_linear_img/33859482.jpg", "33859482")</f>
        <v>33859482</v>
      </c>
      <c r="C2061" s="3" t="str">
        <f>HYPERLINK("http://www.ncbi.nlm.nih.gov/protein/33859482","Eef2")</f>
        <v>Eef2</v>
      </c>
      <c r="E2061" t="str">
        <f>HYPERLINK("J:\Depot - mpkCCD Fractions\Main Web Page\Web Pages_old\proteomic_fractions_linear_files/Yang_linear_img/33859482.jpg","show blot")</f>
        <v>show blot</v>
      </c>
      <c r="G2061" t="s">
        <v>2042</v>
      </c>
      <c r="I2061" s="6">
        <v>6.9472163934529627</v>
      </c>
      <c r="K2061" s="8"/>
    </row>
    <row r="2062" spans="1:11" ht="15" x14ac:dyDescent="0.25">
      <c r="A2062" s="3" t="str">
        <f>HYPERLINK("proteomic_fractions_linear_files/Yang_linear_img/6681275.jpg", "6681275")</f>
        <v>6681275</v>
      </c>
      <c r="C2062" s="3" t="str">
        <f>HYPERLINK("http://www.ncbi.nlm.nih.gov/protein/6681275","Eef2k")</f>
        <v>Eef2k</v>
      </c>
      <c r="E2062" t="str">
        <f>HYPERLINK("J:\Depot - mpkCCD Fractions\Main Web Page\Web Pages_old\proteomic_fractions_linear_files/Yang_linear_img/6681275.jpg","show blot")</f>
        <v>show blot</v>
      </c>
      <c r="G2062" t="s">
        <v>2043</v>
      </c>
      <c r="I2062" s="6">
        <v>3.9818509083247058</v>
      </c>
      <c r="K2062" s="8"/>
    </row>
    <row r="2063" spans="1:11" ht="15" x14ac:dyDescent="0.25">
      <c r="A2063" s="3" t="str">
        <f>HYPERLINK("proteomic_fractions_linear_files/Yang_linear_img/12746442.jpg", "12746442")</f>
        <v>12746442</v>
      </c>
      <c r="C2063" s="3" t="str">
        <f>HYPERLINK("http://www.ncbi.nlm.nih.gov/protein/12746442","Eefsec")</f>
        <v>Eefsec</v>
      </c>
      <c r="E2063" t="str">
        <f>HYPERLINK("J:\Depot - mpkCCD Fractions\Main Web Page\Web Pages_old\proteomic_fractions_linear_files/Yang_linear_img/12746442.jpg","show blot")</f>
        <v>show blot</v>
      </c>
      <c r="G2063" t="s">
        <v>2044</v>
      </c>
      <c r="I2063" s="6">
        <v>5.3209939791221137</v>
      </c>
      <c r="K2063" s="8"/>
    </row>
    <row r="2064" spans="1:11" ht="15" x14ac:dyDescent="0.25">
      <c r="A2064" s="3" t="str">
        <f>HYPERLINK("proteomic_fractions_linear_files/Yang_linear_img/13386360.jpg", "13386360")</f>
        <v>13386360</v>
      </c>
      <c r="C2064" s="3" t="str">
        <f>HYPERLINK("http://www.ncbi.nlm.nih.gov/protein/13386360","Efhd1")</f>
        <v>Efhd1</v>
      </c>
      <c r="E2064" t="str">
        <f>HYPERLINK("J:\Depot - mpkCCD Fractions\Main Web Page\Web Pages_old\proteomic_fractions_linear_files/Yang_linear_img/13386360.jpg","show blot")</f>
        <v>show blot</v>
      </c>
      <c r="G2064" t="s">
        <v>2045</v>
      </c>
      <c r="I2064" s="6">
        <v>4.4086415733493496</v>
      </c>
      <c r="K2064" s="8"/>
    </row>
    <row r="2065" spans="1:11" ht="15" x14ac:dyDescent="0.25">
      <c r="A2065" s="3" t="str">
        <f>HYPERLINK("proteomic_fractions_linear_files/Yang_linear_img/31981086.jpg", "31981086")</f>
        <v>31981086</v>
      </c>
      <c r="C2065" s="3" t="str">
        <f>HYPERLINK("http://www.ncbi.nlm.nih.gov/protein/31981086","Efhd2")</f>
        <v>Efhd2</v>
      </c>
      <c r="E2065" t="str">
        <f>HYPERLINK("J:\Depot - mpkCCD Fractions\Main Web Page\Web Pages_old\proteomic_fractions_linear_files/Yang_linear_img/31981086.jpg","show blot")</f>
        <v>show blot</v>
      </c>
      <c r="G2065" t="s">
        <v>2046</v>
      </c>
      <c r="I2065" s="6">
        <v>5.7355700642354961</v>
      </c>
      <c r="K2065" s="8"/>
    </row>
    <row r="2066" spans="1:11" ht="15" x14ac:dyDescent="0.25">
      <c r="A2066" s="3" t="str">
        <f>HYPERLINK("proteomic_fractions_linear_files/Yang_linear_img/31542597.jpg", "31542597")</f>
        <v>31542597</v>
      </c>
      <c r="C2066" s="3" t="str">
        <f>HYPERLINK("http://www.ncbi.nlm.nih.gov/protein/31542597","Efnb2")</f>
        <v>Efnb2</v>
      </c>
      <c r="E2066" t="str">
        <f>HYPERLINK("J:\Depot - mpkCCD Fractions\Main Web Page\Web Pages_old\proteomic_fractions_linear_files/Yang_linear_img/31542597.jpg","show blot")</f>
        <v>show blot</v>
      </c>
      <c r="G2066" t="s">
        <v>2047</v>
      </c>
      <c r="I2066" s="6">
        <v>3.737221395206745</v>
      </c>
      <c r="K2066" s="8"/>
    </row>
    <row r="2067" spans="1:11" ht="15" x14ac:dyDescent="0.25">
      <c r="A2067" s="3" t="str">
        <f>HYPERLINK("proteomic_fractions_linear_files/Yang_linear_img/54020730.jpg", "54020730")</f>
        <v>54020730</v>
      </c>
      <c r="C2067" s="3" t="str">
        <f>HYPERLINK("http://www.ncbi.nlm.nih.gov/protein/54020730","Efr3a")</f>
        <v>Efr3a</v>
      </c>
      <c r="E2067" t="str">
        <f>HYPERLINK("J:\Depot - mpkCCD Fractions\Main Web Page\Web Pages_old\proteomic_fractions_linear_files/Yang_linear_img/54020730.jpg","show blot")</f>
        <v>show blot</v>
      </c>
      <c r="G2067" t="s">
        <v>2048</v>
      </c>
      <c r="I2067" s="6">
        <v>1.5721587436404445</v>
      </c>
      <c r="K2067" s="8"/>
    </row>
    <row r="2068" spans="1:11" ht="15" x14ac:dyDescent="0.25">
      <c r="A2068" s="3" t="str">
        <f>HYPERLINK("proteomic_fractions_linear_files/Yang_linear_img/227908782.jpg", "227908782")</f>
        <v>227908782</v>
      </c>
      <c r="C2068" s="3" t="str">
        <f>HYPERLINK("http://www.ncbi.nlm.nih.gov/protein/227908782","Eftud1")</f>
        <v>Eftud1</v>
      </c>
      <c r="E2068" t="str">
        <f>HYPERLINK("J:\Depot - mpkCCD Fractions\Main Web Page\Web Pages_old\proteomic_fractions_linear_files/Yang_linear_img/227908782.jpg","show blot")</f>
        <v>show blot</v>
      </c>
      <c r="G2068" t="s">
        <v>2049</v>
      </c>
      <c r="I2068" s="6">
        <v>4.3185330471368921</v>
      </c>
      <c r="K2068" s="8"/>
    </row>
    <row r="2069" spans="1:11" ht="15" x14ac:dyDescent="0.25">
      <c r="A2069" s="3" t="str">
        <f>HYPERLINK("proteomic_fractions_linear_files/Yang_linear_img/158508674.jpg", "158508674")</f>
        <v>158508674</v>
      </c>
      <c r="C2069" s="3" t="str">
        <f>HYPERLINK("http://www.ncbi.nlm.nih.gov/protein/158508674","Eftud2")</f>
        <v>Eftud2</v>
      </c>
      <c r="E2069" t="str">
        <f>HYPERLINK("J:\Depot - mpkCCD Fractions\Main Web Page\Web Pages_old\proteomic_fractions_linear_files/Yang_linear_img/158508674.jpg","show blot")</f>
        <v>show blot</v>
      </c>
      <c r="G2069" t="s">
        <v>2050</v>
      </c>
      <c r="I2069" s="6">
        <v>5.8947863728766841</v>
      </c>
      <c r="K2069" s="8"/>
    </row>
    <row r="2070" spans="1:11" ht="15" x14ac:dyDescent="0.25">
      <c r="A2070" s="3" t="str">
        <f>HYPERLINK("proteomic_fractions_linear_files/Yang_linear_img/6755594.jpg", "6755594")</f>
        <v>6755594</v>
      </c>
      <c r="C2070" s="3" t="str">
        <f>HYPERLINK("http://www.ncbi.nlm.nih.gov/protein/6755594","Eftud2")</f>
        <v>Eftud2</v>
      </c>
      <c r="E2070" t="str">
        <f>HYPERLINK("J:\Depot - mpkCCD Fractions\Main Web Page\Web Pages_old\proteomic_fractions_linear_files/Yang_linear_img/6755594.jpg","show blot")</f>
        <v>show blot</v>
      </c>
      <c r="G2070" t="s">
        <v>2051</v>
      </c>
      <c r="I2070" s="6">
        <v>5.8947863728766841</v>
      </c>
      <c r="K2070" s="8"/>
    </row>
    <row r="2071" spans="1:11" ht="15" x14ac:dyDescent="0.25">
      <c r="A2071" s="3" t="str">
        <f>HYPERLINK("proteomic_fractions_linear_files/Yang_linear_img/46560582.jpg", "46560582")</f>
        <v>46560582</v>
      </c>
      <c r="C2071" s="3" t="str">
        <f>HYPERLINK("http://www.ncbi.nlm.nih.gov/protein/46560582","Egfr")</f>
        <v>Egfr</v>
      </c>
      <c r="E2071" t="str">
        <f>HYPERLINK("J:\Depot - mpkCCD Fractions\Main Web Page\Web Pages_old\proteomic_fractions_linear_files/Yang_linear_img/46560582.jpg","show blot")</f>
        <v>show blot</v>
      </c>
      <c r="G2071" t="s">
        <v>2052</v>
      </c>
      <c r="I2071" s="6">
        <v>4.7342843201073102</v>
      </c>
      <c r="K2071" s="8"/>
    </row>
    <row r="2072" spans="1:11" ht="15" x14ac:dyDescent="0.25">
      <c r="A2072" s="3" t="str">
        <f>HYPERLINK("proteomic_fractions_linear_files/Yang_linear_img/6681283.jpg", "6681283")</f>
        <v>6681283</v>
      </c>
      <c r="C2072" s="3" t="str">
        <f>HYPERLINK("http://www.ncbi.nlm.nih.gov/protein/6681283","Egfr")</f>
        <v>Egfr</v>
      </c>
      <c r="E2072" t="str">
        <f>HYPERLINK("J:\Depot - mpkCCD Fractions\Main Web Page\Web Pages_old\proteomic_fractions_linear_files/Yang_linear_img/6681283.jpg","show blot")</f>
        <v>show blot</v>
      </c>
      <c r="G2072" t="s">
        <v>2053</v>
      </c>
      <c r="I2072" s="6">
        <v>4.7342843201073102</v>
      </c>
      <c r="K2072" s="8"/>
    </row>
    <row r="2073" spans="1:11" ht="15" x14ac:dyDescent="0.25">
      <c r="A2073" s="3" t="str">
        <f>HYPERLINK("proteomic_fractions_linear_files/Yang_linear_img/158303306.jpg", "158303306")</f>
        <v>158303306</v>
      </c>
      <c r="C2073" s="3" t="str">
        <f>HYPERLINK("http://www.ncbi.nlm.nih.gov/protein/158303306","Egln1")</f>
        <v>Egln1</v>
      </c>
      <c r="E2073" t="str">
        <f>HYPERLINK("J:\Depot - mpkCCD Fractions\Main Web Page\Web Pages_old\proteomic_fractions_linear_files/Yang_linear_img/158303306.jpg","show blot")</f>
        <v>show blot</v>
      </c>
      <c r="G2073" t="s">
        <v>2054</v>
      </c>
      <c r="I2073" s="6">
        <v>4.1585133557422553</v>
      </c>
      <c r="K2073" s="8"/>
    </row>
    <row r="2074" spans="1:11" ht="15" x14ac:dyDescent="0.25">
      <c r="A2074" s="3" t="str">
        <f>HYPERLINK("proteomic_fractions_linear_files/Yang_linear_img/167736351.jpg", "167736351")</f>
        <v>167736351</v>
      </c>
      <c r="C2074" s="3" t="str">
        <f>HYPERLINK("http://www.ncbi.nlm.nih.gov/protein/167736351","Ehbp1l1")</f>
        <v>Ehbp1l1</v>
      </c>
      <c r="E2074" t="str">
        <f>HYPERLINK("J:\Depot - mpkCCD Fractions\Main Web Page\Web Pages_old\proteomic_fractions_linear_files/Yang_linear_img/167736351.jpg","show blot")</f>
        <v>show blot</v>
      </c>
      <c r="G2074" t="s">
        <v>2055</v>
      </c>
      <c r="I2074" s="7" t="s">
        <v>8360</v>
      </c>
      <c r="K2074" s="8"/>
    </row>
    <row r="2075" spans="1:11" ht="15" x14ac:dyDescent="0.25">
      <c r="A2075" s="3" t="str">
        <f>HYPERLINK("proteomic_fractions_linear_files/Yang_linear_img/7106303.jpg", "7106303")</f>
        <v>7106303</v>
      </c>
      <c r="C2075" s="3" t="str">
        <f>HYPERLINK("http://www.ncbi.nlm.nih.gov/protein/7106303","Ehd1")</f>
        <v>Ehd1</v>
      </c>
      <c r="E2075" t="str">
        <f>HYPERLINK("J:\Depot - mpkCCD Fractions\Main Web Page\Web Pages_old\proteomic_fractions_linear_files/Yang_linear_img/7106303.jpg","show blot")</f>
        <v>show blot</v>
      </c>
      <c r="G2075" t="s">
        <v>2056</v>
      </c>
      <c r="I2075" s="6">
        <v>5.7972879117911278</v>
      </c>
      <c r="K2075" s="8"/>
    </row>
    <row r="2076" spans="1:11" ht="15" x14ac:dyDescent="0.25">
      <c r="A2076" s="3" t="str">
        <f>HYPERLINK("proteomic_fractions_linear_files/Yang_linear_img/55742711.jpg", "55742711")</f>
        <v>55742711</v>
      </c>
      <c r="C2076" s="3" t="str">
        <f>HYPERLINK("http://www.ncbi.nlm.nih.gov/protein/55742711","Ehd2")</f>
        <v>Ehd2</v>
      </c>
      <c r="E2076" t="str">
        <f>HYPERLINK("J:\Depot - mpkCCD Fractions\Main Web Page\Web Pages_old\proteomic_fractions_linear_files/Yang_linear_img/55742711.jpg","show blot")</f>
        <v>show blot</v>
      </c>
      <c r="G2076" t="s">
        <v>2057</v>
      </c>
      <c r="I2076" s="6">
        <v>3.952829268571961</v>
      </c>
      <c r="K2076" s="8"/>
    </row>
    <row r="2077" spans="1:11" ht="15" x14ac:dyDescent="0.25">
      <c r="A2077" s="3" t="str">
        <f>HYPERLINK("proteomic_fractions_linear_files/Yang_linear_img/215983062.jpg", "215983062")</f>
        <v>215983062</v>
      </c>
      <c r="C2077" s="3" t="str">
        <f>HYPERLINK("http://www.ncbi.nlm.nih.gov/protein/215983062","Ehd3")</f>
        <v>Ehd3</v>
      </c>
      <c r="E2077" t="str">
        <f>HYPERLINK("J:\Depot - mpkCCD Fractions\Main Web Page\Web Pages_old\proteomic_fractions_linear_files/Yang_linear_img/215983062.jpg","show blot")</f>
        <v>show blot</v>
      </c>
      <c r="G2077" t="s">
        <v>2058</v>
      </c>
      <c r="I2077" s="6">
        <v>5.3896543670042965</v>
      </c>
      <c r="K2077" s="8"/>
    </row>
    <row r="2078" spans="1:11" ht="15" x14ac:dyDescent="0.25">
      <c r="A2078" s="3" t="str">
        <f>HYPERLINK("proteomic_fractions_linear_files/Yang_linear_img/31981592.jpg", "31981592")</f>
        <v>31981592</v>
      </c>
      <c r="C2078" s="3" t="str">
        <f>HYPERLINK("http://www.ncbi.nlm.nih.gov/protein/31981592","Ehd4")</f>
        <v>Ehd4</v>
      </c>
      <c r="E2078" t="str">
        <f>HYPERLINK("J:\Depot - mpkCCD Fractions\Main Web Page\Web Pages_old\proteomic_fractions_linear_files/Yang_linear_img/31981592.jpg","show blot")</f>
        <v>show blot</v>
      </c>
      <c r="G2078" t="s">
        <v>2059</v>
      </c>
      <c r="I2078" s="6">
        <v>5.925255144811973</v>
      </c>
      <c r="K2078" s="8"/>
    </row>
    <row r="2079" spans="1:11" ht="15" x14ac:dyDescent="0.25">
      <c r="A2079" s="3" t="str">
        <f>HYPERLINK("proteomic_fractions_linear_files/Yang_linear_img/31541815.jpg", "31541815")</f>
        <v>31541815</v>
      </c>
      <c r="C2079" s="3" t="str">
        <f>HYPERLINK("http://www.ncbi.nlm.nih.gov/protein/31541815","Ehhadh")</f>
        <v>Ehhadh</v>
      </c>
      <c r="E2079" t="str">
        <f>HYPERLINK("J:\Depot - mpkCCD Fractions\Main Web Page\Web Pages_old\proteomic_fractions_linear_files/Yang_linear_img/31541815.jpg","show blot")</f>
        <v>show blot</v>
      </c>
      <c r="G2079" t="s">
        <v>2060</v>
      </c>
      <c r="I2079" s="6">
        <v>2.5297416240044086</v>
      </c>
      <c r="K2079" s="8"/>
    </row>
    <row r="2080" spans="1:11" ht="15" x14ac:dyDescent="0.25">
      <c r="A2080" s="3" t="str">
        <f>HYPERLINK("proteomic_fractions_linear_files/Yang_linear_img/313747488.jpg", "313747488")</f>
        <v>313747488</v>
      </c>
      <c r="C2080" s="3" t="str">
        <f>HYPERLINK("http://www.ncbi.nlm.nih.gov/protein/313747488","Ei24")</f>
        <v>Ei24</v>
      </c>
      <c r="E2080" t="str">
        <f>HYPERLINK("J:\Depot - mpkCCD Fractions\Main Web Page\Web Pages_old\proteomic_fractions_linear_files/Yang_linear_img/313747488.jpg","show blot")</f>
        <v>show blot</v>
      </c>
      <c r="G2080" t="s">
        <v>2061</v>
      </c>
      <c r="I2080" s="6">
        <v>3.5668032645493915</v>
      </c>
      <c r="K2080" s="8"/>
    </row>
    <row r="2081" spans="1:11" ht="15" x14ac:dyDescent="0.25">
      <c r="A2081" s="3" t="str">
        <f>HYPERLINK("proteomic_fractions_linear_files/Yang_linear_img/22165347.jpg", "22165347")</f>
        <v>22165347</v>
      </c>
      <c r="C2081" s="3" t="str">
        <f>HYPERLINK("http://www.ncbi.nlm.nih.gov/protein/22165347","Eif1")</f>
        <v>Eif1</v>
      </c>
      <c r="E2081" t="str">
        <f>HYPERLINK("J:\Depot - mpkCCD Fractions\Main Web Page\Web Pages_old\proteomic_fractions_linear_files/Yang_linear_img/22165347.jpg","show blot")</f>
        <v>show blot</v>
      </c>
      <c r="G2081" t="s">
        <v>2062</v>
      </c>
      <c r="I2081" s="6">
        <v>5.4661893587593813</v>
      </c>
      <c r="K2081" s="8"/>
    </row>
    <row r="2082" spans="1:11" ht="15" x14ac:dyDescent="0.25">
      <c r="A2082" s="3" t="str">
        <f>HYPERLINK("proteomic_fractions_linear_files/Yang_linear_img/158631225.jpg", "158631225")</f>
        <v>158631225</v>
      </c>
      <c r="C2082" s="3" t="str">
        <f>HYPERLINK("http://www.ncbi.nlm.nih.gov/protein/158631225","Eif1a")</f>
        <v>Eif1a</v>
      </c>
      <c r="E2082" t="str">
        <f>HYPERLINK("J:\Depot - mpkCCD Fractions\Main Web Page\Web Pages_old\proteomic_fractions_linear_files/Yang_linear_img/158631225.jpg","show blot")</f>
        <v>show blot</v>
      </c>
      <c r="G2082" t="s">
        <v>2063</v>
      </c>
      <c r="I2082" s="6">
        <v>6.0186545498557376</v>
      </c>
      <c r="K2082" s="8"/>
    </row>
    <row r="2083" spans="1:11" ht="15" x14ac:dyDescent="0.25">
      <c r="A2083" s="3" t="str">
        <f>HYPERLINK("proteomic_fractions_linear_files/Yang_linear_img/58037183.jpg", "58037183")</f>
        <v>58037183</v>
      </c>
      <c r="C2083" s="3" t="str">
        <f>HYPERLINK("http://www.ncbi.nlm.nih.gov/protein/58037183","Eif1ad")</f>
        <v>Eif1ad</v>
      </c>
      <c r="E2083" t="str">
        <f>HYPERLINK("J:\Depot - mpkCCD Fractions\Main Web Page\Web Pages_old\proteomic_fractions_linear_files/Yang_linear_img/58037183.jpg","show blot")</f>
        <v>show blot</v>
      </c>
      <c r="G2083" t="s">
        <v>2064</v>
      </c>
      <c r="I2083" s="6">
        <v>4.4338840378924456</v>
      </c>
      <c r="K2083" s="8"/>
    </row>
    <row r="2084" spans="1:11" ht="15" x14ac:dyDescent="0.25">
      <c r="A2084" s="3" t="str">
        <f>HYPERLINK("proteomic_fractions_linear_files/Yang_linear_img/31541824.jpg", "31541824")</f>
        <v>31541824</v>
      </c>
      <c r="C2084" s="3" t="str">
        <f>HYPERLINK("http://www.ncbi.nlm.nih.gov/protein/31541824","Eif1ax")</f>
        <v>Eif1ax</v>
      </c>
      <c r="E2084" t="str">
        <f>HYPERLINK("J:\Depot - mpkCCD Fractions\Main Web Page\Web Pages_old\proteomic_fractions_linear_files/Yang_linear_img/31541824.jpg","show blot")</f>
        <v>show blot</v>
      </c>
      <c r="G2084" t="s">
        <v>2065</v>
      </c>
      <c r="I2084" s="6">
        <v>6.052812303492149</v>
      </c>
      <c r="K2084" s="8"/>
    </row>
    <row r="2085" spans="1:11" ht="15" x14ac:dyDescent="0.25">
      <c r="A2085" s="3" t="str">
        <f>HYPERLINK("proteomic_fractions_linear_files/Yang_linear_img/21312159.jpg", "21312159")</f>
        <v>21312159</v>
      </c>
      <c r="C2085" s="3" t="str">
        <f>HYPERLINK("http://www.ncbi.nlm.nih.gov/protein/21312159","Eif1b")</f>
        <v>Eif1b</v>
      </c>
      <c r="E2085" t="str">
        <f>HYPERLINK("J:\Depot - mpkCCD Fractions\Main Web Page\Web Pages_old\proteomic_fractions_linear_files/Yang_linear_img/21312159.jpg","show blot")</f>
        <v>show blot</v>
      </c>
      <c r="G2085" t="s">
        <v>2066</v>
      </c>
      <c r="I2085" s="6">
        <v>5.4661893587593813</v>
      </c>
      <c r="K2085" s="8"/>
    </row>
    <row r="2086" spans="1:11" ht="15" x14ac:dyDescent="0.25">
      <c r="A2086" s="3" t="str">
        <f>HYPERLINK("proteomic_fractions_linear_files/Yang_linear_img/54020676.jpg", "54020676")</f>
        <v>54020676</v>
      </c>
      <c r="C2086" s="3" t="str">
        <f>HYPERLINK("http://www.ncbi.nlm.nih.gov/protein/54020676","Eif2a")</f>
        <v>Eif2a</v>
      </c>
      <c r="E2086" t="str">
        <f>HYPERLINK("J:\Depot - mpkCCD Fractions\Main Web Page\Web Pages_old\proteomic_fractions_linear_files/Yang_linear_img/54020676.jpg","show blot")</f>
        <v>show blot</v>
      </c>
      <c r="G2086" t="s">
        <v>2067</v>
      </c>
      <c r="I2086" s="6">
        <v>5.879740703487963</v>
      </c>
      <c r="K2086" s="8"/>
    </row>
    <row r="2087" spans="1:11" ht="15" x14ac:dyDescent="0.25">
      <c r="A2087" s="3" t="str">
        <f>HYPERLINK("proteomic_fractions_linear_files/Yang_linear_img/6755160.jpg", "6755160")</f>
        <v>6755160</v>
      </c>
      <c r="C2087" s="3" t="str">
        <f>HYPERLINK("http://www.ncbi.nlm.nih.gov/protein/6755160","Eif2ak2")</f>
        <v>Eif2ak2</v>
      </c>
      <c r="E2087" t="str">
        <f>HYPERLINK("J:\Depot - mpkCCD Fractions\Main Web Page\Web Pages_old\proteomic_fractions_linear_files/Yang_linear_img/6755160.jpg","show blot")</f>
        <v>show blot</v>
      </c>
      <c r="G2087" t="s">
        <v>2068</v>
      </c>
      <c r="I2087" s="6">
        <v>4.9783220834558648</v>
      </c>
      <c r="K2087" s="8"/>
    </row>
    <row r="2088" spans="1:11" ht="15" x14ac:dyDescent="0.25">
      <c r="A2088" s="3" t="str">
        <f>HYPERLINK("proteomic_fractions_linear_files/Yang_linear_img/166851838.jpg", "166851838")</f>
        <v>166851838</v>
      </c>
      <c r="C2088" s="3" t="str">
        <f>HYPERLINK("http://www.ncbi.nlm.nih.gov/protein/166851838","Eif2ak4")</f>
        <v>Eif2ak4</v>
      </c>
      <c r="E2088" t="str">
        <f>HYPERLINK("J:\Depot - mpkCCD Fractions\Main Web Page\Web Pages_old\proteomic_fractions_linear_files/Yang_linear_img/166851838.jpg","show blot")</f>
        <v>show blot</v>
      </c>
      <c r="G2088" t="s">
        <v>2069</v>
      </c>
      <c r="I2088" s="6">
        <v>2.4311418456657052</v>
      </c>
      <c r="K2088" s="8"/>
    </row>
    <row r="2089" spans="1:11" ht="15" x14ac:dyDescent="0.25">
      <c r="A2089" s="3" t="str">
        <f>HYPERLINK("proteomic_fractions_linear_files/Yang_linear_img/295317391.jpg", "295317391")</f>
        <v>295317391</v>
      </c>
      <c r="C2089" s="3" t="str">
        <f>HYPERLINK("http://www.ncbi.nlm.nih.gov/protein/295317391","Eif2ak4")</f>
        <v>Eif2ak4</v>
      </c>
      <c r="E2089" t="str">
        <f>HYPERLINK("J:\Depot - mpkCCD Fractions\Main Web Page\Web Pages_old\proteomic_fractions_linear_files/Yang_linear_img/295317391.jpg","show blot")</f>
        <v>show blot</v>
      </c>
      <c r="G2089" t="s">
        <v>2070</v>
      </c>
      <c r="I2089" s="6">
        <v>2.4311418456657052</v>
      </c>
      <c r="K2089" s="8"/>
    </row>
    <row r="2090" spans="1:11" ht="15" x14ac:dyDescent="0.25">
      <c r="A2090" s="3" t="str">
        <f>HYPERLINK("proteomic_fractions_linear_files/Yang_linear_img/21703744.jpg", "21703744")</f>
        <v>21703744</v>
      </c>
      <c r="C2090" s="3" t="str">
        <f>HYPERLINK("http://www.ncbi.nlm.nih.gov/protein/21703744","Eif2b1")</f>
        <v>Eif2b1</v>
      </c>
      <c r="E2090" t="str">
        <f>HYPERLINK("J:\Depot - mpkCCD Fractions\Main Web Page\Web Pages_old\proteomic_fractions_linear_files/Yang_linear_img/21703744.jpg","show blot")</f>
        <v>show blot</v>
      </c>
      <c r="G2090" t="s">
        <v>2071</v>
      </c>
      <c r="I2090" s="6">
        <v>5.2040788590238805</v>
      </c>
      <c r="K2090" s="8"/>
    </row>
    <row r="2091" spans="1:11" ht="15" x14ac:dyDescent="0.25">
      <c r="A2091" s="3" t="str">
        <f>HYPERLINK("proteomic_fractions_linear_files/Yang_linear_img/21703888.jpg", "21703888")</f>
        <v>21703888</v>
      </c>
      <c r="C2091" s="3" t="str">
        <f>HYPERLINK("http://www.ncbi.nlm.nih.gov/protein/21703888","Eif2b2")</f>
        <v>Eif2b2</v>
      </c>
      <c r="E2091" t="str">
        <f>HYPERLINK("J:\Depot - mpkCCD Fractions\Main Web Page\Web Pages_old\proteomic_fractions_linear_files/Yang_linear_img/21703888.jpg","show blot")</f>
        <v>show blot</v>
      </c>
      <c r="G2091" t="s">
        <v>2072</v>
      </c>
      <c r="I2091" s="6">
        <v>5.2806268524901512</v>
      </c>
      <c r="K2091" s="8"/>
    </row>
    <row r="2092" spans="1:11" ht="15" x14ac:dyDescent="0.25">
      <c r="A2092" s="3" t="str">
        <f>HYPERLINK("proteomic_fractions_linear_files/Yang_linear_img/110626005.jpg", "110626005")</f>
        <v>110626005</v>
      </c>
      <c r="C2092" s="3" t="str">
        <f>HYPERLINK("http://www.ncbi.nlm.nih.gov/protein/110626005","Eif2b3")</f>
        <v>Eif2b3</v>
      </c>
      <c r="E2092" t="str">
        <f>HYPERLINK("J:\Depot - mpkCCD Fractions\Main Web Page\Web Pages_old\proteomic_fractions_linear_files/Yang_linear_img/110626005.jpg","show blot")</f>
        <v>show blot</v>
      </c>
      <c r="G2092" t="s">
        <v>2073</v>
      </c>
      <c r="I2092" s="6">
        <v>4.7259628252222576</v>
      </c>
      <c r="K2092" s="8"/>
    </row>
    <row r="2093" spans="1:11" ht="15" x14ac:dyDescent="0.25">
      <c r="A2093" s="3" t="str">
        <f>HYPERLINK("proteomic_fractions_linear_files/Yang_linear_img/162287102.jpg", "162287102")</f>
        <v>162287102</v>
      </c>
      <c r="C2093" s="3" t="str">
        <f>HYPERLINK("http://www.ncbi.nlm.nih.gov/protein/162287102","Eif2b3")</f>
        <v>Eif2b3</v>
      </c>
      <c r="E2093" t="str">
        <f>HYPERLINK("J:\Depot - mpkCCD Fractions\Main Web Page\Web Pages_old\proteomic_fractions_linear_files/Yang_linear_img/162287102.jpg","show blot")</f>
        <v>show blot</v>
      </c>
      <c r="G2093" t="s">
        <v>2074</v>
      </c>
      <c r="I2093" s="6">
        <v>4.7259628252222576</v>
      </c>
      <c r="K2093" s="8"/>
    </row>
    <row r="2094" spans="1:11" ht="15" x14ac:dyDescent="0.25">
      <c r="A2094" s="3" t="str">
        <f>HYPERLINK("proteomic_fractions_linear_files/Yang_linear_img/188219551.jpg", "188219551")</f>
        <v>188219551</v>
      </c>
      <c r="C2094" s="3" t="str">
        <f>HYPERLINK("http://www.ncbi.nlm.nih.gov/protein/188219551","Eif2b4")</f>
        <v>Eif2b4</v>
      </c>
      <c r="E2094" t="str">
        <f>HYPERLINK("J:\Depot - mpkCCD Fractions\Main Web Page\Web Pages_old\proteomic_fractions_linear_files/Yang_linear_img/188219551.jpg","show blot")</f>
        <v>show blot</v>
      </c>
      <c r="G2094" t="s">
        <v>2075</v>
      </c>
      <c r="I2094" s="6">
        <v>5.1499476910987871</v>
      </c>
      <c r="K2094" s="8"/>
    </row>
    <row r="2095" spans="1:11" ht="15" x14ac:dyDescent="0.25">
      <c r="A2095" s="3" t="str">
        <f>HYPERLINK("proteomic_fractions_linear_files/Yang_linear_img/188219553.jpg", "188219553")</f>
        <v>188219553</v>
      </c>
      <c r="C2095" s="3" t="str">
        <f>HYPERLINK("http://www.ncbi.nlm.nih.gov/protein/188219553","Eif2b4")</f>
        <v>Eif2b4</v>
      </c>
      <c r="E2095" t="str">
        <f>HYPERLINK("J:\Depot - mpkCCD Fractions\Main Web Page\Web Pages_old\proteomic_fractions_linear_files/Yang_linear_img/188219553.jpg","show blot")</f>
        <v>show blot</v>
      </c>
      <c r="G2095" t="s">
        <v>2076</v>
      </c>
      <c r="I2095" s="6">
        <v>5.1499476910987871</v>
      </c>
      <c r="K2095" s="8"/>
    </row>
    <row r="2096" spans="1:11" ht="15" x14ac:dyDescent="0.25">
      <c r="A2096" s="3" t="str">
        <f>HYPERLINK("proteomic_fractions_linear_files/Yang_linear_img/26986557.jpg", "26986557")</f>
        <v>26986557</v>
      </c>
      <c r="C2096" s="3" t="str">
        <f>HYPERLINK("http://www.ncbi.nlm.nih.gov/protein/26986557","Eif2b5")</f>
        <v>Eif2b5</v>
      </c>
      <c r="E2096" t="str">
        <f>HYPERLINK("J:\Depot - mpkCCD Fractions\Main Web Page\Web Pages_old\proteomic_fractions_linear_files/Yang_linear_img/26986557.jpg","show blot")</f>
        <v>show blot</v>
      </c>
      <c r="G2096" t="s">
        <v>2077</v>
      </c>
      <c r="I2096" s="6">
        <v>4.7484233254175026</v>
      </c>
      <c r="K2096" s="8"/>
    </row>
    <row r="2097" spans="1:11" ht="15" x14ac:dyDescent="0.25">
      <c r="A2097" s="3" t="str">
        <f>HYPERLINK("proteomic_fractions_linear_files/Yang_linear_img/209862947.jpg", "209862947")</f>
        <v>209862947</v>
      </c>
      <c r="C2097" s="3" t="str">
        <f>HYPERLINK("http://www.ncbi.nlm.nih.gov/protein/209862947","Eif2d")</f>
        <v>Eif2d</v>
      </c>
      <c r="E2097" t="str">
        <f>HYPERLINK("J:\Depot - mpkCCD Fractions\Main Web Page\Web Pages_old\proteomic_fractions_linear_files/Yang_linear_img/209862947.jpg","show blot")</f>
        <v>show blot</v>
      </c>
      <c r="G2097" t="s">
        <v>2078</v>
      </c>
      <c r="I2097" s="6">
        <v>5.0652807660672687</v>
      </c>
      <c r="K2097" s="8"/>
    </row>
    <row r="2098" spans="1:11" ht="15" x14ac:dyDescent="0.25">
      <c r="A2098" s="3" t="str">
        <f>HYPERLINK("proteomic_fractions_linear_files/Yang_linear_img/229577222.jpg", "229577222")</f>
        <v>229577222</v>
      </c>
      <c r="C2098" s="3" t="str">
        <f>HYPERLINK("http://www.ncbi.nlm.nih.gov/protein/229577222","Eif2d")</f>
        <v>Eif2d</v>
      </c>
      <c r="E2098" t="str">
        <f>HYPERLINK("J:\Depot - mpkCCD Fractions\Main Web Page\Web Pages_old\proteomic_fractions_linear_files/Yang_linear_img/229577222.jpg","show blot")</f>
        <v>show blot</v>
      </c>
      <c r="G2098" t="s">
        <v>2079</v>
      </c>
      <c r="I2098" s="6">
        <v>5.0652807660672687</v>
      </c>
      <c r="K2098" s="8"/>
    </row>
    <row r="2099" spans="1:11" ht="15" x14ac:dyDescent="0.25">
      <c r="A2099" s="3" t="str">
        <f>HYPERLINK("proteomic_fractions_linear_files/Yang_linear_img/13385624.jpg", "13385624")</f>
        <v>13385624</v>
      </c>
      <c r="C2099" s="3" t="str">
        <f>HYPERLINK("http://www.ncbi.nlm.nih.gov/protein/13385624","Eif2s1")</f>
        <v>Eif2s1</v>
      </c>
      <c r="E2099" t="str">
        <f>HYPERLINK("J:\Depot - mpkCCD Fractions\Main Web Page\Web Pages_old\proteomic_fractions_linear_files/Yang_linear_img/13385624.jpg","show blot")</f>
        <v>show blot</v>
      </c>
      <c r="G2099" t="s">
        <v>2080</v>
      </c>
      <c r="I2099" s="6">
        <v>6.5145754848948387</v>
      </c>
      <c r="K2099" s="8"/>
    </row>
    <row r="2100" spans="1:11" ht="15" x14ac:dyDescent="0.25">
      <c r="A2100" s="3" t="str">
        <f>HYPERLINK("proteomic_fractions_linear_files/Yang_linear_img/14149756.jpg", "14149756")</f>
        <v>14149756</v>
      </c>
      <c r="C2100" s="3" t="str">
        <f>HYPERLINK("http://www.ncbi.nlm.nih.gov/protein/14149756","Eif2s2")</f>
        <v>Eif2s2</v>
      </c>
      <c r="E2100" t="str">
        <f>HYPERLINK("J:\Depot - mpkCCD Fractions\Main Web Page\Web Pages_old\proteomic_fractions_linear_files/Yang_linear_img/14149756.jpg","show blot")</f>
        <v>show blot</v>
      </c>
      <c r="G2100" t="s">
        <v>2081</v>
      </c>
      <c r="I2100" s="6">
        <v>6.1649501919200418</v>
      </c>
      <c r="K2100" s="8"/>
    </row>
    <row r="2101" spans="1:11" ht="15" x14ac:dyDescent="0.25">
      <c r="A2101" s="3" t="str">
        <f>HYPERLINK("proteomic_fractions_linear_files/Yang_linear_img/6753738.jpg", "6753738")</f>
        <v>6753738</v>
      </c>
      <c r="C2101" s="3" t="str">
        <f>HYPERLINK("http://www.ncbi.nlm.nih.gov/protein/6753738","Eif2s3x")</f>
        <v>Eif2s3x</v>
      </c>
      <c r="E2101" t="str">
        <f>HYPERLINK("J:\Depot - mpkCCD Fractions\Main Web Page\Web Pages_old\proteomic_fractions_linear_files/Yang_linear_img/6753738.jpg","show blot")</f>
        <v>show blot</v>
      </c>
      <c r="G2101" t="s">
        <v>2082</v>
      </c>
      <c r="I2101" s="6">
        <v>6.1759361620862157</v>
      </c>
      <c r="K2101" s="8"/>
    </row>
    <row r="2102" spans="1:11" ht="15" x14ac:dyDescent="0.25">
      <c r="A2102" s="3" t="str">
        <f>HYPERLINK("proteomic_fractions_linear_files/Yang_linear_img/7242148.jpg", "7242148")</f>
        <v>7242148</v>
      </c>
      <c r="C2102" s="3" t="str">
        <f>HYPERLINK("http://www.ncbi.nlm.nih.gov/protein/7242148","Eif2s3y")</f>
        <v>Eif2s3y</v>
      </c>
      <c r="E2102" t="str">
        <f>HYPERLINK("J:\Depot - mpkCCD Fractions\Main Web Page\Web Pages_old\proteomic_fractions_linear_files/Yang_linear_img/7242148.jpg","show blot")</f>
        <v>show blot</v>
      </c>
      <c r="G2102" t="s">
        <v>2083</v>
      </c>
      <c r="I2102" s="6">
        <v>6.0851994238177545</v>
      </c>
      <c r="K2102" s="8"/>
    </row>
    <row r="2103" spans="1:11" ht="15" x14ac:dyDescent="0.25">
      <c r="A2103" s="3" t="str">
        <f>HYPERLINK("proteomic_fractions_linear_files/Yang_linear_img/146219837.jpg", "146219837")</f>
        <v>146219837</v>
      </c>
      <c r="C2103" s="3" t="str">
        <f>HYPERLINK("http://www.ncbi.nlm.nih.gov/protein/146219837","Eif3a")</f>
        <v>Eif3a</v>
      </c>
      <c r="E2103" t="str">
        <f>HYPERLINK("J:\Depot - mpkCCD Fractions\Main Web Page\Web Pages_old\proteomic_fractions_linear_files/Yang_linear_img/146219837.jpg","show blot")</f>
        <v>show blot</v>
      </c>
      <c r="G2103" t="s">
        <v>2084</v>
      </c>
      <c r="I2103" s="6">
        <v>6.0241047853869985</v>
      </c>
      <c r="K2103" s="8"/>
    </row>
    <row r="2104" spans="1:11" ht="15" x14ac:dyDescent="0.25">
      <c r="A2104" s="3" t="str">
        <f>HYPERLINK("proteomic_fractions_linear_files/Yang_linear_img/29789343.jpg", "29789343")</f>
        <v>29789343</v>
      </c>
      <c r="C2104" s="3" t="str">
        <f>HYPERLINK("http://www.ncbi.nlm.nih.gov/protein/29789343","Eif3b")</f>
        <v>Eif3b</v>
      </c>
      <c r="E2104" t="str">
        <f>HYPERLINK("J:\Depot - mpkCCD Fractions\Main Web Page\Web Pages_old\proteomic_fractions_linear_files/Yang_linear_img/29789343.jpg","show blot")</f>
        <v>show blot</v>
      </c>
      <c r="G2104" t="s">
        <v>2085</v>
      </c>
      <c r="I2104" s="6">
        <v>6.1408633136682615</v>
      </c>
      <c r="K2104" s="8"/>
    </row>
    <row r="2105" spans="1:11" ht="15" x14ac:dyDescent="0.25">
      <c r="A2105" s="3" t="str">
        <f>HYPERLINK("proteomic_fractions_linear_files/Yang_linear_img/22203755.jpg", "22203755")</f>
        <v>22203755</v>
      </c>
      <c r="C2105" s="3" t="str">
        <f>HYPERLINK("http://www.ncbi.nlm.nih.gov/protein/22203755","Eif3c")</f>
        <v>Eif3c</v>
      </c>
      <c r="E2105" t="str">
        <f>HYPERLINK("J:\Depot - mpkCCD Fractions\Main Web Page\Web Pages_old\proteomic_fractions_linear_files/Yang_linear_img/22203755.jpg","show blot")</f>
        <v>show blot</v>
      </c>
      <c r="G2105" t="s">
        <v>2086</v>
      </c>
      <c r="I2105" s="6">
        <v>6.1092133356473051</v>
      </c>
      <c r="K2105" s="8"/>
    </row>
    <row r="2106" spans="1:11" ht="15" x14ac:dyDescent="0.25">
      <c r="A2106" s="3" t="str">
        <f>HYPERLINK("proteomic_fractions_linear_files/Yang_linear_img/125628629.jpg", "125628629")</f>
        <v>125628629</v>
      </c>
      <c r="C2106" s="3" t="str">
        <f>HYPERLINK("http://www.ncbi.nlm.nih.gov/protein/125628629","Eif3d")</f>
        <v>Eif3d</v>
      </c>
      <c r="E2106" t="str">
        <f>HYPERLINK("J:\Depot - mpkCCD Fractions\Main Web Page\Web Pages_old\proteomic_fractions_linear_files/Yang_linear_img/125628629.jpg","show blot")</f>
        <v>show blot</v>
      </c>
      <c r="G2106" t="s">
        <v>2087</v>
      </c>
      <c r="I2106" s="6">
        <v>5.9638912992739428</v>
      </c>
      <c r="K2106" s="8"/>
    </row>
    <row r="2107" spans="1:11" ht="15" x14ac:dyDescent="0.25">
      <c r="A2107" s="3" t="str">
        <f>HYPERLINK("proteomic_fractions_linear_files/Yang_linear_img/45476573.jpg", "45476573")</f>
        <v>45476573</v>
      </c>
      <c r="C2107" s="3" t="str">
        <f>HYPERLINK("http://www.ncbi.nlm.nih.gov/protein/45476573","Eif3e")</f>
        <v>Eif3e</v>
      </c>
      <c r="E2107" t="str">
        <f>HYPERLINK("J:\Depot - mpkCCD Fractions\Main Web Page\Web Pages_old\proteomic_fractions_linear_files/Yang_linear_img/45476573.jpg","show blot")</f>
        <v>show blot</v>
      </c>
      <c r="G2107" t="s">
        <v>2088</v>
      </c>
      <c r="I2107" s="6">
        <v>6.0086175789665601</v>
      </c>
      <c r="K2107" s="8"/>
    </row>
    <row r="2108" spans="1:11" ht="15" x14ac:dyDescent="0.25">
      <c r="A2108" s="3" t="str">
        <f>HYPERLINK("proteomic_fractions_linear_files/Yang_linear_img/225637531.jpg", "225637531")</f>
        <v>225637531</v>
      </c>
      <c r="C2108" s="3" t="str">
        <f>HYPERLINK("http://www.ncbi.nlm.nih.gov/protein/225637531","Eif3f")</f>
        <v>Eif3f</v>
      </c>
      <c r="E2108" t="str">
        <f>HYPERLINK("J:\Depot - mpkCCD Fractions\Main Web Page\Web Pages_old\proteomic_fractions_linear_files/Yang_linear_img/225637531.jpg","show blot")</f>
        <v>show blot</v>
      </c>
      <c r="G2108" t="s">
        <v>2089</v>
      </c>
      <c r="I2108" s="6">
        <v>6.2992877316877607</v>
      </c>
      <c r="K2108" s="8"/>
    </row>
    <row r="2109" spans="1:11" ht="15" x14ac:dyDescent="0.25">
      <c r="A2109" s="3" t="str">
        <f>HYPERLINK("proteomic_fractions_linear_files/Yang_linear_img/31980808.jpg", "31980808")</f>
        <v>31980808</v>
      </c>
      <c r="C2109" s="3" t="str">
        <f>HYPERLINK("http://www.ncbi.nlm.nih.gov/protein/31980808","Eif3g")</f>
        <v>Eif3g</v>
      </c>
      <c r="E2109" t="str">
        <f>HYPERLINK("J:\Depot - mpkCCD Fractions\Main Web Page\Web Pages_old\proteomic_fractions_linear_files/Yang_linear_img/31980808.jpg","show blot")</f>
        <v>show blot</v>
      </c>
      <c r="G2109" t="s">
        <v>2090</v>
      </c>
      <c r="I2109" s="6">
        <v>6.0650971855448619</v>
      </c>
      <c r="K2109" s="8"/>
    </row>
    <row r="2110" spans="1:11" ht="15" x14ac:dyDescent="0.25">
      <c r="A2110" s="3" t="str">
        <f>HYPERLINK("proteomic_fractions_linear_files/Yang_linear_img/18079341.jpg", "18079341")</f>
        <v>18079341</v>
      </c>
      <c r="C2110" s="3" t="str">
        <f>HYPERLINK("http://www.ncbi.nlm.nih.gov/protein/18079341","Eif3h")</f>
        <v>Eif3h</v>
      </c>
      <c r="E2110" t="str">
        <f>HYPERLINK("J:\Depot - mpkCCD Fractions\Main Web Page\Web Pages_old\proteomic_fractions_linear_files/Yang_linear_img/18079341.jpg","show blot")</f>
        <v>show blot</v>
      </c>
      <c r="G2110" t="s">
        <v>2091</v>
      </c>
      <c r="I2110" s="6">
        <v>6.1938596159125598</v>
      </c>
      <c r="K2110" s="8"/>
    </row>
    <row r="2111" spans="1:11" ht="15" x14ac:dyDescent="0.25">
      <c r="A2111" s="3" t="str">
        <f>HYPERLINK("proteomic_fractions_linear_files/Yang_linear_img/9055370.jpg", "9055370")</f>
        <v>9055370</v>
      </c>
      <c r="C2111" s="3" t="str">
        <f>HYPERLINK("http://www.ncbi.nlm.nih.gov/protein/9055370","Eif3i")</f>
        <v>Eif3i</v>
      </c>
      <c r="E2111" t="str">
        <f>HYPERLINK("J:\Depot - mpkCCD Fractions\Main Web Page\Web Pages_old\proteomic_fractions_linear_files/Yang_linear_img/9055370.jpg","show blot")</f>
        <v>show blot</v>
      </c>
      <c r="G2111" t="s">
        <v>2092</v>
      </c>
      <c r="I2111" s="6">
        <v>6.195656969901326</v>
      </c>
      <c r="K2111" s="8"/>
    </row>
    <row r="2112" spans="1:11" ht="15" x14ac:dyDescent="0.25">
      <c r="A2112" s="3" t="str">
        <f>HYPERLINK("proteomic_fractions_linear_files/Yang_linear_img/124244040.jpg", "124244040")</f>
        <v>124244040</v>
      </c>
      <c r="C2112" s="3" t="str">
        <f>HYPERLINK("http://www.ncbi.nlm.nih.gov/protein/124244040","Eif3j1")</f>
        <v>Eif3j1</v>
      </c>
      <c r="E2112" t="str">
        <f>HYPERLINK("J:\Depot - mpkCCD Fractions\Main Web Page\Web Pages_old\proteomic_fractions_linear_files/Yang_linear_img/124244040.jpg","show blot")</f>
        <v>show blot</v>
      </c>
      <c r="G2112" t="s">
        <v>2093</v>
      </c>
      <c r="I2112" s="6">
        <v>5.9015481219887223</v>
      </c>
      <c r="K2112" s="8"/>
    </row>
    <row r="2113" spans="1:11" ht="15" x14ac:dyDescent="0.25">
      <c r="A2113" s="3" t="str">
        <f>HYPERLINK("proteomic_fractions_linear_files/Yang_linear_img/365906249.jpg", "365906249")</f>
        <v>365906249</v>
      </c>
      <c r="C2113" s="3" t="str">
        <f>HYPERLINK("http://www.ncbi.nlm.nih.gov/protein/365906249","Eif3j2")</f>
        <v>Eif3j2</v>
      </c>
      <c r="E2113" t="str">
        <f>HYPERLINK("J:\Depot - mpkCCD Fractions\Main Web Page\Web Pages_old\proteomic_fractions_linear_files/Yang_linear_img/365906249.jpg","show blot")</f>
        <v>show blot</v>
      </c>
      <c r="G2113" t="s">
        <v>2094</v>
      </c>
      <c r="I2113" s="6">
        <v>5.9015481219887223</v>
      </c>
      <c r="K2113" s="8"/>
    </row>
    <row r="2114" spans="1:11" ht="15" x14ac:dyDescent="0.25">
      <c r="A2114" s="3" t="str">
        <f>HYPERLINK("proteomic_fractions_linear_files/Yang_linear_img/552953694.jpg", "552953694")</f>
        <v>552953694</v>
      </c>
      <c r="C2114" s="3" t="str">
        <f>HYPERLINK("http://www.ncbi.nlm.nih.gov/protein/552953694","Eif3k")</f>
        <v>Eif3k</v>
      </c>
      <c r="E2114" t="str">
        <f>HYPERLINK("J:\Depot - mpkCCD Fractions\Main Web Page\Web Pages_old\proteomic_fractions_linear_files/Yang_linear_img/552953694.jpg","show blot")</f>
        <v>show blot</v>
      </c>
      <c r="G2114" t="s">
        <v>2095</v>
      </c>
      <c r="I2114" s="6">
        <v>5.9498937000539511</v>
      </c>
      <c r="K2114" s="8"/>
    </row>
    <row r="2115" spans="1:11" ht="15" x14ac:dyDescent="0.25">
      <c r="A2115" s="3" t="str">
        <f>HYPERLINK("proteomic_fractions_linear_files/Yang_linear_img/553727155.jpg", "553727155")</f>
        <v>553727155</v>
      </c>
      <c r="C2115" s="3" t="str">
        <f>HYPERLINK("http://www.ncbi.nlm.nih.gov/protein/553727155","Eif3k")</f>
        <v>Eif3k</v>
      </c>
      <c r="E2115" t="str">
        <f>HYPERLINK("J:\Depot - mpkCCD Fractions\Main Web Page\Web Pages_old\proteomic_fractions_linear_files/Yang_linear_img/553727155.jpg","show blot")</f>
        <v>show blot</v>
      </c>
      <c r="G2115" t="s">
        <v>2096</v>
      </c>
      <c r="I2115" s="6">
        <v>5.9498937000539511</v>
      </c>
      <c r="K2115" s="8"/>
    </row>
    <row r="2116" spans="1:11" ht="15" x14ac:dyDescent="0.25">
      <c r="A2116" s="3" t="str">
        <f>HYPERLINK("proteomic_fractions_linear_files/Yang_linear_img/21312044.jpg", "21312044")</f>
        <v>21312044</v>
      </c>
      <c r="C2116" s="3" t="str">
        <f>HYPERLINK("http://www.ncbi.nlm.nih.gov/protein/21312044","Eif3k")</f>
        <v>Eif3k</v>
      </c>
      <c r="E2116" t="str">
        <f>HYPERLINK("J:\Depot - mpkCCD Fractions\Main Web Page\Web Pages_old\proteomic_fractions_linear_files/Yang_linear_img/21312044.jpg","show blot")</f>
        <v>show blot</v>
      </c>
      <c r="G2116" t="s">
        <v>2097</v>
      </c>
      <c r="I2116" s="6">
        <v>5.9498937000539511</v>
      </c>
      <c r="K2116" s="8"/>
    </row>
    <row r="2117" spans="1:11" ht="15" x14ac:dyDescent="0.25">
      <c r="A2117" s="3" t="str">
        <f>HYPERLINK("proteomic_fractions_linear_files/Yang_linear_img/51093840.jpg", "51093840")</f>
        <v>51093840</v>
      </c>
      <c r="C2117" s="3" t="str">
        <f>HYPERLINK("http://www.ncbi.nlm.nih.gov/protein/51093840","Eif3l")</f>
        <v>Eif3l</v>
      </c>
      <c r="E2117" t="str">
        <f>HYPERLINK("J:\Depot - mpkCCD Fractions\Main Web Page\Web Pages_old\proteomic_fractions_linear_files/Yang_linear_img/51093840.jpg","show blot")</f>
        <v>show blot</v>
      </c>
      <c r="G2117" t="s">
        <v>2098</v>
      </c>
      <c r="I2117" s="6">
        <v>6.1923598592735392</v>
      </c>
      <c r="K2117" s="8"/>
    </row>
    <row r="2118" spans="1:11" ht="15" x14ac:dyDescent="0.25">
      <c r="A2118" s="3" t="str">
        <f>HYPERLINK("proteomic_fractions_linear_files/Yang_linear_img/21703762.jpg", "21703762")</f>
        <v>21703762</v>
      </c>
      <c r="C2118" s="3" t="str">
        <f>HYPERLINK("http://www.ncbi.nlm.nih.gov/protein/21703762","Eif3m")</f>
        <v>Eif3m</v>
      </c>
      <c r="E2118" t="str">
        <f>HYPERLINK("J:\Depot - mpkCCD Fractions\Main Web Page\Web Pages_old\proteomic_fractions_linear_files/Yang_linear_img/21703762.jpg","show blot")</f>
        <v>show blot</v>
      </c>
      <c r="G2118" t="s">
        <v>2099</v>
      </c>
      <c r="I2118" s="6">
        <v>6.0526062569797023</v>
      </c>
      <c r="K2118" s="8"/>
    </row>
    <row r="2119" spans="1:11" ht="15" x14ac:dyDescent="0.25">
      <c r="A2119" s="3" t="str">
        <f>HYPERLINK("proteomic_fractions_linear_files/Yang_linear_img/21450625.jpg", "21450625")</f>
        <v>21450625</v>
      </c>
      <c r="C2119" s="3" t="str">
        <f>HYPERLINK("http://www.ncbi.nlm.nih.gov/protein/21450625","Eif4a1")</f>
        <v>Eif4a1</v>
      </c>
      <c r="E2119" t="str">
        <f>HYPERLINK("J:\Depot - mpkCCD Fractions\Main Web Page\Web Pages_old\proteomic_fractions_linear_files/Yang_linear_img/21450625.jpg","show blot")</f>
        <v>show blot</v>
      </c>
      <c r="G2119" t="s">
        <v>2100</v>
      </c>
      <c r="I2119" s="6">
        <v>7.0193621922948353</v>
      </c>
      <c r="K2119" s="8"/>
    </row>
    <row r="2120" spans="1:11" ht="15" x14ac:dyDescent="0.25">
      <c r="A2120" s="3" t="str">
        <f>HYPERLINK("proteomic_fractions_linear_files/Yang_linear_img/226823309.jpg", "226823309")</f>
        <v>226823309</v>
      </c>
      <c r="C2120" s="3" t="str">
        <f>HYPERLINK("http://www.ncbi.nlm.nih.gov/protein/226823309","Eif4a1")</f>
        <v>Eif4a1</v>
      </c>
      <c r="E2120" t="str">
        <f>HYPERLINK("J:\Depot - mpkCCD Fractions\Main Web Page\Web Pages_old\proteomic_fractions_linear_files/Yang_linear_img/226823309.jpg","show blot")</f>
        <v>show blot</v>
      </c>
      <c r="G2120" t="s">
        <v>2101</v>
      </c>
      <c r="I2120" s="6">
        <v>7.0193621922948353</v>
      </c>
      <c r="K2120" s="8"/>
    </row>
    <row r="2121" spans="1:11" ht="15" x14ac:dyDescent="0.25">
      <c r="A2121" s="3" t="str">
        <f>HYPERLINK("proteomic_fractions_linear_files/Yang_linear_img/176865892.jpg", "176865892")</f>
        <v>176865892</v>
      </c>
      <c r="C2121" s="3" t="str">
        <f>HYPERLINK("http://www.ncbi.nlm.nih.gov/protein/176865892","Eif4a2")</f>
        <v>Eif4a2</v>
      </c>
      <c r="E2121" t="str">
        <f>HYPERLINK("J:\Depot - mpkCCD Fractions\Main Web Page\Web Pages_old\proteomic_fractions_linear_files/Yang_linear_img/176865892.jpg","show blot")</f>
        <v>show blot</v>
      </c>
      <c r="G2121" t="s">
        <v>2102</v>
      </c>
      <c r="I2121" s="6">
        <v>6.8734597835934057</v>
      </c>
      <c r="K2121" s="8"/>
    </row>
    <row r="2122" spans="1:11" ht="15" x14ac:dyDescent="0.25">
      <c r="A2122" s="3" t="str">
        <f>HYPERLINK("proteomic_fractions_linear_files/Yang_linear_img/176865998.jpg", "176865998")</f>
        <v>176865998</v>
      </c>
      <c r="C2122" s="3" t="str">
        <f>HYPERLINK("http://www.ncbi.nlm.nih.gov/protein/176865998","Eif4a2")</f>
        <v>Eif4a2</v>
      </c>
      <c r="E2122" t="str">
        <f>HYPERLINK("J:\Depot - mpkCCD Fractions\Main Web Page\Web Pages_old\proteomic_fractions_linear_files/Yang_linear_img/176865998.jpg","show blot")</f>
        <v>show blot</v>
      </c>
      <c r="G2122" t="s">
        <v>2103</v>
      </c>
      <c r="I2122" s="6">
        <v>6.8734597835934057</v>
      </c>
      <c r="K2122" s="8"/>
    </row>
    <row r="2123" spans="1:11" ht="15" x14ac:dyDescent="0.25">
      <c r="A2123" s="3" t="str">
        <f>HYPERLINK("proteomic_fractions_linear_files/Yang_linear_img/176866061.jpg", "176866061")</f>
        <v>176866061</v>
      </c>
      <c r="C2123" s="3" t="str">
        <f>HYPERLINK("http://www.ncbi.nlm.nih.gov/protein/176866061","Eif4a2")</f>
        <v>Eif4a2</v>
      </c>
      <c r="E2123" t="str">
        <f>HYPERLINK("J:\Depot - mpkCCD Fractions\Main Web Page\Web Pages_old\proteomic_fractions_linear_files/Yang_linear_img/176866061.jpg","show blot")</f>
        <v>show blot</v>
      </c>
      <c r="G2123" t="s">
        <v>2104</v>
      </c>
      <c r="I2123" s="6">
        <v>6.8734597835934057</v>
      </c>
      <c r="K2123" s="8"/>
    </row>
    <row r="2124" spans="1:11" ht="15" x14ac:dyDescent="0.25">
      <c r="A2124" s="3" t="str">
        <f>HYPERLINK("proteomic_fractions_linear_files/Yang_linear_img/20149756.jpg", "20149756")</f>
        <v>20149756</v>
      </c>
      <c r="C2124" s="3" t="str">
        <f>HYPERLINK("http://www.ncbi.nlm.nih.gov/protein/20149756","Eif4a3")</f>
        <v>Eif4a3</v>
      </c>
      <c r="E2124" t="str">
        <f>HYPERLINK("J:\Depot - mpkCCD Fractions\Main Web Page\Web Pages_old\proteomic_fractions_linear_files/Yang_linear_img/20149756.jpg","show blot")</f>
        <v>show blot</v>
      </c>
      <c r="G2124" t="s">
        <v>2105</v>
      </c>
      <c r="I2124" s="6">
        <v>6.2838993104514795</v>
      </c>
      <c r="K2124" s="8"/>
    </row>
    <row r="2125" spans="1:11" ht="15" x14ac:dyDescent="0.25">
      <c r="A2125" s="3" t="str">
        <f>HYPERLINK("proteomic_fractions_linear_files/Yang_linear_img/167234372.jpg", "167234372")</f>
        <v>167234372</v>
      </c>
      <c r="C2125" s="3" t="str">
        <f>HYPERLINK("http://www.ncbi.nlm.nih.gov/protein/167234372","Eif4b")</f>
        <v>Eif4b</v>
      </c>
      <c r="E2125" t="str">
        <f>HYPERLINK("J:\Depot - mpkCCD Fractions\Main Web Page\Web Pages_old\proteomic_fractions_linear_files/Yang_linear_img/167234372.jpg","show blot")</f>
        <v>show blot</v>
      </c>
      <c r="G2125" t="s">
        <v>2106</v>
      </c>
      <c r="I2125" s="6">
        <v>5.5565631287708923</v>
      </c>
      <c r="K2125" s="8"/>
    </row>
    <row r="2126" spans="1:11" ht="15" x14ac:dyDescent="0.25">
      <c r="A2126" s="3" t="str">
        <f>HYPERLINK("proteomic_fractions_linear_files/Yang_linear_img/83627717.jpg", "83627717")</f>
        <v>83627717</v>
      </c>
      <c r="C2126" s="3" t="str">
        <f>HYPERLINK("http://www.ncbi.nlm.nih.gov/protein/83627717","Eif4e")</f>
        <v>Eif4e</v>
      </c>
      <c r="E2126" t="str">
        <f>HYPERLINK("J:\Depot - mpkCCD Fractions\Main Web Page\Web Pages_old\proteomic_fractions_linear_files/Yang_linear_img/83627717.jpg","show blot")</f>
        <v>show blot</v>
      </c>
      <c r="G2126" t="s">
        <v>2107</v>
      </c>
      <c r="I2126" s="6">
        <v>5.936632265018674</v>
      </c>
      <c r="K2126" s="8"/>
    </row>
    <row r="2127" spans="1:11" ht="15" x14ac:dyDescent="0.25">
      <c r="A2127" s="3" t="str">
        <f>HYPERLINK("proteomic_fractions_linear_files/Yang_linear_img/85677506.jpg", "85677506")</f>
        <v>85677506</v>
      </c>
      <c r="C2127" s="3" t="str">
        <f>HYPERLINK("http://www.ncbi.nlm.nih.gov/protein/85677506","Eif4e2")</f>
        <v>Eif4e2</v>
      </c>
      <c r="E2127" t="str">
        <f>HYPERLINK("J:\Depot - mpkCCD Fractions\Main Web Page\Web Pages_old\proteomic_fractions_linear_files/Yang_linear_img/85677506.jpg","show blot")</f>
        <v>show blot</v>
      </c>
      <c r="G2127" t="s">
        <v>2108</v>
      </c>
      <c r="I2127" s="6">
        <v>5.0588629440214081</v>
      </c>
      <c r="K2127" s="8"/>
    </row>
    <row r="2128" spans="1:11" ht="15" x14ac:dyDescent="0.25">
      <c r="A2128" s="3" t="str">
        <f>HYPERLINK("proteomic_fractions_linear_files/Yang_linear_img/85677508.jpg", "85677508")</f>
        <v>85677508</v>
      </c>
      <c r="C2128" s="3" t="str">
        <f>HYPERLINK("http://www.ncbi.nlm.nih.gov/protein/85677508","Eif4e2")</f>
        <v>Eif4e2</v>
      </c>
      <c r="E2128" t="str">
        <f>HYPERLINK("J:\Depot - mpkCCD Fractions\Main Web Page\Web Pages_old\proteomic_fractions_linear_files/Yang_linear_img/85677508.jpg","show blot")</f>
        <v>show blot</v>
      </c>
      <c r="G2128" t="s">
        <v>2109</v>
      </c>
      <c r="I2128" s="6">
        <v>5.0588629440214081</v>
      </c>
      <c r="K2128" s="8"/>
    </row>
    <row r="2129" spans="1:11" ht="15" x14ac:dyDescent="0.25">
      <c r="A2129" s="3" t="str">
        <f>HYPERLINK("proteomic_fractions_linear_files/Yang_linear_img/85677510.jpg", "85677510")</f>
        <v>85677510</v>
      </c>
      <c r="C2129" s="3" t="str">
        <f>HYPERLINK("http://www.ncbi.nlm.nih.gov/protein/85677510","Eif4e2")</f>
        <v>Eif4e2</v>
      </c>
      <c r="E2129" t="str">
        <f>HYPERLINK("J:\Depot - mpkCCD Fractions\Main Web Page\Web Pages_old\proteomic_fractions_linear_files/Yang_linear_img/85677510.jpg","show blot")</f>
        <v>show blot</v>
      </c>
      <c r="G2129" t="s">
        <v>2110</v>
      </c>
      <c r="I2129" s="6">
        <v>5.0588629440214081</v>
      </c>
      <c r="K2129" s="8"/>
    </row>
    <row r="2130" spans="1:11" ht="15" x14ac:dyDescent="0.25">
      <c r="A2130" s="3" t="str">
        <f>HYPERLINK("proteomic_fractions_linear_files/Yang_linear_img/6753742.jpg", "6753742")</f>
        <v>6753742</v>
      </c>
      <c r="C2130" s="3" t="str">
        <f>HYPERLINK("http://www.ncbi.nlm.nih.gov/protein/6753742","Eif4ebp2")</f>
        <v>Eif4ebp2</v>
      </c>
      <c r="E2130" t="str">
        <f>HYPERLINK("J:\Depot - mpkCCD Fractions\Main Web Page\Web Pages_old\proteomic_fractions_linear_files/Yang_linear_img/6753742.jpg","show blot")</f>
        <v>show blot</v>
      </c>
      <c r="G2130" t="s">
        <v>2111</v>
      </c>
      <c r="I2130" s="6">
        <v>4.9425437353833352</v>
      </c>
      <c r="K2130" s="8"/>
    </row>
    <row r="2131" spans="1:11" ht="15" x14ac:dyDescent="0.25">
      <c r="A2131" s="3" t="str">
        <f>HYPERLINK("proteomic_fractions_linear_files/Yang_linear_img/56699432.jpg", "56699432")</f>
        <v>56699432</v>
      </c>
      <c r="C2131" s="3" t="str">
        <f>HYPERLINK("http://www.ncbi.nlm.nih.gov/protein/56699432","Eif4g1")</f>
        <v>Eif4g1</v>
      </c>
      <c r="E2131" t="str">
        <f>HYPERLINK("J:\Depot - mpkCCD Fractions\Main Web Page\Web Pages_old\proteomic_fractions_linear_files/Yang_linear_img/56699432.jpg","show blot")</f>
        <v>show blot</v>
      </c>
      <c r="G2131" t="s">
        <v>2112</v>
      </c>
      <c r="I2131" s="6">
        <v>5.5089571613277597</v>
      </c>
      <c r="K2131" s="8"/>
    </row>
    <row r="2132" spans="1:11" ht="15" x14ac:dyDescent="0.25">
      <c r="A2132" s="3" t="str">
        <f>HYPERLINK("proteomic_fractions_linear_files/Yang_linear_img/56699434.jpg", "56699434")</f>
        <v>56699434</v>
      </c>
      <c r="C2132" s="3" t="str">
        <f>HYPERLINK("http://www.ncbi.nlm.nih.gov/protein/56699434","Eif4g1")</f>
        <v>Eif4g1</v>
      </c>
      <c r="E2132" t="str">
        <f>HYPERLINK("J:\Depot - mpkCCD Fractions\Main Web Page\Web Pages_old\proteomic_fractions_linear_files/Yang_linear_img/56699434.jpg","show blot")</f>
        <v>show blot</v>
      </c>
      <c r="G2132" t="s">
        <v>2113</v>
      </c>
      <c r="I2132" s="6">
        <v>5.5089571613277597</v>
      </c>
      <c r="K2132" s="8"/>
    </row>
    <row r="2133" spans="1:11" ht="15" x14ac:dyDescent="0.25">
      <c r="A2133" s="3" t="str">
        <f>HYPERLINK("proteomic_fractions_linear_files/Yang_linear_img/110630015.jpg", "110630015")</f>
        <v>110630015</v>
      </c>
      <c r="C2133" s="3" t="str">
        <f>HYPERLINK("http://www.ncbi.nlm.nih.gov/protein/110630015","Eif4g2")</f>
        <v>Eif4g2</v>
      </c>
      <c r="E2133" t="str">
        <f>HYPERLINK("J:\Depot - mpkCCD Fractions\Main Web Page\Web Pages_old\proteomic_fractions_linear_files/Yang_linear_img/110630015.jpg","show blot")</f>
        <v>show blot</v>
      </c>
      <c r="G2133" t="s">
        <v>2114</v>
      </c>
      <c r="I2133" s="6">
        <v>4.9774685767069133</v>
      </c>
      <c r="K2133" s="8"/>
    </row>
    <row r="2134" spans="1:11" ht="15" x14ac:dyDescent="0.25">
      <c r="A2134" s="3" t="str">
        <f>HYPERLINK("proteomic_fractions_linear_files/Yang_linear_img/34486094.jpg", "34486094")</f>
        <v>34486094</v>
      </c>
      <c r="C2134" s="3" t="str">
        <f>HYPERLINK("http://www.ncbi.nlm.nih.gov/protein/34486094","Eif4g2")</f>
        <v>Eif4g2</v>
      </c>
      <c r="E2134" t="str">
        <f>HYPERLINK("J:\Depot - mpkCCD Fractions\Main Web Page\Web Pages_old\proteomic_fractions_linear_files/Yang_linear_img/34486094.jpg","show blot")</f>
        <v>show blot</v>
      </c>
      <c r="G2134" t="s">
        <v>2115</v>
      </c>
      <c r="I2134" s="6">
        <v>4.9774685767069133</v>
      </c>
      <c r="K2134" s="8"/>
    </row>
    <row r="2135" spans="1:11" ht="15" x14ac:dyDescent="0.25">
      <c r="A2135" s="3" t="str">
        <f>HYPERLINK("proteomic_fractions_linear_files/Yang_linear_img/371875676.jpg", "371875676")</f>
        <v>371875676</v>
      </c>
      <c r="C2135" s="3" t="str">
        <f>HYPERLINK("http://www.ncbi.nlm.nih.gov/protein/371875676","Eif4g3")</f>
        <v>Eif4g3</v>
      </c>
      <c r="E2135" t="str">
        <f>HYPERLINK("J:\Depot - mpkCCD Fractions\Main Web Page\Web Pages_old\proteomic_fractions_linear_files/Yang_linear_img/371875676.jpg","show blot")</f>
        <v>show blot</v>
      </c>
      <c r="G2135" t="s">
        <v>2116</v>
      </c>
      <c r="I2135" s="6">
        <v>4.6054781345169529</v>
      </c>
      <c r="K2135" s="8"/>
    </row>
    <row r="2136" spans="1:11" ht="15" x14ac:dyDescent="0.25">
      <c r="A2136" s="3" t="str">
        <f>HYPERLINK("proteomic_fractions_linear_files/Yang_linear_img/371876057.jpg", "371876057")</f>
        <v>371876057</v>
      </c>
      <c r="C2136" s="3" t="str">
        <f>HYPERLINK("http://www.ncbi.nlm.nih.gov/protein/371876057","Eif4g3")</f>
        <v>Eif4g3</v>
      </c>
      <c r="E2136" t="str">
        <f>HYPERLINK("J:\Depot - mpkCCD Fractions\Main Web Page\Web Pages_old\proteomic_fractions_linear_files/Yang_linear_img/371876057.jpg","show blot")</f>
        <v>show blot</v>
      </c>
      <c r="G2136" t="s">
        <v>2117</v>
      </c>
      <c r="I2136" s="6">
        <v>4.6054781345169529</v>
      </c>
      <c r="K2136" s="8"/>
    </row>
    <row r="2137" spans="1:11" ht="15" x14ac:dyDescent="0.25">
      <c r="A2137" s="3" t="str">
        <f>HYPERLINK("proteomic_fractions_linear_files/Yang_linear_img/50838806.jpg", "50838806")</f>
        <v>50838806</v>
      </c>
      <c r="C2137" s="3" t="str">
        <f>HYPERLINK("http://www.ncbi.nlm.nih.gov/protein/50838806","Eif4g3")</f>
        <v>Eif4g3</v>
      </c>
      <c r="E2137" t="str">
        <f>HYPERLINK("J:\Depot - mpkCCD Fractions\Main Web Page\Web Pages_old\proteomic_fractions_linear_files/Yang_linear_img/50838806.jpg","show blot")</f>
        <v>show blot</v>
      </c>
      <c r="G2137" t="s">
        <v>2118</v>
      </c>
      <c r="I2137" s="6">
        <v>4.6054781345169529</v>
      </c>
      <c r="K2137" s="8"/>
    </row>
    <row r="2138" spans="1:11" ht="15" x14ac:dyDescent="0.25">
      <c r="A2138" s="3" t="str">
        <f>HYPERLINK("proteomic_fractions_linear_files/Yang_linear_img/15808988.jpg", "15808988")</f>
        <v>15808988</v>
      </c>
      <c r="C2138" s="3" t="str">
        <f>HYPERLINK("http://www.ncbi.nlm.nih.gov/protein/15808988","Eif4h")</f>
        <v>Eif4h</v>
      </c>
      <c r="E2138" t="str">
        <f>HYPERLINK("J:\Depot - mpkCCD Fractions\Main Web Page\Web Pages_old\proteomic_fractions_linear_files/Yang_linear_img/15808988.jpg","show blot")</f>
        <v>show blot</v>
      </c>
      <c r="G2138" t="s">
        <v>2119</v>
      </c>
      <c r="I2138" s="6">
        <v>5.6871412125368126</v>
      </c>
      <c r="K2138" s="8"/>
    </row>
    <row r="2139" spans="1:11" ht="15" x14ac:dyDescent="0.25">
      <c r="A2139" s="3" t="str">
        <f>HYPERLINK("proteomic_fractions_linear_files/Yang_linear_img/262359891.jpg", "262359891")</f>
        <v>262359891</v>
      </c>
      <c r="C2139" s="3" t="str">
        <f>HYPERLINK("http://www.ncbi.nlm.nih.gov/protein/262359891","Eif5a")</f>
        <v>Eif5a</v>
      </c>
      <c r="E2139" t="str">
        <f>HYPERLINK("J:\Depot - mpkCCD Fractions\Main Web Page\Web Pages_old\proteomic_fractions_linear_files/Yang_linear_img/262359891.jpg","show blot")</f>
        <v>show blot</v>
      </c>
      <c r="G2139" t="s">
        <v>2120</v>
      </c>
      <c r="I2139" s="6">
        <v>6.5165441838037035</v>
      </c>
      <c r="K2139" s="8"/>
    </row>
    <row r="2140" spans="1:11" ht="15" x14ac:dyDescent="0.25">
      <c r="A2140" s="3" t="str">
        <f>HYPERLINK("proteomic_fractions_linear_files/Yang_linear_img/262359891;31712036.jpg", "262359891;31712036")</f>
        <v>262359891;31712036</v>
      </c>
      <c r="C2140" s="3" t="str">
        <f>HYPERLINK("http://www.ncbi.nlm.nih.gov/protein/262359891;31712036","Eif5a")</f>
        <v>Eif5a</v>
      </c>
      <c r="E2140" t="str">
        <f>HYPERLINK("J:\Depot - mpkCCD Fractions\Main Web Page\Web Pages_old\proteomic_fractions_linear_files/Yang_linear_img/262359891;31712036.jpg","show blot")</f>
        <v>show blot</v>
      </c>
      <c r="G2140" t="s">
        <v>2120</v>
      </c>
      <c r="I2140" s="6">
        <v>6.5165441838037035</v>
      </c>
      <c r="K2140" s="8"/>
    </row>
    <row r="2141" spans="1:11" ht="15" x14ac:dyDescent="0.25">
      <c r="A2141" s="3" t="str">
        <f>HYPERLINK("proteomic_fractions_linear_files/Yang_linear_img/31712036;262359891.jpg", "31712036;262359891")</f>
        <v>31712036;262359891</v>
      </c>
      <c r="C2141" s="3" t="str">
        <f>HYPERLINK("http://www.ncbi.nlm.nih.gov/protein/31712036;262359891","Eif5a")</f>
        <v>Eif5a</v>
      </c>
      <c r="E2141" t="str">
        <f>HYPERLINK("J:\Depot - mpkCCD Fractions\Main Web Page\Web Pages_old\proteomic_fractions_linear_files/Yang_linear_img/31712036;262359891.jpg","show blot")</f>
        <v>show blot</v>
      </c>
      <c r="G2141" t="s">
        <v>2120</v>
      </c>
      <c r="I2141" s="6">
        <v>6.5165441838037035</v>
      </c>
      <c r="K2141" s="8"/>
    </row>
    <row r="2142" spans="1:11" ht="15" x14ac:dyDescent="0.25">
      <c r="A2142" s="3" t="str">
        <f>HYPERLINK("proteomic_fractions_linear_files/Yang_linear_img/29243942.jpg", "29243942")</f>
        <v>29243942</v>
      </c>
      <c r="C2142" s="3" t="str">
        <f>HYPERLINK("http://www.ncbi.nlm.nih.gov/protein/29243942","Eif5a2")</f>
        <v>Eif5a2</v>
      </c>
      <c r="E2142" t="str">
        <f>HYPERLINK("J:\Depot - mpkCCD Fractions\Main Web Page\Web Pages_old\proteomic_fractions_linear_files/Yang_linear_img/29243942.jpg","show blot")</f>
        <v>show blot</v>
      </c>
      <c r="G2142" t="s">
        <v>2121</v>
      </c>
      <c r="I2142" s="6">
        <v>6.2707830367605668</v>
      </c>
      <c r="K2142" s="8"/>
    </row>
    <row r="2143" spans="1:11" ht="15" x14ac:dyDescent="0.25">
      <c r="A2143" s="3" t="str">
        <f>HYPERLINK("proteomic_fractions_linear_files/Yang_linear_img/84043961.jpg", "84043961")</f>
        <v>84043961</v>
      </c>
      <c r="C2143" s="3" t="str">
        <f>HYPERLINK("http://www.ncbi.nlm.nih.gov/protein/84043961","Eif5b")</f>
        <v>Eif5b</v>
      </c>
      <c r="E2143" t="str">
        <f>HYPERLINK("J:\Depot - mpkCCD Fractions\Main Web Page\Web Pages_old\proteomic_fractions_linear_files/Yang_linear_img/84043961.jpg","show blot")</f>
        <v>show blot</v>
      </c>
      <c r="G2143" t="s">
        <v>2122</v>
      </c>
      <c r="I2143" s="6">
        <v>5.308605445914238</v>
      </c>
      <c r="K2143" s="8"/>
    </row>
    <row r="2144" spans="1:11" ht="15" x14ac:dyDescent="0.25">
      <c r="A2144" s="3" t="str">
        <f>HYPERLINK("proteomic_fractions_linear_files/Yang_linear_img/27501448.jpg", "27501448")</f>
        <v>27501448</v>
      </c>
      <c r="C2144" s="3" t="str">
        <f>HYPERLINK("http://www.ncbi.nlm.nih.gov/protein/27501448","Eif6")</f>
        <v>Eif6</v>
      </c>
      <c r="E2144" t="str">
        <f>HYPERLINK("J:\Depot - mpkCCD Fractions\Main Web Page\Web Pages_old\proteomic_fractions_linear_files/Yang_linear_img/27501448.jpg","show blot")</f>
        <v>show blot</v>
      </c>
      <c r="G2144" t="s">
        <v>2123</v>
      </c>
      <c r="I2144" s="6">
        <v>5.9663445033289095</v>
      </c>
      <c r="K2144" s="8"/>
    </row>
    <row r="2145" spans="1:11" ht="15" x14ac:dyDescent="0.25">
      <c r="A2145" s="3" t="str">
        <f>HYPERLINK("proteomic_fractions_linear_files/Yang_linear_img/257153445.jpg", "257153445")</f>
        <v>257153445</v>
      </c>
      <c r="C2145" s="3" t="str">
        <f>HYPERLINK("http://www.ncbi.nlm.nih.gov/protein/257153445","Elac2")</f>
        <v>Elac2</v>
      </c>
      <c r="E2145" t="str">
        <f>HYPERLINK("J:\Depot - mpkCCD Fractions\Main Web Page\Web Pages_old\proteomic_fractions_linear_files/Yang_linear_img/257153445.jpg","show blot")</f>
        <v>show blot</v>
      </c>
      <c r="G2145" t="s">
        <v>2124</v>
      </c>
      <c r="I2145" s="6">
        <v>3.8770850706126962</v>
      </c>
      <c r="K2145" s="8"/>
    </row>
    <row r="2146" spans="1:11" ht="15" x14ac:dyDescent="0.25">
      <c r="A2146" s="3" t="str">
        <f>HYPERLINK("proteomic_fractions_linear_files/Yang_linear_img/31542602.jpg", "31542602")</f>
        <v>31542602</v>
      </c>
      <c r="C2146" s="3" t="str">
        <f>HYPERLINK("http://www.ncbi.nlm.nih.gov/protein/31542602","Elavl1")</f>
        <v>Elavl1</v>
      </c>
      <c r="E2146" t="str">
        <f>HYPERLINK("J:\Depot - mpkCCD Fractions\Main Web Page\Web Pages_old\proteomic_fractions_linear_files/Yang_linear_img/31542602.jpg","show blot")</f>
        <v>show blot</v>
      </c>
      <c r="G2146" t="s">
        <v>2125</v>
      </c>
      <c r="I2146" s="6">
        <v>6.4121532364324016</v>
      </c>
      <c r="K2146" s="8"/>
    </row>
    <row r="2147" spans="1:11" ht="15" x14ac:dyDescent="0.25">
      <c r="A2147" s="3" t="str">
        <f>HYPERLINK("proteomic_fractions_linear_files/Yang_linear_img/124358953.jpg", "124358953")</f>
        <v>124358953</v>
      </c>
      <c r="C2147" s="3" t="str">
        <f>HYPERLINK("http://www.ncbi.nlm.nih.gov/protein/124358953","Ell")</f>
        <v>Ell</v>
      </c>
      <c r="E2147" t="str">
        <f>HYPERLINK("J:\Depot - mpkCCD Fractions\Main Web Page\Web Pages_old\proteomic_fractions_linear_files/Yang_linear_img/124358953.jpg","show blot")</f>
        <v>show blot</v>
      </c>
      <c r="G2147" t="s">
        <v>2126</v>
      </c>
      <c r="I2147" s="6">
        <v>3.1174808506655962</v>
      </c>
      <c r="K2147" s="8"/>
    </row>
    <row r="2148" spans="1:11" ht="15" x14ac:dyDescent="0.25">
      <c r="A2148" s="3" t="str">
        <f>HYPERLINK("proteomic_fractions_linear_files/Yang_linear_img/46877043.jpg", "46877043")</f>
        <v>46877043</v>
      </c>
      <c r="C2148" s="3" t="str">
        <f>HYPERLINK("http://www.ncbi.nlm.nih.gov/protein/46877043","Elmo2")</f>
        <v>Elmo2</v>
      </c>
      <c r="E2148" t="str">
        <f>HYPERLINK("J:\Depot - mpkCCD Fractions\Main Web Page\Web Pages_old\proteomic_fractions_linear_files/Yang_linear_img/46877043.jpg","show blot")</f>
        <v>show blot</v>
      </c>
      <c r="G2148" t="s">
        <v>2127</v>
      </c>
      <c r="I2148" s="6">
        <v>4.0920583814779619</v>
      </c>
      <c r="K2148" s="8"/>
    </row>
    <row r="2149" spans="1:11" ht="15" x14ac:dyDescent="0.25">
      <c r="A2149" s="3" t="str">
        <f>HYPERLINK("proteomic_fractions_linear_files/Yang_linear_img/46877050.jpg", "46877050")</f>
        <v>46877050</v>
      </c>
      <c r="C2149" s="3" t="str">
        <f>HYPERLINK("http://www.ncbi.nlm.nih.gov/protein/46877050","Elmo2")</f>
        <v>Elmo2</v>
      </c>
      <c r="E2149" t="str">
        <f>HYPERLINK("J:\Depot - mpkCCD Fractions\Main Web Page\Web Pages_old\proteomic_fractions_linear_files/Yang_linear_img/46877050.jpg","show blot")</f>
        <v>show blot</v>
      </c>
      <c r="G2149" t="s">
        <v>2128</v>
      </c>
      <c r="I2149" s="6">
        <v>4.0920583814779619</v>
      </c>
      <c r="K2149" s="8"/>
    </row>
    <row r="2150" spans="1:11" ht="15" x14ac:dyDescent="0.25">
      <c r="A2150" s="3" t="str">
        <f>HYPERLINK("proteomic_fractions_linear_files/Yang_linear_img/46877052.jpg", "46877052")</f>
        <v>46877052</v>
      </c>
      <c r="C2150" s="3" t="str">
        <f>HYPERLINK("http://www.ncbi.nlm.nih.gov/protein/46877052","Elmo2")</f>
        <v>Elmo2</v>
      </c>
      <c r="E2150" t="str">
        <f>HYPERLINK("J:\Depot - mpkCCD Fractions\Main Web Page\Web Pages_old\proteomic_fractions_linear_files/Yang_linear_img/46877052.jpg","show blot")</f>
        <v>show blot</v>
      </c>
      <c r="G2150" t="s">
        <v>2129</v>
      </c>
      <c r="I2150" s="6">
        <v>4.0920583814779619</v>
      </c>
      <c r="K2150" s="8"/>
    </row>
    <row r="2151" spans="1:11" ht="15" x14ac:dyDescent="0.25">
      <c r="A2151" s="3" t="str">
        <f>HYPERLINK("proteomic_fractions_linear_files/Yang_linear_img/255683297.jpg", "255683297")</f>
        <v>255683297</v>
      </c>
      <c r="C2151" s="3" t="str">
        <f>HYPERLINK("http://www.ncbi.nlm.nih.gov/protein/255683297","Elmo3")</f>
        <v>Elmo3</v>
      </c>
      <c r="E2151" t="str">
        <f>HYPERLINK("J:\Depot - mpkCCD Fractions\Main Web Page\Web Pages_old\proteomic_fractions_linear_files/Yang_linear_img/255683297.jpg","show blot")</f>
        <v>show blot</v>
      </c>
      <c r="G2151" t="s">
        <v>2130</v>
      </c>
      <c r="I2151" s="6">
        <v>4.9555150383709865</v>
      </c>
      <c r="K2151" s="8"/>
    </row>
    <row r="2152" spans="1:11" ht="15" x14ac:dyDescent="0.25">
      <c r="A2152" s="3" t="str">
        <f>HYPERLINK("proteomic_fractions_linear_files/Yang_linear_img/283436077.jpg", "283436077")</f>
        <v>283436077</v>
      </c>
      <c r="C2152" s="3" t="str">
        <f>HYPERLINK("http://www.ncbi.nlm.nih.gov/protein/283436077","Elmod2")</f>
        <v>Elmod2</v>
      </c>
      <c r="E2152" t="str">
        <f>HYPERLINK("J:\Depot - mpkCCD Fractions\Main Web Page\Web Pages_old\proteomic_fractions_linear_files/Yang_linear_img/283436077.jpg","show blot")</f>
        <v>show blot</v>
      </c>
      <c r="G2152" t="s">
        <v>2131</v>
      </c>
      <c r="I2152" s="6">
        <v>3.8554530333755079</v>
      </c>
      <c r="K2152" s="8"/>
    </row>
    <row r="2153" spans="1:11" ht="15" x14ac:dyDescent="0.25">
      <c r="A2153" s="3" t="str">
        <f>HYPERLINK("proteomic_fractions_linear_files/Yang_linear_img/25140989.jpg", "25140989")</f>
        <v>25140989</v>
      </c>
      <c r="C2153" s="3" t="str">
        <f>HYPERLINK("http://www.ncbi.nlm.nih.gov/protein/25140989","Elof1")</f>
        <v>Elof1</v>
      </c>
      <c r="E2153" t="str">
        <f>HYPERLINK("J:\Depot - mpkCCD Fractions\Main Web Page\Web Pages_old\proteomic_fractions_linear_files/Yang_linear_img/25140989.jpg","show blot")</f>
        <v>show blot</v>
      </c>
      <c r="G2153" t="s">
        <v>2132</v>
      </c>
      <c r="I2153" s="6">
        <v>4.3180742201856264</v>
      </c>
      <c r="K2153" s="8"/>
    </row>
    <row r="2154" spans="1:11" ht="15" x14ac:dyDescent="0.25">
      <c r="A2154" s="3" t="str">
        <f>HYPERLINK("proteomic_fractions_linear_files/Yang_linear_img/85702351.jpg", "85702351")</f>
        <v>85702351</v>
      </c>
      <c r="C2154" s="3" t="str">
        <f>HYPERLINK("http://www.ncbi.nlm.nih.gov/protein/85702351","Elovl1")</f>
        <v>Elovl1</v>
      </c>
      <c r="E2154" t="str">
        <f>HYPERLINK("J:\Depot - mpkCCD Fractions\Main Web Page\Web Pages_old\proteomic_fractions_linear_files/Yang_linear_img/85702351.jpg","show blot")</f>
        <v>show blot</v>
      </c>
      <c r="G2154" t="s">
        <v>2133</v>
      </c>
      <c r="I2154" s="6">
        <v>3.7106979420626103</v>
      </c>
      <c r="K2154" s="8"/>
    </row>
    <row r="2155" spans="1:11" ht="15" x14ac:dyDescent="0.25">
      <c r="A2155" s="3" t="str">
        <f>HYPERLINK("proteomic_fractions_linear_files/Yang_linear_img/9507145.jpg", "9507145")</f>
        <v>9507145</v>
      </c>
      <c r="C2155" s="3" t="str">
        <f>HYPERLINK("http://www.ncbi.nlm.nih.gov/protein/9507145","Elovl1")</f>
        <v>Elovl1</v>
      </c>
      <c r="E2155" t="str">
        <f>HYPERLINK("J:\Depot - mpkCCD Fractions\Main Web Page\Web Pages_old\proteomic_fractions_linear_files/Yang_linear_img/9507145.jpg","show blot")</f>
        <v>show blot</v>
      </c>
      <c r="G2155" t="s">
        <v>2134</v>
      </c>
      <c r="I2155" s="6">
        <v>3.7106979420626103</v>
      </c>
      <c r="K2155" s="8"/>
    </row>
    <row r="2156" spans="1:11" ht="15" x14ac:dyDescent="0.25">
      <c r="A2156" s="3" t="str">
        <f>HYPERLINK("proteomic_fractions_linear_files/Yang_linear_img/148540000.jpg", "148540000")</f>
        <v>148540000</v>
      </c>
      <c r="C2156" s="3" t="str">
        <f>HYPERLINK("http://www.ncbi.nlm.nih.gov/protein/148540000","Elovl7")</f>
        <v>Elovl7</v>
      </c>
      <c r="E2156" t="str">
        <f>HYPERLINK("J:\Depot - mpkCCD Fractions\Main Web Page\Web Pages_old\proteomic_fractions_linear_files/Yang_linear_img/148540000.jpg","show blot")</f>
        <v>show blot</v>
      </c>
      <c r="G2156" t="s">
        <v>2135</v>
      </c>
      <c r="I2156" s="6">
        <v>3.5293159920869868</v>
      </c>
      <c r="K2156" s="8"/>
    </row>
    <row r="2157" spans="1:11" ht="15" x14ac:dyDescent="0.25">
      <c r="A2157" s="3" t="str">
        <f>HYPERLINK("proteomic_fractions_linear_files/Yang_linear_img/134032030.jpg", "134032030")</f>
        <v>134032030</v>
      </c>
      <c r="C2157" s="3" t="str">
        <f>HYPERLINK("http://www.ncbi.nlm.nih.gov/protein/134032030","Elp2")</f>
        <v>Elp2</v>
      </c>
      <c r="E2157" t="str">
        <f>HYPERLINK("J:\Depot - mpkCCD Fractions\Main Web Page\Web Pages_old\proteomic_fractions_linear_files/Yang_linear_img/134032030.jpg","show blot")</f>
        <v>show blot</v>
      </c>
      <c r="G2157" t="s">
        <v>2136</v>
      </c>
      <c r="I2157" s="6">
        <v>4.5434515172338772</v>
      </c>
      <c r="K2157" s="8"/>
    </row>
    <row r="2158" spans="1:11" ht="15" x14ac:dyDescent="0.25">
      <c r="A2158" s="3" t="str">
        <f>HYPERLINK("proteomic_fractions_linear_files/Yang_linear_img/33469023.jpg", "33469023")</f>
        <v>33469023</v>
      </c>
      <c r="C2158" s="3" t="str">
        <f>HYPERLINK("http://www.ncbi.nlm.nih.gov/protein/33469023","Elp3")</f>
        <v>Elp3</v>
      </c>
      <c r="E2158" t="str">
        <f>HYPERLINK("J:\Depot - mpkCCD Fractions\Main Web Page\Web Pages_old\proteomic_fractions_linear_files/Yang_linear_img/33469023.jpg","show blot")</f>
        <v>show blot</v>
      </c>
      <c r="G2158" t="s">
        <v>2137</v>
      </c>
      <c r="I2158" s="6">
        <v>5.1509018281975196</v>
      </c>
      <c r="K2158" s="8"/>
    </row>
    <row r="2159" spans="1:11" ht="15" x14ac:dyDescent="0.25">
      <c r="A2159" s="3" t="str">
        <f>HYPERLINK("proteomic_fractions_linear_files/Yang_linear_img/359465533.jpg", "359465533")</f>
        <v>359465533</v>
      </c>
      <c r="C2159" s="3" t="str">
        <f>HYPERLINK("http://www.ncbi.nlm.nih.gov/protein/359465533","Elp3")</f>
        <v>Elp3</v>
      </c>
      <c r="E2159" t="str">
        <f>HYPERLINK("J:\Depot - mpkCCD Fractions\Main Web Page\Web Pages_old\proteomic_fractions_linear_files/Yang_linear_img/359465533.jpg","show blot")</f>
        <v>show blot</v>
      </c>
      <c r="G2159" t="s">
        <v>2138</v>
      </c>
      <c r="I2159" s="6">
        <v>5.1509018281975196</v>
      </c>
      <c r="K2159" s="8"/>
    </row>
    <row r="2160" spans="1:11" ht="15" x14ac:dyDescent="0.25">
      <c r="A2160" s="3" t="str">
        <f>HYPERLINK("proteomic_fractions_linear_files/Yang_linear_img/31542608.jpg", "31542608")</f>
        <v>31542608</v>
      </c>
      <c r="C2160" s="3" t="str">
        <f>HYPERLINK("http://www.ncbi.nlm.nih.gov/protein/31542608","Elp4")</f>
        <v>Elp4</v>
      </c>
      <c r="E2160" t="str">
        <f>HYPERLINK("J:\Depot - mpkCCD Fractions\Main Web Page\Web Pages_old\proteomic_fractions_linear_files/Yang_linear_img/31542608.jpg","show blot")</f>
        <v>show blot</v>
      </c>
      <c r="G2160" t="s">
        <v>2139</v>
      </c>
      <c r="I2160" s="6">
        <v>4.8641086591928477</v>
      </c>
      <c r="K2160" s="8"/>
    </row>
    <row r="2161" spans="1:11" ht="15" x14ac:dyDescent="0.25">
      <c r="A2161" s="3" t="str">
        <f>HYPERLINK("proteomic_fractions_linear_files/Yang_linear_img/244790025.jpg", "244790025")</f>
        <v>244790025</v>
      </c>
      <c r="C2161" s="3" t="str">
        <f>HYPERLINK("http://www.ncbi.nlm.nih.gov/protein/244790025","Elp5")</f>
        <v>Elp5</v>
      </c>
      <c r="E2161" t="str">
        <f>HYPERLINK("J:\Depot - mpkCCD Fractions\Main Web Page\Web Pages_old\proteomic_fractions_linear_files/Yang_linear_img/244790025.jpg","show blot")</f>
        <v>show blot</v>
      </c>
      <c r="G2161" t="s">
        <v>2140</v>
      </c>
      <c r="I2161" s="6">
        <v>5.1469968788965614</v>
      </c>
      <c r="K2161" s="8"/>
    </row>
    <row r="2162" spans="1:11" ht="15" x14ac:dyDescent="0.25">
      <c r="A2162" s="3" t="str">
        <f>HYPERLINK("proteomic_fractions_linear_files/Yang_linear_img/358498583.jpg", "358498583")</f>
        <v>358498583</v>
      </c>
      <c r="C2162" s="3" t="str">
        <f>HYPERLINK("http://www.ncbi.nlm.nih.gov/protein/358498583","Elp5")</f>
        <v>Elp5</v>
      </c>
      <c r="E2162" t="str">
        <f>HYPERLINK("J:\Depot - mpkCCD Fractions\Main Web Page\Web Pages_old\proteomic_fractions_linear_files/Yang_linear_img/358498583.jpg","show blot")</f>
        <v>show blot</v>
      </c>
      <c r="G2162" t="s">
        <v>2141</v>
      </c>
      <c r="I2162" s="6">
        <v>5.1469968788965614</v>
      </c>
      <c r="K2162" s="8"/>
    </row>
    <row r="2163" spans="1:11" ht="15" x14ac:dyDescent="0.25">
      <c r="A2163" s="3" t="str">
        <f>HYPERLINK("proteomic_fractions_linear_files/Yang_linear_img/145587074.jpg", "145587074")</f>
        <v>145587074</v>
      </c>
      <c r="C2163" s="3" t="str">
        <f>HYPERLINK("http://www.ncbi.nlm.nih.gov/protein/145587074","Elp6")</f>
        <v>Elp6</v>
      </c>
      <c r="E2163" t="str">
        <f>HYPERLINK("J:\Depot - mpkCCD Fractions\Main Web Page\Web Pages_old\proteomic_fractions_linear_files/Yang_linear_img/145587074.jpg","show blot")</f>
        <v>show blot</v>
      </c>
      <c r="G2163" t="s">
        <v>2142</v>
      </c>
      <c r="I2163" s="6">
        <v>4.8278962552724529</v>
      </c>
      <c r="K2163" s="8"/>
    </row>
    <row r="2164" spans="1:11" ht="15" x14ac:dyDescent="0.25">
      <c r="A2164" s="3" t="str">
        <f>HYPERLINK("proteomic_fractions_linear_files/Yang_linear_img/31542273.jpg", "31542273")</f>
        <v>31542273</v>
      </c>
      <c r="C2164" s="3" t="str">
        <f>HYPERLINK("http://www.ncbi.nlm.nih.gov/protein/31542273","Emc1")</f>
        <v>Emc1</v>
      </c>
      <c r="E2164" t="str">
        <f>HYPERLINK("J:\Depot - mpkCCD Fractions\Main Web Page\Web Pages_old\proteomic_fractions_linear_files/Yang_linear_img/31542273.jpg","show blot")</f>
        <v>show blot</v>
      </c>
      <c r="G2164" t="s">
        <v>2143</v>
      </c>
      <c r="I2164" s="6">
        <v>4.8085798930266481</v>
      </c>
      <c r="K2164" s="8"/>
    </row>
    <row r="2165" spans="1:11" ht="15" x14ac:dyDescent="0.25">
      <c r="A2165" s="3" t="str">
        <f>HYPERLINK("proteomic_fractions_linear_files/Yang_linear_img/85861260.jpg", "85861260")</f>
        <v>85861260</v>
      </c>
      <c r="C2165" s="3" t="str">
        <f>HYPERLINK("http://www.ncbi.nlm.nih.gov/protein/85861260","Emc1")</f>
        <v>Emc1</v>
      </c>
      <c r="E2165" t="str">
        <f>HYPERLINK("J:\Depot - mpkCCD Fractions\Main Web Page\Web Pages_old\proteomic_fractions_linear_files/Yang_linear_img/85861260.jpg","show blot")</f>
        <v>show blot</v>
      </c>
      <c r="G2165" t="s">
        <v>2144</v>
      </c>
      <c r="I2165" s="6">
        <v>4.8085798930266481</v>
      </c>
      <c r="K2165" s="8"/>
    </row>
    <row r="2166" spans="1:11" ht="15" x14ac:dyDescent="0.25">
      <c r="A2166" s="3" t="str">
        <f>HYPERLINK("proteomic_fractions_linear_files/Yang_linear_img/13385196.jpg", "13385196")</f>
        <v>13385196</v>
      </c>
      <c r="C2166" s="3" t="str">
        <f>HYPERLINK("http://www.ncbi.nlm.nih.gov/protein/13385196","Emc2")</f>
        <v>Emc2</v>
      </c>
      <c r="E2166" t="str">
        <f>HYPERLINK("J:\Depot - mpkCCD Fractions\Main Web Page\Web Pages_old\proteomic_fractions_linear_files/Yang_linear_img/13385196.jpg","show blot")</f>
        <v>show blot</v>
      </c>
      <c r="G2166" t="s">
        <v>2145</v>
      </c>
      <c r="I2166" s="6">
        <v>5.4536028753773493</v>
      </c>
      <c r="K2166" s="8"/>
    </row>
    <row r="2167" spans="1:11" ht="15" x14ac:dyDescent="0.25">
      <c r="A2167" s="3" t="str">
        <f>HYPERLINK("proteomic_fractions_linear_files/Yang_linear_img/28827824.jpg", "28827824")</f>
        <v>28827824</v>
      </c>
      <c r="C2167" s="3" t="str">
        <f>HYPERLINK("http://www.ncbi.nlm.nih.gov/protein/28827824","Emc3")</f>
        <v>Emc3</v>
      </c>
      <c r="E2167" t="str">
        <f>HYPERLINK("J:\Depot - mpkCCD Fractions\Main Web Page\Web Pages_old\proteomic_fractions_linear_files/Yang_linear_img/28827824.jpg","show blot")</f>
        <v>show blot</v>
      </c>
      <c r="G2167" t="s">
        <v>2146</v>
      </c>
      <c r="I2167" s="6">
        <v>4.9846282720394059</v>
      </c>
      <c r="K2167" s="8"/>
    </row>
    <row r="2168" spans="1:11" ht="15" x14ac:dyDescent="0.25">
      <c r="A2168" s="3" t="str">
        <f>HYPERLINK("proteomic_fractions_linear_files/Yang_linear_img/13386014.jpg", "13386014")</f>
        <v>13386014</v>
      </c>
      <c r="C2168" s="3" t="str">
        <f>HYPERLINK("http://www.ncbi.nlm.nih.gov/protein/13386014","Emc4")</f>
        <v>Emc4</v>
      </c>
      <c r="E2168" t="str">
        <f>HYPERLINK("J:\Depot - mpkCCD Fractions\Main Web Page\Web Pages_old\proteomic_fractions_linear_files/Yang_linear_img/13386014.jpg","show blot")</f>
        <v>show blot</v>
      </c>
      <c r="G2168" t="s">
        <v>2147</v>
      </c>
      <c r="I2168" s="6">
        <v>5.0144350628672631</v>
      </c>
      <c r="K2168" s="8"/>
    </row>
    <row r="2169" spans="1:11" ht="15" x14ac:dyDescent="0.25">
      <c r="A2169" s="3" t="str">
        <f>HYPERLINK("proteomic_fractions_linear_files/Yang_linear_img/13384684.jpg", "13384684")</f>
        <v>13384684</v>
      </c>
      <c r="C2169" s="3" t="str">
        <f>HYPERLINK("http://www.ncbi.nlm.nih.gov/protein/13384684","Emc6")</f>
        <v>Emc6</v>
      </c>
      <c r="E2169" t="str">
        <f>HYPERLINK("J:\Depot - mpkCCD Fractions\Main Web Page\Web Pages_old\proteomic_fractions_linear_files/Yang_linear_img/13384684.jpg","show blot")</f>
        <v>show blot</v>
      </c>
      <c r="G2169" t="s">
        <v>2148</v>
      </c>
      <c r="I2169" s="6">
        <v>5.1954657251808882</v>
      </c>
      <c r="K2169" s="8"/>
    </row>
    <row r="2170" spans="1:11" ht="15" x14ac:dyDescent="0.25">
      <c r="A2170" s="3" t="str">
        <f>HYPERLINK("proteomic_fractions_linear_files/Yang_linear_img/19526956.jpg", "19526956")</f>
        <v>19526956</v>
      </c>
      <c r="C2170" s="3" t="str">
        <f>HYPERLINK("http://www.ncbi.nlm.nih.gov/protein/19526956","Emc7")</f>
        <v>Emc7</v>
      </c>
      <c r="E2170" t="str">
        <f>HYPERLINK("J:\Depot - mpkCCD Fractions\Main Web Page\Web Pages_old\proteomic_fractions_linear_files/Yang_linear_img/19526956.jpg","show blot")</f>
        <v>show blot</v>
      </c>
      <c r="G2170" t="s">
        <v>2149</v>
      </c>
      <c r="I2170" s="6">
        <v>4.2544156957896035</v>
      </c>
      <c r="K2170" s="8"/>
    </row>
    <row r="2171" spans="1:11" ht="15" x14ac:dyDescent="0.25">
      <c r="A2171" s="3" t="str">
        <f>HYPERLINK("proteomic_fractions_linear_files/Yang_linear_img/6754870.jpg", "6754870")</f>
        <v>6754870</v>
      </c>
      <c r="C2171" s="3" t="str">
        <f>HYPERLINK("http://www.ncbi.nlm.nih.gov/protein/6754870","Emc8")</f>
        <v>Emc8</v>
      </c>
      <c r="E2171" t="str">
        <f>HYPERLINK("J:\Depot - mpkCCD Fractions\Main Web Page\Web Pages_old\proteomic_fractions_linear_files/Yang_linear_img/6754870.jpg","show blot")</f>
        <v>show blot</v>
      </c>
      <c r="G2171" t="s">
        <v>2150</v>
      </c>
      <c r="I2171" s="6">
        <v>4.8480910451623318</v>
      </c>
      <c r="K2171" s="8"/>
    </row>
    <row r="2172" spans="1:11" ht="15" x14ac:dyDescent="0.25">
      <c r="A2172" s="3" t="str">
        <f>HYPERLINK("proteomic_fractions_linear_files/Yang_linear_img/6679641.jpg", "6679641")</f>
        <v>6679641</v>
      </c>
      <c r="C2172" s="3" t="str">
        <f>HYPERLINK("http://www.ncbi.nlm.nih.gov/protein/6679641","Emd")</f>
        <v>Emd</v>
      </c>
      <c r="E2172" t="str">
        <f>HYPERLINK("J:\Depot - mpkCCD Fractions\Main Web Page\Web Pages_old\proteomic_fractions_linear_files/Yang_linear_img/6679641.jpg","show blot")</f>
        <v>show blot</v>
      </c>
      <c r="G2172" t="s">
        <v>2151</v>
      </c>
      <c r="I2172" s="6">
        <v>5.0724798945686782</v>
      </c>
      <c r="K2172" s="8"/>
    </row>
    <row r="2173" spans="1:11" ht="15" x14ac:dyDescent="0.25">
      <c r="A2173" s="3" t="str">
        <f>HYPERLINK("proteomic_fractions_linear_files/Yang_linear_img/7305109.jpg", "7305109")</f>
        <v>7305109</v>
      </c>
      <c r="C2173" s="3" t="str">
        <f>HYPERLINK("http://www.ncbi.nlm.nih.gov/protein/7305109","Emg1")</f>
        <v>Emg1</v>
      </c>
      <c r="E2173" t="str">
        <f>HYPERLINK("J:\Depot - mpkCCD Fractions\Main Web Page\Web Pages_old\proteomic_fractions_linear_files/Yang_linear_img/7305109.jpg","show blot")</f>
        <v>show blot</v>
      </c>
      <c r="G2173" t="s">
        <v>2152</v>
      </c>
      <c r="I2173" s="6">
        <v>3.2101616100567862</v>
      </c>
      <c r="K2173" s="8"/>
    </row>
    <row r="2174" spans="1:11" ht="15" x14ac:dyDescent="0.25">
      <c r="A2174" s="3" t="str">
        <f>HYPERLINK("proteomic_fractions_linear_files/Yang_linear_img/244790233.jpg", "244790233")</f>
        <v>244790233</v>
      </c>
      <c r="C2174" s="3" t="str">
        <f>HYPERLINK("http://www.ncbi.nlm.nih.gov/protein/244790233","Eml2")</f>
        <v>Eml2</v>
      </c>
      <c r="E2174" t="str">
        <f>HYPERLINK("J:\Depot - mpkCCD Fractions\Main Web Page\Web Pages_old\proteomic_fractions_linear_files/Yang_linear_img/244790233.jpg","show blot")</f>
        <v>show blot</v>
      </c>
      <c r="G2174" t="s">
        <v>2153</v>
      </c>
      <c r="I2174" s="6">
        <v>5.1728744081719773</v>
      </c>
      <c r="K2174" s="8"/>
    </row>
    <row r="2175" spans="1:11" ht="15" x14ac:dyDescent="0.25">
      <c r="A2175" s="3" t="str">
        <f>HYPERLINK("proteomic_fractions_linear_files/Yang_linear_img/244790299.jpg", "244790299")</f>
        <v>244790299</v>
      </c>
      <c r="C2175" s="3" t="str">
        <f>HYPERLINK("http://www.ncbi.nlm.nih.gov/protein/244790299","Eml2")</f>
        <v>Eml2</v>
      </c>
      <c r="E2175" t="str">
        <f>HYPERLINK("J:\Depot - mpkCCD Fractions\Main Web Page\Web Pages_old\proteomic_fractions_linear_files/Yang_linear_img/244790299.jpg","show blot")</f>
        <v>show blot</v>
      </c>
      <c r="G2175" t="s">
        <v>2154</v>
      </c>
      <c r="I2175" s="6">
        <v>5.1728744081719773</v>
      </c>
      <c r="K2175" s="8"/>
    </row>
    <row r="2176" spans="1:11" ht="15" x14ac:dyDescent="0.25">
      <c r="A2176" s="3" t="str">
        <f>HYPERLINK("proteomic_fractions_linear_files/Yang_linear_img/21450111.jpg", "21450111")</f>
        <v>21450111</v>
      </c>
      <c r="C2176" s="3" t="str">
        <f>HYPERLINK("http://www.ncbi.nlm.nih.gov/protein/21450111","Eml3")</f>
        <v>Eml3</v>
      </c>
      <c r="E2176" t="str">
        <f>HYPERLINK("J:\Depot - mpkCCD Fractions\Main Web Page\Web Pages_old\proteomic_fractions_linear_files/Yang_linear_img/21450111.jpg","show blot")</f>
        <v>show blot</v>
      </c>
      <c r="G2176" t="s">
        <v>2155</v>
      </c>
      <c r="I2176" s="6">
        <v>4.2496139549245662</v>
      </c>
      <c r="K2176" s="8"/>
    </row>
    <row r="2177" spans="1:11" ht="15" x14ac:dyDescent="0.25">
      <c r="A2177" s="3" t="str">
        <f>HYPERLINK("proteomic_fractions_linear_files/Yang_linear_img/167234433.jpg", "167234433")</f>
        <v>167234433</v>
      </c>
      <c r="C2177" s="3" t="str">
        <f>HYPERLINK("http://www.ncbi.nlm.nih.gov/protein/167234433","Eml4")</f>
        <v>Eml4</v>
      </c>
      <c r="E2177" t="str">
        <f>HYPERLINK("J:\Depot - mpkCCD Fractions\Main Web Page\Web Pages_old\proteomic_fractions_linear_files/Yang_linear_img/167234433.jpg","show blot")</f>
        <v>show blot</v>
      </c>
      <c r="G2177" t="s">
        <v>2156</v>
      </c>
      <c r="I2177" s="6">
        <v>5.5332003047417651</v>
      </c>
      <c r="K2177" s="8"/>
    </row>
    <row r="2178" spans="1:11" ht="15" x14ac:dyDescent="0.25">
      <c r="A2178" s="3" t="str">
        <f>HYPERLINK("proteomic_fractions_linear_files/Yang_linear_img/167234435.jpg", "167234435")</f>
        <v>167234435</v>
      </c>
      <c r="C2178" s="3" t="str">
        <f>HYPERLINK("http://www.ncbi.nlm.nih.gov/protein/167234435","Eml4")</f>
        <v>Eml4</v>
      </c>
      <c r="E2178" t="str">
        <f>HYPERLINK("J:\Depot - mpkCCD Fractions\Main Web Page\Web Pages_old\proteomic_fractions_linear_files/Yang_linear_img/167234435.jpg","show blot")</f>
        <v>show blot</v>
      </c>
      <c r="G2178" t="s">
        <v>2157</v>
      </c>
      <c r="I2178" s="6">
        <v>5.5332003047417651</v>
      </c>
      <c r="K2178" s="8"/>
    </row>
    <row r="2179" spans="1:11" ht="15" x14ac:dyDescent="0.25">
      <c r="A2179" s="3" t="str">
        <f>HYPERLINK("proteomic_fractions_linear_files/Yang_linear_img/167234437.jpg", "167234437")</f>
        <v>167234437</v>
      </c>
      <c r="C2179" s="3" t="str">
        <f>HYPERLINK("http://www.ncbi.nlm.nih.gov/protein/167234437","Eml4")</f>
        <v>Eml4</v>
      </c>
      <c r="E2179" t="str">
        <f>HYPERLINK("J:\Depot - mpkCCD Fractions\Main Web Page\Web Pages_old\proteomic_fractions_linear_files/Yang_linear_img/167234437.jpg","show blot")</f>
        <v>show blot</v>
      </c>
      <c r="G2179" t="s">
        <v>2158</v>
      </c>
      <c r="I2179" s="6">
        <v>5.5332003047417651</v>
      </c>
      <c r="K2179" s="8"/>
    </row>
    <row r="2180" spans="1:11" ht="15" x14ac:dyDescent="0.25">
      <c r="A2180" s="3" t="str">
        <f>HYPERLINK("proteomic_fractions_linear_files/Yang_linear_img/133778926.jpg", "133778926")</f>
        <v>133778926</v>
      </c>
      <c r="C2180" s="3" t="str">
        <f>HYPERLINK("http://www.ncbi.nlm.nih.gov/protein/133778926","Enah")</f>
        <v>Enah</v>
      </c>
      <c r="E2180" t="str">
        <f>HYPERLINK("J:\Depot - mpkCCD Fractions\Main Web Page\Web Pages_old\proteomic_fractions_linear_files/Yang_linear_img/133778926.jpg","show blot")</f>
        <v>show blot</v>
      </c>
      <c r="G2180" t="s">
        <v>2159</v>
      </c>
      <c r="I2180" s="6">
        <v>3.2751336943191025</v>
      </c>
      <c r="K2180" s="8"/>
    </row>
    <row r="2181" spans="1:11" ht="15" x14ac:dyDescent="0.25">
      <c r="A2181" s="3" t="str">
        <f>HYPERLINK("proteomic_fractions_linear_files/Yang_linear_img/133778939.jpg", "133778939")</f>
        <v>133778939</v>
      </c>
      <c r="C2181" s="3" t="str">
        <f>HYPERLINK("http://www.ncbi.nlm.nih.gov/protein/133778939","Enah")</f>
        <v>Enah</v>
      </c>
      <c r="E2181" t="str">
        <f>HYPERLINK("J:\Depot - mpkCCD Fractions\Main Web Page\Web Pages_old\proteomic_fractions_linear_files/Yang_linear_img/133778939.jpg","show blot")</f>
        <v>show blot</v>
      </c>
      <c r="G2181" t="s">
        <v>2160</v>
      </c>
      <c r="I2181" s="6">
        <v>3.2751336943191025</v>
      </c>
      <c r="K2181" s="8"/>
    </row>
    <row r="2182" spans="1:11" ht="15" x14ac:dyDescent="0.25">
      <c r="A2182" s="3" t="str">
        <f>HYPERLINK("proteomic_fractions_linear_files/Yang_linear_img/133778997.jpg", "133778997")</f>
        <v>133778997</v>
      </c>
      <c r="C2182" s="3" t="str">
        <f>HYPERLINK("http://www.ncbi.nlm.nih.gov/protein/133778997","Enah")</f>
        <v>Enah</v>
      </c>
      <c r="E2182" t="str">
        <f>HYPERLINK("J:\Depot - mpkCCD Fractions\Main Web Page\Web Pages_old\proteomic_fractions_linear_files/Yang_linear_img/133778997.jpg","show blot")</f>
        <v>show blot</v>
      </c>
      <c r="G2182" t="s">
        <v>2161</v>
      </c>
      <c r="I2182" s="6">
        <v>3.2751336943191025</v>
      </c>
      <c r="K2182" s="8"/>
    </row>
    <row r="2183" spans="1:11" ht="15" x14ac:dyDescent="0.25">
      <c r="A2183" s="3" t="str">
        <f>HYPERLINK("proteomic_fractions_linear_files/Yang_linear_img/133779002.jpg", "133779002")</f>
        <v>133779002</v>
      </c>
      <c r="C2183" s="3" t="str">
        <f>HYPERLINK("http://www.ncbi.nlm.nih.gov/protein/133779002","Enah")</f>
        <v>Enah</v>
      </c>
      <c r="E2183" t="str">
        <f>HYPERLINK("J:\Depot - mpkCCD Fractions\Main Web Page\Web Pages_old\proteomic_fractions_linear_files/Yang_linear_img/133779002.jpg","show blot")</f>
        <v>show blot</v>
      </c>
      <c r="G2183" t="s">
        <v>2162</v>
      </c>
      <c r="I2183" s="6">
        <v>3.2751336943191025</v>
      </c>
      <c r="K2183" s="8"/>
    </row>
    <row r="2184" spans="1:11" ht="15" x14ac:dyDescent="0.25">
      <c r="A2184" s="3" t="str">
        <f>HYPERLINK("proteomic_fractions_linear_files/Yang_linear_img/160333729.jpg", "160333729")</f>
        <v>160333729</v>
      </c>
      <c r="C2184" s="3" t="str">
        <f>HYPERLINK("http://www.ncbi.nlm.nih.gov/protein/160333729","Endod1")</f>
        <v>Endod1</v>
      </c>
      <c r="E2184" t="str">
        <f>HYPERLINK("J:\Depot - mpkCCD Fractions\Main Web Page\Web Pages_old\proteomic_fractions_linear_files/Yang_linear_img/160333729.jpg","show blot")</f>
        <v>show blot</v>
      </c>
      <c r="G2184" t="s">
        <v>2163</v>
      </c>
      <c r="I2184" s="6">
        <v>4.2344800691050324</v>
      </c>
      <c r="K2184" s="8"/>
    </row>
    <row r="2185" spans="1:11" ht="15" x14ac:dyDescent="0.25">
      <c r="A2185" s="3" t="str">
        <f>HYPERLINK("proteomic_fractions_linear_files/Yang_linear_img/27369816.jpg", "27369816")</f>
        <v>27369816</v>
      </c>
      <c r="C2185" s="3" t="str">
        <f>HYPERLINK("http://www.ncbi.nlm.nih.gov/protein/27369816","Engase")</f>
        <v>Engase</v>
      </c>
      <c r="E2185" t="str">
        <f>HYPERLINK("J:\Depot - mpkCCD Fractions\Main Web Page\Web Pages_old\proteomic_fractions_linear_files/Yang_linear_img/27369816.jpg","show blot")</f>
        <v>show blot</v>
      </c>
      <c r="G2185" t="s">
        <v>2164</v>
      </c>
      <c r="I2185" s="6">
        <v>2.3376396536014132</v>
      </c>
      <c r="K2185" s="8"/>
    </row>
    <row r="2186" spans="1:11" ht="15" x14ac:dyDescent="0.25">
      <c r="A2186" s="3" t="str">
        <f>HYPERLINK("proteomic_fractions_linear_files/Yang_linear_img/158853992;70794816.jpg", "158853992;70794816")</f>
        <v>158853992;70794816</v>
      </c>
      <c r="C2186" s="3" t="str">
        <f>HYPERLINK("http://www.ncbi.nlm.nih.gov/protein/158853992;70794816","Eno1")</f>
        <v>Eno1</v>
      </c>
      <c r="E2186" t="str">
        <f>HYPERLINK("J:\Depot - mpkCCD Fractions\Main Web Page\Web Pages_old\proteomic_fractions_linear_files/Yang_linear_img/158853992;70794816.jpg","show blot")</f>
        <v>show blot</v>
      </c>
      <c r="G2186" t="s">
        <v>2165</v>
      </c>
      <c r="I2186" s="6">
        <v>6.1848847095433559</v>
      </c>
      <c r="K2186" s="8"/>
    </row>
    <row r="2187" spans="1:11" ht="15" x14ac:dyDescent="0.25">
      <c r="A2187" s="3" t="str">
        <f>HYPERLINK("proteomic_fractions_linear_files/Yang_linear_img/7305027.jpg", "7305027")</f>
        <v>7305027</v>
      </c>
      <c r="C2187" s="3" t="str">
        <f>HYPERLINK("http://www.ncbi.nlm.nih.gov/protein/7305027","Eno2")</f>
        <v>Eno2</v>
      </c>
      <c r="E2187" t="str">
        <f>HYPERLINK("J:\Depot - mpkCCD Fractions\Main Web Page\Web Pages_old\proteomic_fractions_linear_files/Yang_linear_img/7305027.jpg","show blot")</f>
        <v>show blot</v>
      </c>
      <c r="G2187" t="s">
        <v>2166</v>
      </c>
      <c r="I2187" s="6">
        <v>6.1476067537382724</v>
      </c>
      <c r="K2187" s="8"/>
    </row>
    <row r="2188" spans="1:11" ht="15" x14ac:dyDescent="0.25">
      <c r="A2188" s="3" t="str">
        <f>HYPERLINK("proteomic_fractions_linear_files/Yang_linear_img/6679651.jpg", "6679651")</f>
        <v>6679651</v>
      </c>
      <c r="C2188" s="3" t="str">
        <f>HYPERLINK("http://www.ncbi.nlm.nih.gov/protein/6679651","Eno3")</f>
        <v>Eno3</v>
      </c>
      <c r="E2188" t="str">
        <f>HYPERLINK("J:\Depot - mpkCCD Fractions\Main Web Page\Web Pages_old\proteomic_fractions_linear_files/Yang_linear_img/6679651.jpg","show blot")</f>
        <v>show blot</v>
      </c>
      <c r="G2188" t="s">
        <v>2167</v>
      </c>
      <c r="I2188" s="6">
        <v>6.503548870815969</v>
      </c>
      <c r="K2188" s="8"/>
    </row>
    <row r="2189" spans="1:11" ht="15" x14ac:dyDescent="0.25">
      <c r="A2189" s="3" t="str">
        <f>HYPERLINK("proteomic_fractions_linear_files/Yang_linear_img/6679651;209862931.jpg", "6679651;209862931")</f>
        <v>6679651;209862931</v>
      </c>
      <c r="C2189" s="3" t="str">
        <f>HYPERLINK("http://www.ncbi.nlm.nih.gov/protein/6679651;209862931","Eno3")</f>
        <v>Eno3</v>
      </c>
      <c r="E2189" t="str">
        <f>HYPERLINK("J:\Depot - mpkCCD Fractions\Main Web Page\Web Pages_old\proteomic_fractions_linear_files/Yang_linear_img/6679651;209862931.jpg","show blot")</f>
        <v>show blot</v>
      </c>
      <c r="G2189" t="s">
        <v>2167</v>
      </c>
      <c r="I2189" s="6">
        <v>6.503548870815969</v>
      </c>
      <c r="K2189" s="8"/>
    </row>
    <row r="2190" spans="1:11" ht="15" x14ac:dyDescent="0.25">
      <c r="A2190" s="3" t="str">
        <f>HYPERLINK("proteomic_fractions_linear_files/Yang_linear_img/209862931;6679651.jpg", "209862931;6679651")</f>
        <v>209862931;6679651</v>
      </c>
      <c r="C2190" s="3" t="str">
        <f>HYPERLINK("http://www.ncbi.nlm.nih.gov/protein/209862931;6679651","Eno3")</f>
        <v>Eno3</v>
      </c>
      <c r="E2190" t="str">
        <f>HYPERLINK("J:\Depot - mpkCCD Fractions\Main Web Page\Web Pages_old\proteomic_fractions_linear_files/Yang_linear_img/209862931;6679651.jpg","show blot")</f>
        <v>show blot</v>
      </c>
      <c r="G2190" t="s">
        <v>2168</v>
      </c>
      <c r="I2190" s="6">
        <v>6.503548870815969</v>
      </c>
      <c r="K2190" s="8"/>
    </row>
    <row r="2191" spans="1:11" ht="15" x14ac:dyDescent="0.25">
      <c r="A2191" s="3" t="str">
        <f>HYPERLINK("proteomic_fractions_linear_files/Yang_linear_img/251823872.jpg", "251823872")</f>
        <v>251823872</v>
      </c>
      <c r="C2191" s="3" t="str">
        <f>HYPERLINK("http://www.ncbi.nlm.nih.gov/protein/251823872","Enoph1")</f>
        <v>Enoph1</v>
      </c>
      <c r="E2191" t="str">
        <f>HYPERLINK("J:\Depot - mpkCCD Fractions\Main Web Page\Web Pages_old\proteomic_fractions_linear_files/Yang_linear_img/251823872.jpg","show blot")</f>
        <v>show blot</v>
      </c>
      <c r="G2191" t="s">
        <v>2169</v>
      </c>
      <c r="I2191" s="6">
        <v>4.5511075289267211</v>
      </c>
      <c r="K2191" s="8"/>
    </row>
    <row r="2192" spans="1:11" ht="15" x14ac:dyDescent="0.25">
      <c r="A2192" s="3" t="str">
        <f>HYPERLINK("proteomic_fractions_linear_files/Yang_linear_img/84872231.jpg", "84872231")</f>
        <v>84872231</v>
      </c>
      <c r="C2192" s="3" t="str">
        <f>HYPERLINK("http://www.ncbi.nlm.nih.gov/protein/84872231","Enpp4")</f>
        <v>Enpp4</v>
      </c>
      <c r="E2192" t="str">
        <f>HYPERLINK("J:\Depot - mpkCCD Fractions\Main Web Page\Web Pages_old\proteomic_fractions_linear_files/Yang_linear_img/84872231.jpg","show blot")</f>
        <v>show blot</v>
      </c>
      <c r="G2192" t="s">
        <v>2170</v>
      </c>
      <c r="I2192" s="6">
        <v>3.2763871829386924</v>
      </c>
      <c r="K2192" s="8"/>
    </row>
    <row r="2193" spans="1:11" ht="15" x14ac:dyDescent="0.25">
      <c r="A2193" s="3" t="str">
        <f>HYPERLINK("proteomic_fractions_linear_files/Yang_linear_img/14030779.jpg", "14030779")</f>
        <v>14030779</v>
      </c>
      <c r="C2193" s="3" t="str">
        <f>HYPERLINK("http://www.ncbi.nlm.nih.gov/protein/14030779","Enpp5")</f>
        <v>Enpp5</v>
      </c>
      <c r="E2193" t="str">
        <f>HYPERLINK("J:\Depot - mpkCCD Fractions\Main Web Page\Web Pages_old\proteomic_fractions_linear_files/Yang_linear_img/14030779.jpg","show blot")</f>
        <v>show blot</v>
      </c>
      <c r="G2193" t="s">
        <v>2171</v>
      </c>
      <c r="I2193" s="6">
        <v>4.6861794594696118</v>
      </c>
      <c r="K2193" s="8"/>
    </row>
    <row r="2194" spans="1:11" ht="15" x14ac:dyDescent="0.25">
      <c r="A2194" s="3" t="str">
        <f>HYPERLINK("proteomic_fractions_linear_files/Yang_linear_img/71892414.jpg", "71892414")</f>
        <v>71892414</v>
      </c>
      <c r="C2194" s="3" t="str">
        <f>HYPERLINK("http://www.ncbi.nlm.nih.gov/protein/71892414","Enpp7")</f>
        <v>Enpp7</v>
      </c>
      <c r="E2194" t="str">
        <f>HYPERLINK("J:\Depot - mpkCCD Fractions\Main Web Page\Web Pages_old\proteomic_fractions_linear_files/Yang_linear_img/71892414.jpg","show blot")</f>
        <v>show blot</v>
      </c>
      <c r="G2194" t="s">
        <v>2172</v>
      </c>
      <c r="I2194" s="6">
        <v>3.0554190675744257</v>
      </c>
      <c r="K2194" s="8"/>
    </row>
    <row r="2195" spans="1:11" ht="15" x14ac:dyDescent="0.25">
      <c r="A2195" s="3" t="str">
        <f>HYPERLINK("proteomic_fractions_linear_files/Yang_linear_img/71061466.jpg", "71061466")</f>
        <v>71061466</v>
      </c>
      <c r="C2195" s="3" t="str">
        <f>HYPERLINK("http://www.ncbi.nlm.nih.gov/protein/71061466","Ensa")</f>
        <v>Ensa</v>
      </c>
      <c r="E2195" t="str">
        <f>HYPERLINK("J:\Depot - mpkCCD Fractions\Main Web Page\Web Pages_old\proteomic_fractions_linear_files/Yang_linear_img/71061466.jpg","show blot")</f>
        <v>show blot</v>
      </c>
      <c r="G2195" t="s">
        <v>2173</v>
      </c>
      <c r="I2195" s="6">
        <v>4.732809304893852</v>
      </c>
      <c r="K2195" s="8"/>
    </row>
    <row r="2196" spans="1:11" ht="15" x14ac:dyDescent="0.25">
      <c r="A2196" s="3" t="str">
        <f>HYPERLINK("proteomic_fractions_linear_files/Yang_linear_img/9624979.jpg", "9624979")</f>
        <v>9624979</v>
      </c>
      <c r="C2196" s="3" t="str">
        <f>HYPERLINK("http://www.ncbi.nlm.nih.gov/protein/9624979","Ensa")</f>
        <v>Ensa</v>
      </c>
      <c r="E2196" t="str">
        <f>HYPERLINK("J:\Depot - mpkCCD Fractions\Main Web Page\Web Pages_old\proteomic_fractions_linear_files/Yang_linear_img/9624979.jpg","show blot")</f>
        <v>show blot</v>
      </c>
      <c r="G2196" t="s">
        <v>2174</v>
      </c>
      <c r="I2196" s="6">
        <v>4.732809304893852</v>
      </c>
      <c r="K2196" s="8"/>
    </row>
    <row r="2197" spans="1:11" ht="15" x14ac:dyDescent="0.25">
      <c r="A2197" s="3" t="str">
        <f>HYPERLINK("proteomic_fractions_linear_files/Yang_linear_img/161484610.jpg", "161484610")</f>
        <v>161484610</v>
      </c>
      <c r="C2197" s="3" t="str">
        <f>HYPERLINK("http://www.ncbi.nlm.nih.gov/protein/161484610","Entpd2")</f>
        <v>Entpd2</v>
      </c>
      <c r="E2197" t="str">
        <f>HYPERLINK("J:\Depot - mpkCCD Fractions\Main Web Page\Web Pages_old\proteomic_fractions_linear_files/Yang_linear_img/161484610.jpg","show blot")</f>
        <v>show blot</v>
      </c>
      <c r="G2197" t="s">
        <v>2175</v>
      </c>
      <c r="I2197" s="6">
        <v>4.2288489432108136</v>
      </c>
      <c r="K2197" s="8"/>
    </row>
    <row r="2198" spans="1:11" ht="15" x14ac:dyDescent="0.25">
      <c r="A2198" s="3" t="str">
        <f>HYPERLINK("proteomic_fractions_linear_files/Yang_linear_img/71061460.jpg", "71061460")</f>
        <v>71061460</v>
      </c>
      <c r="C2198" s="3" t="str">
        <f>HYPERLINK("http://www.ncbi.nlm.nih.gov/protein/71061460","Entpd5")</f>
        <v>Entpd5</v>
      </c>
      <c r="E2198" t="str">
        <f>HYPERLINK("J:\Depot - mpkCCD Fractions\Main Web Page\Web Pages_old\proteomic_fractions_linear_files/Yang_linear_img/71061460.jpg","show blot")</f>
        <v>show blot</v>
      </c>
      <c r="G2198" t="s">
        <v>2176</v>
      </c>
      <c r="I2198" s="6">
        <v>3.4724580370269269</v>
      </c>
      <c r="K2198" s="8"/>
    </row>
    <row r="2199" spans="1:11" ht="15" x14ac:dyDescent="0.25">
      <c r="A2199" s="3" t="str">
        <f>HYPERLINK("proteomic_fractions_linear_files/Yang_linear_img/71061462.jpg", "71061462")</f>
        <v>71061462</v>
      </c>
      <c r="C2199" s="3" t="str">
        <f>HYPERLINK("http://www.ncbi.nlm.nih.gov/protein/71061462","Entpd5")</f>
        <v>Entpd5</v>
      </c>
      <c r="E2199" t="str">
        <f>HYPERLINK("J:\Depot - mpkCCD Fractions\Main Web Page\Web Pages_old\proteomic_fractions_linear_files/Yang_linear_img/71061462.jpg","show blot")</f>
        <v>show blot</v>
      </c>
      <c r="G2199" t="s">
        <v>2177</v>
      </c>
      <c r="I2199" s="6">
        <v>3.4724580370269269</v>
      </c>
      <c r="K2199" s="8"/>
    </row>
    <row r="2200" spans="1:11" ht="15" x14ac:dyDescent="0.25">
      <c r="A2200" s="3" t="str">
        <f>HYPERLINK("proteomic_fractions_linear_files/Yang_linear_img/30023855.jpg", "30023855")</f>
        <v>30023855</v>
      </c>
      <c r="C2200" s="3" t="str">
        <f>HYPERLINK("http://www.ncbi.nlm.nih.gov/protein/30023855","Eny2")</f>
        <v>Eny2</v>
      </c>
      <c r="E2200" t="str">
        <f>HYPERLINK("J:\Depot - mpkCCD Fractions\Main Web Page\Web Pages_old\proteomic_fractions_linear_files/Yang_linear_img/30023855.jpg","show blot")</f>
        <v>show blot</v>
      </c>
      <c r="G2200" t="s">
        <v>2178</v>
      </c>
      <c r="I2200" s="6">
        <v>2.7795964912578244</v>
      </c>
      <c r="K2200" s="8"/>
    </row>
    <row r="2201" spans="1:11" ht="15" x14ac:dyDescent="0.25">
      <c r="A2201" s="3" t="str">
        <f>HYPERLINK("proteomic_fractions_linear_files/Yang_linear_img/94421034.jpg", "94421034")</f>
        <v>94421034</v>
      </c>
      <c r="C2201" s="3" t="str">
        <f>HYPERLINK("http://www.ncbi.nlm.nih.gov/protein/94421034","Ep300")</f>
        <v>Ep300</v>
      </c>
      <c r="E2201" t="str">
        <f>HYPERLINK("J:\Depot - mpkCCD Fractions\Main Web Page\Web Pages_old\proteomic_fractions_linear_files/Yang_linear_img/94421034.jpg","show blot")</f>
        <v>show blot</v>
      </c>
      <c r="G2201" t="s">
        <v>2179</v>
      </c>
      <c r="I2201" s="6">
        <v>3.1742609220497813</v>
      </c>
      <c r="K2201" s="8"/>
    </row>
    <row r="2202" spans="1:11" ht="15" x14ac:dyDescent="0.25">
      <c r="A2202" s="3" t="str">
        <f>HYPERLINK("proteomic_fractions_linear_files/Yang_linear_img/190684669.jpg", "190684669")</f>
        <v>190684669</v>
      </c>
      <c r="C2202" s="3" t="str">
        <f>HYPERLINK("http://www.ncbi.nlm.nih.gov/protein/190684669","Epb4.1")</f>
        <v>Epb4.1</v>
      </c>
      <c r="E2202" t="str">
        <f>HYPERLINK("J:\Depot - mpkCCD Fractions\Main Web Page\Web Pages_old\proteomic_fractions_linear_files/Yang_linear_img/190684669.jpg","show blot")</f>
        <v>show blot</v>
      </c>
      <c r="G2202" t="s">
        <v>2180</v>
      </c>
      <c r="I2202" s="6">
        <v>3.9919999372434476</v>
      </c>
      <c r="K2202" s="8"/>
    </row>
    <row r="2203" spans="1:11" ht="15" x14ac:dyDescent="0.25">
      <c r="A2203" s="3" t="str">
        <f>HYPERLINK("proteomic_fractions_linear_files/Yang_linear_img/190684673.jpg", "190684673")</f>
        <v>190684673</v>
      </c>
      <c r="C2203" s="3" t="str">
        <f>HYPERLINK("http://www.ncbi.nlm.nih.gov/protein/190684673","Epb4.1")</f>
        <v>Epb4.1</v>
      </c>
      <c r="E2203" t="str">
        <f>HYPERLINK("J:\Depot - mpkCCD Fractions\Main Web Page\Web Pages_old\proteomic_fractions_linear_files/Yang_linear_img/190684673.jpg","show blot")</f>
        <v>show blot</v>
      </c>
      <c r="G2203" t="s">
        <v>2181</v>
      </c>
      <c r="I2203" s="6">
        <v>3.9919999372434476</v>
      </c>
      <c r="K2203" s="8"/>
    </row>
    <row r="2204" spans="1:11" ht="15" x14ac:dyDescent="0.25">
      <c r="A2204" s="3" t="str">
        <f>HYPERLINK("proteomic_fractions_linear_files/Yang_linear_img/190881478.jpg", "190881478")</f>
        <v>190881478</v>
      </c>
      <c r="C2204" s="3" t="str">
        <f>HYPERLINK("http://www.ncbi.nlm.nih.gov/protein/190881478","Epb4.1")</f>
        <v>Epb4.1</v>
      </c>
      <c r="E2204" t="str">
        <f>HYPERLINK("J:\Depot - mpkCCD Fractions\Main Web Page\Web Pages_old\proteomic_fractions_linear_files/Yang_linear_img/190881478.jpg","show blot")</f>
        <v>show blot</v>
      </c>
      <c r="G2204" t="s">
        <v>2182</v>
      </c>
      <c r="I2204" s="6">
        <v>3.9919999372434476</v>
      </c>
      <c r="K2204" s="8"/>
    </row>
    <row r="2205" spans="1:11" ht="15" x14ac:dyDescent="0.25">
      <c r="A2205" s="3" t="str">
        <f>HYPERLINK("proteomic_fractions_linear_files/Yang_linear_img/54873604.jpg", "54873604")</f>
        <v>54873604</v>
      </c>
      <c r="C2205" s="3" t="str">
        <f>HYPERLINK("http://www.ncbi.nlm.nih.gov/protein/54873604","Epb4.1l1")</f>
        <v>Epb4.1l1</v>
      </c>
      <c r="E2205" t="str">
        <f>HYPERLINK("J:\Depot - mpkCCD Fractions\Main Web Page\Web Pages_old\proteomic_fractions_linear_files/Yang_linear_img/54873604.jpg","show blot")</f>
        <v>show blot</v>
      </c>
      <c r="G2205" t="s">
        <v>2183</v>
      </c>
      <c r="I2205" s="6">
        <v>4.8272040073612708</v>
      </c>
      <c r="K2205" s="8"/>
    </row>
    <row r="2206" spans="1:11" ht="15" x14ac:dyDescent="0.25">
      <c r="A2206" s="3" t="str">
        <f>HYPERLINK("proteomic_fractions_linear_files/Yang_linear_img/7305029.jpg", "7305029")</f>
        <v>7305029</v>
      </c>
      <c r="C2206" s="3" t="str">
        <f>HYPERLINK("http://www.ncbi.nlm.nih.gov/protein/7305029","Epb4.1l1")</f>
        <v>Epb4.1l1</v>
      </c>
      <c r="E2206" t="str">
        <f>HYPERLINK("J:\Depot - mpkCCD Fractions\Main Web Page\Web Pages_old\proteomic_fractions_linear_files/Yang_linear_img/7305029.jpg","show blot")</f>
        <v>show blot</v>
      </c>
      <c r="G2206" t="s">
        <v>2184</v>
      </c>
      <c r="I2206" s="6">
        <v>4.8272040073612708</v>
      </c>
      <c r="K2206" s="8"/>
    </row>
    <row r="2207" spans="1:11" ht="15" x14ac:dyDescent="0.25">
      <c r="A2207" s="3" t="str">
        <f>HYPERLINK("proteomic_fractions_linear_files/Yang_linear_img/312922373.jpg", "312922373")</f>
        <v>312922373</v>
      </c>
      <c r="C2207" s="3" t="str">
        <f>HYPERLINK("http://www.ncbi.nlm.nih.gov/protein/312922373","Epb4.1l2")</f>
        <v>Epb4.1l2</v>
      </c>
      <c r="E2207" t="str">
        <f>HYPERLINK("J:\Depot - mpkCCD Fractions\Main Web Page\Web Pages_old\proteomic_fractions_linear_files/Yang_linear_img/312922373.jpg","show blot")</f>
        <v>show blot</v>
      </c>
      <c r="G2207" t="s">
        <v>2185</v>
      </c>
      <c r="I2207" s="6">
        <v>4.66407362043274</v>
      </c>
      <c r="K2207" s="8"/>
    </row>
    <row r="2208" spans="1:11" ht="15" x14ac:dyDescent="0.25">
      <c r="A2208" s="3" t="str">
        <f>HYPERLINK("proteomic_fractions_linear_files/Yang_linear_img/7305031.jpg", "7305031")</f>
        <v>7305031</v>
      </c>
      <c r="C2208" s="3" t="str">
        <f>HYPERLINK("http://www.ncbi.nlm.nih.gov/protein/7305031","Epb4.1l3")</f>
        <v>Epb4.1l3</v>
      </c>
      <c r="E2208" t="str">
        <f>HYPERLINK("J:\Depot - mpkCCD Fractions\Main Web Page\Web Pages_old\proteomic_fractions_linear_files/Yang_linear_img/7305031.jpg","show blot")</f>
        <v>show blot</v>
      </c>
      <c r="G2208" t="s">
        <v>2186</v>
      </c>
      <c r="I2208" s="6">
        <v>3.6493312547865999</v>
      </c>
      <c r="K2208" s="8"/>
    </row>
    <row r="2209" spans="1:11" ht="15" x14ac:dyDescent="0.25">
      <c r="A2209" s="3" t="str">
        <f>HYPERLINK("proteomic_fractions_linear_files/Yang_linear_img/87042272.jpg", "87042272")</f>
        <v>87042272</v>
      </c>
      <c r="C2209" s="3" t="str">
        <f>HYPERLINK("http://www.ncbi.nlm.nih.gov/protein/87042272","Epb4.1l4a")</f>
        <v>Epb4.1l4a</v>
      </c>
      <c r="E2209" t="str">
        <f>HYPERLINK("J:\Depot - mpkCCD Fractions\Main Web Page\Web Pages_old\proteomic_fractions_linear_files/Yang_linear_img/87042272.jpg","show blot")</f>
        <v>show blot</v>
      </c>
      <c r="G2209" t="s">
        <v>2187</v>
      </c>
      <c r="I2209" s="6">
        <v>2.6356899155735447</v>
      </c>
      <c r="K2209" s="8"/>
    </row>
    <row r="2210" spans="1:11" ht="15" x14ac:dyDescent="0.25">
      <c r="A2210" s="3" t="str">
        <f>HYPERLINK("proteomic_fractions_linear_files/Yang_linear_img/169234799.jpg", "169234799")</f>
        <v>169234799</v>
      </c>
      <c r="C2210" s="3" t="str">
        <f>HYPERLINK("http://www.ncbi.nlm.nih.gov/protein/169234799","Epb4.1l4b")</f>
        <v>Epb4.1l4b</v>
      </c>
      <c r="E2210" t="str">
        <f>HYPERLINK("J:\Depot - mpkCCD Fractions\Main Web Page\Web Pages_old\proteomic_fractions_linear_files/Yang_linear_img/169234799.jpg","show blot")</f>
        <v>show blot</v>
      </c>
      <c r="G2210" t="s">
        <v>2188</v>
      </c>
      <c r="I2210" s="6">
        <v>5.142700447868652</v>
      </c>
      <c r="K2210" s="8"/>
    </row>
    <row r="2211" spans="1:11" ht="15" x14ac:dyDescent="0.25">
      <c r="A2211" s="3" t="str">
        <f>HYPERLINK("proteomic_fractions_linear_files/Yang_linear_img/164663872.jpg", "164663872")</f>
        <v>164663872</v>
      </c>
      <c r="C2211" s="3" t="str">
        <f>HYPERLINK("http://www.ncbi.nlm.nih.gov/protein/164663872","Epb4.1l5")</f>
        <v>Epb4.1l5</v>
      </c>
      <c r="E2211" t="str">
        <f>HYPERLINK("J:\Depot - mpkCCD Fractions\Main Web Page\Web Pages_old\proteomic_fractions_linear_files/Yang_linear_img/164663872.jpg","show blot")</f>
        <v>show blot</v>
      </c>
      <c r="G2211" t="s">
        <v>2189</v>
      </c>
      <c r="I2211" s="6">
        <v>5.6303522569895463</v>
      </c>
      <c r="K2211" s="8"/>
    </row>
    <row r="2212" spans="1:11" ht="15" x14ac:dyDescent="0.25">
      <c r="A2212" s="3" t="str">
        <f>HYPERLINK("proteomic_fractions_linear_files/Yang_linear_img/30841014.jpg", "30841014")</f>
        <v>30841014</v>
      </c>
      <c r="C2212" s="3" t="str">
        <f>HYPERLINK("http://www.ncbi.nlm.nih.gov/protein/30841014","Epb4.1l5")</f>
        <v>Epb4.1l5</v>
      </c>
      <c r="E2212" t="str">
        <f>HYPERLINK("J:\Depot - mpkCCD Fractions\Main Web Page\Web Pages_old\proteomic_fractions_linear_files/Yang_linear_img/30841014.jpg","show blot")</f>
        <v>show blot</v>
      </c>
      <c r="G2212" t="s">
        <v>2190</v>
      </c>
      <c r="I2212" s="6">
        <v>5.6303522569895463</v>
      </c>
      <c r="K2212" s="8"/>
    </row>
    <row r="2213" spans="1:11" ht="15" x14ac:dyDescent="0.25">
      <c r="A2213" s="3" t="str">
        <f>HYPERLINK("proteomic_fractions_linear_files/Yang_linear_img/112293275.jpg", "112293275")</f>
        <v>112293275</v>
      </c>
      <c r="C2213" s="3" t="str">
        <f>HYPERLINK("http://www.ncbi.nlm.nih.gov/protein/112293275","Epcam")</f>
        <v>Epcam</v>
      </c>
      <c r="E2213" t="str">
        <f>HYPERLINK("J:\Depot - mpkCCD Fractions\Main Web Page\Web Pages_old\proteomic_fractions_linear_files/Yang_linear_img/112293275.jpg","show blot")</f>
        <v>show blot</v>
      </c>
      <c r="G2213" t="s">
        <v>2191</v>
      </c>
      <c r="I2213" s="6">
        <v>6.0821657882276883</v>
      </c>
      <c r="K2213" s="8"/>
    </row>
    <row r="2214" spans="1:11" ht="15" x14ac:dyDescent="0.25">
      <c r="A2214" s="3" t="str">
        <f>HYPERLINK("proteomic_fractions_linear_files/Yang_linear_img/282165729.jpg", "282165729")</f>
        <v>282165729</v>
      </c>
      <c r="C2214" s="3" t="str">
        <f>HYPERLINK("http://www.ncbi.nlm.nih.gov/protein/282165729","Epdr1")</f>
        <v>Epdr1</v>
      </c>
      <c r="E2214" t="str">
        <f>HYPERLINK("J:\Depot - mpkCCD Fractions\Main Web Page\Web Pages_old\proteomic_fractions_linear_files/Yang_linear_img/282165729.jpg","show blot")</f>
        <v>show blot</v>
      </c>
      <c r="G2214" t="s">
        <v>2192</v>
      </c>
      <c r="I2214" s="6">
        <v>3.4835585015263115</v>
      </c>
      <c r="K2214" s="8"/>
    </row>
    <row r="2215" spans="1:11" ht="15" x14ac:dyDescent="0.25">
      <c r="A2215" s="3" t="str">
        <f>HYPERLINK("proteomic_fractions_linear_files/Yang_linear_img/32484983.jpg", "32484983")</f>
        <v>32484983</v>
      </c>
      <c r="C2215" s="3" t="str">
        <f>HYPERLINK("http://www.ncbi.nlm.nih.gov/protein/32484983","Epha2")</f>
        <v>Epha2</v>
      </c>
      <c r="E2215" t="str">
        <f>HYPERLINK("J:\Depot - mpkCCD Fractions\Main Web Page\Web Pages_old\proteomic_fractions_linear_files/Yang_linear_img/32484983.jpg","show blot")</f>
        <v>show blot</v>
      </c>
      <c r="G2215" t="s">
        <v>2193</v>
      </c>
      <c r="I2215" s="6">
        <v>3.2147453696983841</v>
      </c>
      <c r="K2215" s="8"/>
    </row>
    <row r="2216" spans="1:11" ht="15" x14ac:dyDescent="0.25">
      <c r="A2216" s="3" t="str">
        <f>HYPERLINK("proteomic_fractions_linear_files/Yang_linear_img/34328113.jpg", "34328113")</f>
        <v>34328113</v>
      </c>
      <c r="C2216" s="3" t="str">
        <f>HYPERLINK("http://www.ncbi.nlm.nih.gov/protein/34328113","Epha4")</f>
        <v>Epha4</v>
      </c>
      <c r="E2216" t="str">
        <f>HYPERLINK("J:\Depot - mpkCCD Fractions\Main Web Page\Web Pages_old\proteomic_fractions_linear_files/Yang_linear_img/34328113.jpg","show blot")</f>
        <v>show blot</v>
      </c>
      <c r="G2216" t="s">
        <v>2194</v>
      </c>
      <c r="I2216" s="6">
        <v>3.1754489544920865</v>
      </c>
      <c r="K2216" s="8"/>
    </row>
    <row r="2217" spans="1:11" ht="15" x14ac:dyDescent="0.25">
      <c r="A2217" s="3" t="str">
        <f>HYPERLINK("proteomic_fractions_linear_files/Yang_linear_img/145312274.jpg", "145312274")</f>
        <v>145312274</v>
      </c>
      <c r="C2217" s="3" t="str">
        <f>HYPERLINK("http://www.ncbi.nlm.nih.gov/protein/145312274","Epha6")</f>
        <v>Epha6</v>
      </c>
      <c r="E2217" t="str">
        <f>HYPERLINK("J:\Depot - mpkCCD Fractions\Main Web Page\Web Pages_old\proteomic_fractions_linear_files/Yang_linear_img/145312274.jpg","show blot")</f>
        <v>show blot</v>
      </c>
      <c r="G2217" t="s">
        <v>2195</v>
      </c>
      <c r="I2217" s="6">
        <v>3.1085021648614735</v>
      </c>
      <c r="K2217" s="8"/>
    </row>
    <row r="2218" spans="1:11" ht="15" x14ac:dyDescent="0.25">
      <c r="A2218" s="3" t="str">
        <f>HYPERLINK("proteomic_fractions_linear_files/Yang_linear_img/171541811.jpg", "171541811")</f>
        <v>171541811</v>
      </c>
      <c r="C2218" s="3" t="str">
        <f>HYPERLINK("http://www.ncbi.nlm.nih.gov/protein/171541811","Epha7")</f>
        <v>Epha7</v>
      </c>
      <c r="E2218" t="str">
        <f>HYPERLINK("J:\Depot - mpkCCD Fractions\Main Web Page\Web Pages_old\proteomic_fractions_linear_files/Yang_linear_img/171541811.jpg","show blot")</f>
        <v>show blot</v>
      </c>
      <c r="G2218" t="s">
        <v>2196</v>
      </c>
      <c r="I2218" s="6">
        <v>3.1714462120384126</v>
      </c>
      <c r="K2218" s="8"/>
    </row>
    <row r="2219" spans="1:11" ht="15" x14ac:dyDescent="0.25">
      <c r="A2219" s="3" t="str">
        <f>HYPERLINK("proteomic_fractions_linear_files/Yang_linear_img/269973846.jpg", "269973846")</f>
        <v>269973846</v>
      </c>
      <c r="C2219" s="3" t="str">
        <f>HYPERLINK("http://www.ncbi.nlm.nih.gov/protein/269973846","Ephb1")</f>
        <v>Ephb1</v>
      </c>
      <c r="E2219" t="str">
        <f>HYPERLINK("J:\Depot - mpkCCD Fractions\Main Web Page\Web Pages_old\proteomic_fractions_linear_files/Yang_linear_img/269973846.jpg","show blot")</f>
        <v>show blot</v>
      </c>
      <c r="G2219" t="s">
        <v>2197</v>
      </c>
      <c r="I2219" s="6">
        <v>3.2115866404291742</v>
      </c>
      <c r="K2219" s="8"/>
    </row>
    <row r="2220" spans="1:11" ht="15" x14ac:dyDescent="0.25">
      <c r="A2220" s="3" t="str">
        <f>HYPERLINK("proteomic_fractions_linear_files/Yang_linear_img/269973848.jpg", "269973848")</f>
        <v>269973848</v>
      </c>
      <c r="C2220" s="3" t="str">
        <f>HYPERLINK("http://www.ncbi.nlm.nih.gov/protein/269973848","Ephb1")</f>
        <v>Ephb1</v>
      </c>
      <c r="E2220" t="str">
        <f>HYPERLINK("J:\Depot - mpkCCD Fractions\Main Web Page\Web Pages_old\proteomic_fractions_linear_files/Yang_linear_img/269973848.jpg","show blot")</f>
        <v>show blot</v>
      </c>
      <c r="G2220" t="s">
        <v>2198</v>
      </c>
      <c r="I2220" s="6">
        <v>3.2115866404291742</v>
      </c>
      <c r="K2220" s="8"/>
    </row>
    <row r="2221" spans="1:11" ht="15" x14ac:dyDescent="0.25">
      <c r="A2221" s="3" t="str">
        <f>HYPERLINK("proteomic_fractions_linear_files/Yang_linear_img/47777351.jpg", "47777351")</f>
        <v>47777351</v>
      </c>
      <c r="C2221" s="3" t="str">
        <f>HYPERLINK("http://www.ncbi.nlm.nih.gov/protein/47777351","Ephb2")</f>
        <v>Ephb2</v>
      </c>
      <c r="E2221" t="str">
        <f>HYPERLINK("J:\Depot - mpkCCD Fractions\Main Web Page\Web Pages_old\proteomic_fractions_linear_files/Yang_linear_img/47777351.jpg","show blot")</f>
        <v>show blot</v>
      </c>
      <c r="G2221" t="s">
        <v>2199</v>
      </c>
      <c r="I2221" s="6">
        <v>3.7308726397187355</v>
      </c>
      <c r="K2221" s="8"/>
    </row>
    <row r="2222" spans="1:11" ht="15" x14ac:dyDescent="0.25">
      <c r="A2222" s="3" t="str">
        <f>HYPERLINK("proteomic_fractions_linear_files/Yang_linear_img/33859548.jpg", "33859548")</f>
        <v>33859548</v>
      </c>
      <c r="C2222" s="3" t="str">
        <f>HYPERLINK("http://www.ncbi.nlm.nih.gov/protein/33859548","Ephb3")</f>
        <v>Ephb3</v>
      </c>
      <c r="E2222" t="str">
        <f>HYPERLINK("J:\Depot - mpkCCD Fractions\Main Web Page\Web Pages_old\proteomic_fractions_linear_files/Yang_linear_img/33859548.jpg","show blot")</f>
        <v>show blot</v>
      </c>
      <c r="G2222" t="s">
        <v>2200</v>
      </c>
      <c r="I2222" s="6">
        <v>3.2114189482580442</v>
      </c>
      <c r="K2222" s="8"/>
    </row>
    <row r="2223" spans="1:11" ht="15" x14ac:dyDescent="0.25">
      <c r="A2223" s="3" t="str">
        <f>HYPERLINK("proteomic_fractions_linear_files/Yang_linear_img/227330573.jpg", "227330573")</f>
        <v>227330573</v>
      </c>
      <c r="C2223" s="3" t="str">
        <f>HYPERLINK("http://www.ncbi.nlm.nih.gov/protein/227330573","Ephb4")</f>
        <v>Ephb4</v>
      </c>
      <c r="E2223" t="str">
        <f>HYPERLINK("J:\Depot - mpkCCD Fractions\Main Web Page\Web Pages_old\proteomic_fractions_linear_files/Yang_linear_img/227330573.jpg","show blot")</f>
        <v>show blot</v>
      </c>
      <c r="G2223" t="s">
        <v>2201</v>
      </c>
      <c r="I2223" s="6">
        <v>3.25360198759968</v>
      </c>
      <c r="K2223" s="8"/>
    </row>
    <row r="2224" spans="1:11" ht="15" x14ac:dyDescent="0.25">
      <c r="A2224" s="3" t="str">
        <f>HYPERLINK("proteomic_fractions_linear_files/Yang_linear_img/227330575.jpg", "227330575")</f>
        <v>227330575</v>
      </c>
      <c r="C2224" s="3" t="str">
        <f>HYPERLINK("http://www.ncbi.nlm.nih.gov/protein/227330575","Ephb4")</f>
        <v>Ephb4</v>
      </c>
      <c r="E2224" t="str">
        <f>HYPERLINK("J:\Depot - mpkCCD Fractions\Main Web Page\Web Pages_old\proteomic_fractions_linear_files/Yang_linear_img/227330575.jpg","show blot")</f>
        <v>show blot</v>
      </c>
      <c r="G2224" t="s">
        <v>2202</v>
      </c>
      <c r="I2224" s="6">
        <v>3.25360198759968</v>
      </c>
      <c r="K2224" s="8"/>
    </row>
    <row r="2225" spans="1:11" ht="15" x14ac:dyDescent="0.25">
      <c r="A2225" s="3" t="str">
        <f>HYPERLINK("proteomic_fractions_linear_files/Yang_linear_img/226437667.jpg", "226437667")</f>
        <v>226437667</v>
      </c>
      <c r="C2225" s="3" t="str">
        <f>HYPERLINK("http://www.ncbi.nlm.nih.gov/protein/226437667","Ephb6")</f>
        <v>Ephb6</v>
      </c>
      <c r="E2225" t="str">
        <f>HYPERLINK("J:\Depot - mpkCCD Fractions\Main Web Page\Web Pages_old\proteomic_fractions_linear_files/Yang_linear_img/226437667.jpg","show blot")</f>
        <v>show blot</v>
      </c>
      <c r="G2225" t="s">
        <v>2203</v>
      </c>
      <c r="I2225" s="6">
        <v>2.31361276691102</v>
      </c>
      <c r="K2225" s="8"/>
    </row>
    <row r="2226" spans="1:11" ht="15" x14ac:dyDescent="0.25">
      <c r="A2226" s="3" t="str">
        <f>HYPERLINK("proteomic_fractions_linear_files/Yang_linear_img/6753762.jpg", "6753762")</f>
        <v>6753762</v>
      </c>
      <c r="C2226" s="3" t="str">
        <f>HYPERLINK("http://www.ncbi.nlm.nih.gov/protein/6753762","Ephx1")</f>
        <v>Ephx1</v>
      </c>
      <c r="E2226" t="str">
        <f>HYPERLINK("J:\Depot - mpkCCD Fractions\Main Web Page\Web Pages_old\proteomic_fractions_linear_files/Yang_linear_img/6753762.jpg","show blot")</f>
        <v>show blot</v>
      </c>
      <c r="G2226" t="s">
        <v>2204</v>
      </c>
      <c r="I2226" s="6">
        <v>5.4327872467745228</v>
      </c>
      <c r="K2226" s="8"/>
    </row>
    <row r="2227" spans="1:11" ht="15" x14ac:dyDescent="0.25">
      <c r="A2227" s="3" t="str">
        <f>HYPERLINK("proteomic_fractions_linear_files/Yang_linear_img/30424918.jpg", "30424918")</f>
        <v>30424918</v>
      </c>
      <c r="C2227" s="3" t="str">
        <f>HYPERLINK("http://www.ncbi.nlm.nih.gov/protein/30424918","Epm2aip1")</f>
        <v>Epm2aip1</v>
      </c>
      <c r="E2227" t="str">
        <f>HYPERLINK("J:\Depot - mpkCCD Fractions\Main Web Page\Web Pages_old\proteomic_fractions_linear_files/Yang_linear_img/30424918.jpg","show blot")</f>
        <v>show blot</v>
      </c>
      <c r="G2227" t="s">
        <v>2205</v>
      </c>
      <c r="I2227" s="6">
        <v>4.4457954382932527</v>
      </c>
      <c r="K2227" s="8"/>
    </row>
    <row r="2228" spans="1:11" ht="15" x14ac:dyDescent="0.25">
      <c r="A2228" s="3" t="str">
        <f>HYPERLINK("proteomic_fractions_linear_files/Yang_linear_img/356995862;46195711.jpg", "356995862;46195711")</f>
        <v>356995862;46195711</v>
      </c>
      <c r="C2228" s="3" t="str">
        <f>HYPERLINK("http://www.ncbi.nlm.nih.gov/protein/356995862;46195711","Epn1")</f>
        <v>Epn1</v>
      </c>
      <c r="E2228" t="str">
        <f>HYPERLINK("J:\Depot - mpkCCD Fractions\Main Web Page\Web Pages_old\proteomic_fractions_linear_files/Yang_linear_img/356995862;46195711.jpg","show blot")</f>
        <v>show blot</v>
      </c>
      <c r="G2228" t="s">
        <v>2206</v>
      </c>
      <c r="I2228" s="6">
        <v>3.658266979374821</v>
      </c>
      <c r="K2228" s="8"/>
    </row>
    <row r="2229" spans="1:11" ht="15" x14ac:dyDescent="0.25">
      <c r="A2229" s="3" t="str">
        <f>HYPERLINK("proteomic_fractions_linear_files/Yang_linear_img/46195711.jpg", "46195711")</f>
        <v>46195711</v>
      </c>
      <c r="C2229" s="3" t="str">
        <f>HYPERLINK("http://www.ncbi.nlm.nih.gov/protein/46195711","Epn1")</f>
        <v>Epn1</v>
      </c>
      <c r="E2229" t="str">
        <f>HYPERLINK("J:\Depot - mpkCCD Fractions\Main Web Page\Web Pages_old\proteomic_fractions_linear_files/Yang_linear_img/46195711.jpg","show blot")</f>
        <v>show blot</v>
      </c>
      <c r="G2229" t="s">
        <v>2206</v>
      </c>
      <c r="I2229" s="6">
        <v>3.658266979374821</v>
      </c>
      <c r="K2229" s="8"/>
    </row>
    <row r="2230" spans="1:11" ht="15" x14ac:dyDescent="0.25">
      <c r="A2230" s="3" t="str">
        <f>HYPERLINK("proteomic_fractions_linear_files/Yang_linear_img/33468893.jpg", "33468893")</f>
        <v>33468893</v>
      </c>
      <c r="C2230" s="3" t="str">
        <f>HYPERLINK("http://www.ncbi.nlm.nih.gov/protein/33468893","Epn2")</f>
        <v>Epn2</v>
      </c>
      <c r="E2230" t="str">
        <f>HYPERLINK("J:\Depot - mpkCCD Fractions\Main Web Page\Web Pages_old\proteomic_fractions_linear_files/Yang_linear_img/33468893.jpg","show blot")</f>
        <v>show blot</v>
      </c>
      <c r="G2230" t="s">
        <v>2207</v>
      </c>
      <c r="I2230" s="6">
        <v>3.525927228182216</v>
      </c>
      <c r="K2230" s="8"/>
    </row>
    <row r="2231" spans="1:11" ht="15" x14ac:dyDescent="0.25">
      <c r="A2231" s="3" t="str">
        <f>HYPERLINK("proteomic_fractions_linear_files/Yang_linear_img/356582234.jpg", "356582234")</f>
        <v>356582234</v>
      </c>
      <c r="C2231" s="3" t="str">
        <f>HYPERLINK("http://www.ncbi.nlm.nih.gov/protein/356582234","Epn2")</f>
        <v>Epn2</v>
      </c>
      <c r="E2231" t="str">
        <f>HYPERLINK("J:\Depot - mpkCCD Fractions\Main Web Page\Web Pages_old\proteomic_fractions_linear_files/Yang_linear_img/356582234.jpg","show blot")</f>
        <v>show blot</v>
      </c>
      <c r="G2231" t="s">
        <v>2208</v>
      </c>
      <c r="I2231" s="6">
        <v>3.525927228182216</v>
      </c>
      <c r="K2231" s="8"/>
    </row>
    <row r="2232" spans="1:11" ht="15" x14ac:dyDescent="0.25">
      <c r="A2232" s="3" t="str">
        <f>HYPERLINK("proteomic_fractions_linear_files/Yang_linear_img/356582238.jpg", "356582238")</f>
        <v>356582238</v>
      </c>
      <c r="C2232" s="3" t="str">
        <f>HYPERLINK("http://www.ncbi.nlm.nih.gov/protein/356582238","Epn2")</f>
        <v>Epn2</v>
      </c>
      <c r="E2232" t="str">
        <f>HYPERLINK("J:\Depot - mpkCCD Fractions\Main Web Page\Web Pages_old\proteomic_fractions_linear_files/Yang_linear_img/356582238.jpg","show blot")</f>
        <v>show blot</v>
      </c>
      <c r="G2232" t="s">
        <v>2209</v>
      </c>
      <c r="I2232" s="6">
        <v>3.525927228182216</v>
      </c>
      <c r="K2232" s="8"/>
    </row>
    <row r="2233" spans="1:11" ht="15" x14ac:dyDescent="0.25">
      <c r="A2233" s="3" t="str">
        <f>HYPERLINK("proteomic_fractions_linear_files/Yang_linear_img/30794400.jpg", "30794400")</f>
        <v>30794400</v>
      </c>
      <c r="C2233" s="3" t="str">
        <f>HYPERLINK("http://www.ncbi.nlm.nih.gov/protein/30794400","Epn3")</f>
        <v>Epn3</v>
      </c>
      <c r="E2233" t="str">
        <f>HYPERLINK("J:\Depot - mpkCCD Fractions\Main Web Page\Web Pages_old\proteomic_fractions_linear_files/Yang_linear_img/30794400.jpg","show blot")</f>
        <v>show blot</v>
      </c>
      <c r="G2233" t="s">
        <v>2210</v>
      </c>
      <c r="I2233" s="6">
        <v>4.1670542220101785</v>
      </c>
      <c r="K2233" s="8"/>
    </row>
    <row r="2234" spans="1:11" ht="15" x14ac:dyDescent="0.25">
      <c r="A2234" s="3" t="str">
        <f>HYPERLINK("proteomic_fractions_linear_files/Yang_linear_img/37537522.jpg", "37537522")</f>
        <v>37537522</v>
      </c>
      <c r="C2234" s="3" t="str">
        <f>HYPERLINK("http://www.ncbi.nlm.nih.gov/protein/37537522","Eppk1")</f>
        <v>Eppk1</v>
      </c>
      <c r="E2234" t="str">
        <f>HYPERLINK("J:\Depot - mpkCCD Fractions\Main Web Page\Web Pages_old\proteomic_fractions_linear_files/Yang_linear_img/37537522.jpg","show blot")</f>
        <v>show blot</v>
      </c>
      <c r="G2234" t="s">
        <v>2211</v>
      </c>
      <c r="I2234" s="6">
        <v>4.2102950421230911</v>
      </c>
      <c r="K2234" s="8"/>
    </row>
    <row r="2235" spans="1:11" ht="15" x14ac:dyDescent="0.25">
      <c r="A2235" s="3" t="str">
        <f>HYPERLINK("proteomic_fractions_linear_files/Yang_linear_img/82617575.jpg", "82617575")</f>
        <v>82617575</v>
      </c>
      <c r="C2235" s="3" t="str">
        <f>HYPERLINK("http://www.ncbi.nlm.nih.gov/protein/82617575","Eprs")</f>
        <v>Eprs</v>
      </c>
      <c r="E2235" t="str">
        <f>HYPERLINK("J:\Depot - mpkCCD Fractions\Main Web Page\Web Pages_old\proteomic_fractions_linear_files/Yang_linear_img/82617575.jpg","show blot")</f>
        <v>show blot</v>
      </c>
      <c r="G2235" t="s">
        <v>2212</v>
      </c>
      <c r="I2235" s="6">
        <v>6.1678772267269952</v>
      </c>
      <c r="K2235" s="8"/>
    </row>
    <row r="2236" spans="1:11" ht="15" x14ac:dyDescent="0.25">
      <c r="A2236" s="3" t="str">
        <f>HYPERLINK("proteomic_fractions_linear_files/Yang_linear_img/229577163.jpg", "229577163")</f>
        <v>229577163</v>
      </c>
      <c r="C2236" s="3" t="str">
        <f>HYPERLINK("http://www.ncbi.nlm.nih.gov/protein/229577163","Eps15")</f>
        <v>Eps15</v>
      </c>
      <c r="E2236" t="str">
        <f>HYPERLINK("J:\Depot - mpkCCD Fractions\Main Web Page\Web Pages_old\proteomic_fractions_linear_files/Yang_linear_img/229577163.jpg","show blot")</f>
        <v>show blot</v>
      </c>
      <c r="G2236" t="s">
        <v>2213</v>
      </c>
      <c r="I2236" s="6">
        <v>4.8224194224094017</v>
      </c>
      <c r="K2236" s="8"/>
    </row>
    <row r="2237" spans="1:11" ht="15" x14ac:dyDescent="0.25">
      <c r="A2237" s="3" t="str">
        <f>HYPERLINK("proteomic_fractions_linear_files/Yang_linear_img/6679671.jpg", "6679671")</f>
        <v>6679671</v>
      </c>
      <c r="C2237" s="3" t="str">
        <f>HYPERLINK("http://www.ncbi.nlm.nih.gov/protein/6679671","Eps15")</f>
        <v>Eps15</v>
      </c>
      <c r="E2237" t="str">
        <f>HYPERLINK("J:\Depot - mpkCCD Fractions\Main Web Page\Web Pages_old\proteomic_fractions_linear_files/Yang_linear_img/6679671.jpg","show blot")</f>
        <v>show blot</v>
      </c>
      <c r="G2237" t="s">
        <v>2214</v>
      </c>
      <c r="I2237" s="6">
        <v>4.8224194224094017</v>
      </c>
      <c r="K2237" s="8"/>
    </row>
    <row r="2238" spans="1:11" ht="15" x14ac:dyDescent="0.25">
      <c r="A2238" s="3" t="str">
        <f>HYPERLINK("proteomic_fractions_linear_files/Yang_linear_img/170784834.jpg", "170784834")</f>
        <v>170784834</v>
      </c>
      <c r="C2238" s="3" t="str">
        <f>HYPERLINK("http://www.ncbi.nlm.nih.gov/protein/170784834","Eps15l1")</f>
        <v>Eps15l1</v>
      </c>
      <c r="E2238" t="str">
        <f>HYPERLINK("J:\Depot - mpkCCD Fractions\Main Web Page\Web Pages_old\proteomic_fractions_linear_files/Yang_linear_img/170784834.jpg","show blot")</f>
        <v>show blot</v>
      </c>
      <c r="G2238" t="s">
        <v>2215</v>
      </c>
      <c r="I2238" s="6">
        <v>4.6913654772583744</v>
      </c>
      <c r="K2238" s="8"/>
    </row>
    <row r="2239" spans="1:11" ht="15" x14ac:dyDescent="0.25">
      <c r="A2239" s="3" t="str">
        <f>HYPERLINK("proteomic_fractions_linear_files/Yang_linear_img/170784836.jpg", "170784836")</f>
        <v>170784836</v>
      </c>
      <c r="C2239" s="3" t="str">
        <f>HYPERLINK("http://www.ncbi.nlm.nih.gov/protein/170784836","Eps15l1")</f>
        <v>Eps15l1</v>
      </c>
      <c r="E2239" t="str">
        <f>HYPERLINK("J:\Depot - mpkCCD Fractions\Main Web Page\Web Pages_old\proteomic_fractions_linear_files/Yang_linear_img/170784836.jpg","show blot")</f>
        <v>show blot</v>
      </c>
      <c r="G2239" t="s">
        <v>2216</v>
      </c>
      <c r="I2239" s="6">
        <v>4.6913654772583744</v>
      </c>
      <c r="K2239" s="8"/>
    </row>
    <row r="2240" spans="1:11" ht="15" x14ac:dyDescent="0.25">
      <c r="A2240" s="3" t="str">
        <f>HYPERLINK("proteomic_fractions_linear_files/Yang_linear_img/18874094.jpg", "18874094")</f>
        <v>18874094</v>
      </c>
      <c r="C2240" s="3" t="str">
        <f>HYPERLINK("http://www.ncbi.nlm.nih.gov/protein/18874094","Eps8l1")</f>
        <v>Eps8l1</v>
      </c>
      <c r="E2240" t="str">
        <f>HYPERLINK("J:\Depot - mpkCCD Fractions\Main Web Page\Web Pages_old\proteomic_fractions_linear_files/Yang_linear_img/18874094.jpg","show blot")</f>
        <v>show blot</v>
      </c>
      <c r="G2240" t="s">
        <v>2217</v>
      </c>
      <c r="I2240" s="6">
        <v>5.2582593809620581</v>
      </c>
      <c r="K2240" s="8"/>
    </row>
    <row r="2241" spans="1:11" ht="15" x14ac:dyDescent="0.25">
      <c r="A2241" s="3" t="str">
        <f>HYPERLINK("proteomic_fractions_linear_files/Yang_linear_img/21040233.jpg", "21040233")</f>
        <v>21040233</v>
      </c>
      <c r="C2241" s="3" t="str">
        <f>HYPERLINK("http://www.ncbi.nlm.nih.gov/protein/21040233","Eps8l2")</f>
        <v>Eps8l2</v>
      </c>
      <c r="E2241" t="str">
        <f>HYPERLINK("J:\Depot - mpkCCD Fractions\Main Web Page\Web Pages_old\proteomic_fractions_linear_files/Yang_linear_img/21040233.jpg","show blot")</f>
        <v>show blot</v>
      </c>
      <c r="G2241" t="s">
        <v>2218</v>
      </c>
      <c r="I2241" s="6">
        <v>5.4214302468250999</v>
      </c>
      <c r="K2241" s="8"/>
    </row>
    <row r="2242" spans="1:11" ht="15" x14ac:dyDescent="0.25">
      <c r="A2242" s="3" t="str">
        <f>HYPERLINK("proteomic_fractions_linear_files/Yang_linear_img/19527082.jpg", "19527082")</f>
        <v>19527082</v>
      </c>
      <c r="C2242" s="3" t="str">
        <f>HYPERLINK("http://www.ncbi.nlm.nih.gov/protein/19527082","Eps8l3")</f>
        <v>Eps8l3</v>
      </c>
      <c r="E2242" t="str">
        <f>HYPERLINK("J:\Depot - mpkCCD Fractions\Main Web Page\Web Pages_old\proteomic_fractions_linear_files/Yang_linear_img/19527082.jpg","show blot")</f>
        <v>show blot</v>
      </c>
      <c r="G2242" t="s">
        <v>2219</v>
      </c>
      <c r="I2242" s="6">
        <v>2.162075507305413</v>
      </c>
      <c r="K2242" s="8"/>
    </row>
    <row r="2243" spans="1:11" ht="15" x14ac:dyDescent="0.25">
      <c r="A2243" s="3" t="str">
        <f>HYPERLINK("proteomic_fractions_linear_files/Yang_linear_img/165377197.jpg", "165377197")</f>
        <v>165377197</v>
      </c>
      <c r="C2243" s="3" t="str">
        <f>HYPERLINK("http://www.ncbi.nlm.nih.gov/protein/165377197","Eral1")</f>
        <v>Eral1</v>
      </c>
      <c r="E2243" t="str">
        <f>HYPERLINK("J:\Depot - mpkCCD Fractions\Main Web Page\Web Pages_old\proteomic_fractions_linear_files/Yang_linear_img/165377197.jpg","show blot")</f>
        <v>show blot</v>
      </c>
      <c r="G2243" t="s">
        <v>2220</v>
      </c>
      <c r="I2243" s="6">
        <v>4.0172545828885404</v>
      </c>
      <c r="K2243" s="8"/>
    </row>
    <row r="2244" spans="1:11" ht="15" x14ac:dyDescent="0.25">
      <c r="A2244" s="3" t="str">
        <f>HYPERLINK("proteomic_fractions_linear_files/Yang_linear_img/13507656.jpg", "13507656")</f>
        <v>13507656</v>
      </c>
      <c r="C2244" s="3" t="str">
        <f>HYPERLINK("http://www.ncbi.nlm.nih.gov/protein/13507656","Erap1")</f>
        <v>Erap1</v>
      </c>
      <c r="E2244" t="str">
        <f>HYPERLINK("J:\Depot - mpkCCD Fractions\Main Web Page\Web Pages_old\proteomic_fractions_linear_files/Yang_linear_img/13507656.jpg","show blot")</f>
        <v>show blot</v>
      </c>
      <c r="G2244" t="s">
        <v>2221</v>
      </c>
      <c r="I2244" s="6">
        <v>3.9740199356827048</v>
      </c>
      <c r="K2244" s="8"/>
    </row>
    <row r="2245" spans="1:11" ht="15" x14ac:dyDescent="0.25">
      <c r="A2245" s="3" t="str">
        <f>HYPERLINK("proteomic_fractions_linear_files/Yang_linear_img/54873610.jpg", "54873610")</f>
        <v>54873610</v>
      </c>
      <c r="C2245" s="3" t="str">
        <f>HYPERLINK("http://www.ncbi.nlm.nih.gov/protein/54873610","Erbb2")</f>
        <v>Erbb2</v>
      </c>
      <c r="E2245" t="str">
        <f>HYPERLINK("J:\Depot - mpkCCD Fractions\Main Web Page\Web Pages_old\proteomic_fractions_linear_files/Yang_linear_img/54873610.jpg","show blot")</f>
        <v>show blot</v>
      </c>
      <c r="G2245" t="s">
        <v>2222</v>
      </c>
      <c r="I2245" s="6">
        <v>4.4033198849829036</v>
      </c>
      <c r="K2245" s="8"/>
    </row>
    <row r="2246" spans="1:11" ht="15" x14ac:dyDescent="0.25">
      <c r="A2246" s="3" t="str">
        <f>HYPERLINK("proteomic_fractions_linear_files/Yang_linear_img/54607112.jpg", "54607112")</f>
        <v>54607112</v>
      </c>
      <c r="C2246" s="3" t="str">
        <f>HYPERLINK("http://www.ncbi.nlm.nih.gov/protein/54607112","Erbb2ip")</f>
        <v>Erbb2ip</v>
      </c>
      <c r="E2246" t="str">
        <f>HYPERLINK("J:\Depot - mpkCCD Fractions\Main Web Page\Web Pages_old\proteomic_fractions_linear_files/Yang_linear_img/54607112.jpg","show blot")</f>
        <v>show blot</v>
      </c>
      <c r="G2246" t="s">
        <v>2223</v>
      </c>
      <c r="I2246" s="6">
        <v>2.7312455535690687</v>
      </c>
      <c r="K2246" s="8"/>
    </row>
    <row r="2247" spans="1:11" ht="15" x14ac:dyDescent="0.25">
      <c r="A2247" s="3" t="str">
        <f>HYPERLINK("proteomic_fractions_linear_files/Yang_linear_img/54607114.jpg", "54607114")</f>
        <v>54607114</v>
      </c>
      <c r="C2247" s="3" t="str">
        <f>HYPERLINK("http://www.ncbi.nlm.nih.gov/protein/54607114","Erbb2ip")</f>
        <v>Erbb2ip</v>
      </c>
      <c r="E2247" t="str">
        <f>HYPERLINK("J:\Depot - mpkCCD Fractions\Main Web Page\Web Pages_old\proteomic_fractions_linear_files/Yang_linear_img/54607114.jpg","show blot")</f>
        <v>show blot</v>
      </c>
      <c r="G2247" t="s">
        <v>2224</v>
      </c>
      <c r="I2247" s="6">
        <v>2.7312455535690687</v>
      </c>
      <c r="K2247" s="8"/>
    </row>
    <row r="2248" spans="1:11" ht="15" x14ac:dyDescent="0.25">
      <c r="A2248" s="3" t="str">
        <f>HYPERLINK("proteomic_fractions_linear_files/Yang_linear_img/146134398.jpg", "146134398")</f>
        <v>146134398</v>
      </c>
      <c r="C2248" s="3" t="str">
        <f>HYPERLINK("http://www.ncbi.nlm.nih.gov/protein/146134398","Erbb4")</f>
        <v>Erbb4</v>
      </c>
      <c r="E2248" t="str">
        <f>HYPERLINK("J:\Depot - mpkCCD Fractions\Main Web Page\Web Pages_old\proteomic_fractions_linear_files/Yang_linear_img/146134398.jpg","show blot")</f>
        <v>show blot</v>
      </c>
      <c r="G2248" t="s">
        <v>2225</v>
      </c>
      <c r="I2248" s="6">
        <v>4.0894433964100365</v>
      </c>
      <c r="K2248" s="8"/>
    </row>
    <row r="2249" spans="1:11" ht="15" x14ac:dyDescent="0.25">
      <c r="A2249" s="3" t="str">
        <f>HYPERLINK("proteomic_fractions_linear_files/Yang_linear_img/120300971.jpg", "120300971")</f>
        <v>120300971</v>
      </c>
      <c r="C2249" s="3" t="str">
        <f>HYPERLINK("http://www.ncbi.nlm.nih.gov/protein/120300971","Erc1")</f>
        <v>Erc1</v>
      </c>
      <c r="E2249" t="str">
        <f>HYPERLINK("J:\Depot - mpkCCD Fractions\Main Web Page\Web Pages_old\proteomic_fractions_linear_files/Yang_linear_img/120300971.jpg","show blot")</f>
        <v>show blot</v>
      </c>
      <c r="G2249" t="s">
        <v>2226</v>
      </c>
      <c r="I2249" s="6">
        <v>5.0885620149499813</v>
      </c>
      <c r="K2249" s="8"/>
    </row>
    <row r="2250" spans="1:11" ht="15" x14ac:dyDescent="0.25">
      <c r="A2250" s="3" t="str">
        <f>HYPERLINK("proteomic_fractions_linear_files/Yang_linear_img/30017397.jpg", "30017397")</f>
        <v>30017397</v>
      </c>
      <c r="C2250" s="3" t="str">
        <f>HYPERLINK("http://www.ncbi.nlm.nih.gov/protein/30017397","Erc1")</f>
        <v>Erc1</v>
      </c>
      <c r="E2250" t="str">
        <f>HYPERLINK("J:\Depot - mpkCCD Fractions\Main Web Page\Web Pages_old\proteomic_fractions_linear_files/Yang_linear_img/30017397.jpg","show blot")</f>
        <v>show blot</v>
      </c>
      <c r="G2250" t="s">
        <v>2227</v>
      </c>
      <c r="I2250" s="6">
        <v>5.0885620149499813</v>
      </c>
      <c r="K2250" s="8"/>
    </row>
    <row r="2251" spans="1:11" ht="15" x14ac:dyDescent="0.25">
      <c r="A2251" s="3" t="str">
        <f>HYPERLINK("proteomic_fractions_linear_files/Yang_linear_img/37360977.jpg", "37360977")</f>
        <v>37360977</v>
      </c>
      <c r="C2251" s="3" t="str">
        <f>HYPERLINK("http://www.ncbi.nlm.nih.gov/protein/37360977","Erc2")</f>
        <v>Erc2</v>
      </c>
      <c r="E2251" t="str">
        <f>HYPERLINK("J:\Depot - mpkCCD Fractions\Main Web Page\Web Pages_old\proteomic_fractions_linear_files/Yang_linear_img/37360977.jpg","show blot")</f>
        <v>show blot</v>
      </c>
      <c r="G2251" t="s">
        <v>2228</v>
      </c>
      <c r="I2251" s="6">
        <v>3.8745837191253774</v>
      </c>
      <c r="K2251" s="8"/>
    </row>
    <row r="2252" spans="1:11" ht="15" x14ac:dyDescent="0.25">
      <c r="A2252" s="3" t="str">
        <f>HYPERLINK("proteomic_fractions_linear_files/Yang_linear_img/31542614.jpg", "31542614")</f>
        <v>31542614</v>
      </c>
      <c r="C2252" s="3" t="str">
        <f>HYPERLINK("http://www.ncbi.nlm.nih.gov/protein/31542614","Ercc2")</f>
        <v>Ercc2</v>
      </c>
      <c r="E2252" t="str">
        <f>HYPERLINK("J:\Depot - mpkCCD Fractions\Main Web Page\Web Pages_old\proteomic_fractions_linear_files/Yang_linear_img/31542614.jpg","show blot")</f>
        <v>show blot</v>
      </c>
      <c r="G2252" t="s">
        <v>2229</v>
      </c>
      <c r="I2252" s="6">
        <v>3.2409989994245603</v>
      </c>
      <c r="K2252" s="8"/>
    </row>
    <row r="2253" spans="1:11" ht="15" x14ac:dyDescent="0.25">
      <c r="A2253" s="3" t="str">
        <f>HYPERLINK("proteomic_fractions_linear_files/Yang_linear_img/241666402.jpg", "241666402")</f>
        <v>241666402</v>
      </c>
      <c r="C2253" s="3" t="str">
        <f>HYPERLINK("http://www.ncbi.nlm.nih.gov/protein/241666402","Ercc4")</f>
        <v>Ercc4</v>
      </c>
      <c r="E2253" t="str">
        <f>HYPERLINK("J:\Depot - mpkCCD Fractions\Main Web Page\Web Pages_old\proteomic_fractions_linear_files/Yang_linear_img/241666402.jpg","show blot")</f>
        <v>show blot</v>
      </c>
      <c r="G2253" t="s">
        <v>2230</v>
      </c>
      <c r="I2253" s="6">
        <v>2.24686299130583</v>
      </c>
      <c r="K2253" s="8"/>
    </row>
    <row r="2254" spans="1:11" ht="15" x14ac:dyDescent="0.25">
      <c r="A2254" s="3" t="str">
        <f>HYPERLINK("proteomic_fractions_linear_files/Yang_linear_img/27414501.jpg", "27414501")</f>
        <v>27414501</v>
      </c>
      <c r="C2254" s="3" t="str">
        <f>HYPERLINK("http://www.ncbi.nlm.nih.gov/protein/27414501","Ercc6l")</f>
        <v>Ercc6l</v>
      </c>
      <c r="E2254" t="str">
        <f>HYPERLINK("J:\Depot - mpkCCD Fractions\Main Web Page\Web Pages_old\proteomic_fractions_linear_files/Yang_linear_img/27414501.jpg","show blot")</f>
        <v>show blot</v>
      </c>
      <c r="G2254" t="s">
        <v>2231</v>
      </c>
      <c r="I2254" s="6">
        <v>2.8127656010618698</v>
      </c>
      <c r="K2254" s="8"/>
    </row>
    <row r="2255" spans="1:11" ht="15" x14ac:dyDescent="0.25">
      <c r="A2255" s="3" t="str">
        <f>HYPERLINK("proteomic_fractions_linear_files/Yang_linear_img/13385678.jpg", "13385678")</f>
        <v>13385678</v>
      </c>
      <c r="C2255" s="3" t="str">
        <f>HYPERLINK("http://www.ncbi.nlm.nih.gov/protein/13385678","Ergic1")</f>
        <v>Ergic1</v>
      </c>
      <c r="E2255" t="str">
        <f>HYPERLINK("J:\Depot - mpkCCD Fractions\Main Web Page\Web Pages_old\proteomic_fractions_linear_files/Yang_linear_img/13385678.jpg","show blot")</f>
        <v>show blot</v>
      </c>
      <c r="G2255" t="s">
        <v>2232</v>
      </c>
      <c r="I2255" s="6">
        <v>5.1735980330689788</v>
      </c>
      <c r="K2255" s="8"/>
    </row>
    <row r="2256" spans="1:11" ht="15" x14ac:dyDescent="0.25">
      <c r="A2256" s="3" t="str">
        <f>HYPERLINK("proteomic_fractions_linear_files/Yang_linear_img/21312962.jpg", "21312962")</f>
        <v>21312962</v>
      </c>
      <c r="C2256" s="3" t="str">
        <f>HYPERLINK("http://www.ncbi.nlm.nih.gov/protein/21312962","Ergic2")</f>
        <v>Ergic2</v>
      </c>
      <c r="E2256" t="str">
        <f>HYPERLINK("J:\Depot - mpkCCD Fractions\Main Web Page\Web Pages_old\proteomic_fractions_linear_files/Yang_linear_img/21312962.jpg","show blot")</f>
        <v>show blot</v>
      </c>
      <c r="G2256" t="s">
        <v>2233</v>
      </c>
      <c r="I2256" s="6">
        <v>4.103415071059314</v>
      </c>
      <c r="K2256" s="8"/>
    </row>
    <row r="2257" spans="1:11" ht="15" x14ac:dyDescent="0.25">
      <c r="A2257" s="3" t="str">
        <f>HYPERLINK("proteomic_fractions_linear_files/Yang_linear_img/66773206.jpg", "66773206")</f>
        <v>66773206</v>
      </c>
      <c r="C2257" s="3" t="str">
        <f>HYPERLINK("http://www.ncbi.nlm.nih.gov/protein/66773206","Ergic2")</f>
        <v>Ergic2</v>
      </c>
      <c r="E2257" t="str">
        <f>HYPERLINK("J:\Depot - mpkCCD Fractions\Main Web Page\Web Pages_old\proteomic_fractions_linear_files/Yang_linear_img/66773206.jpg","show blot")</f>
        <v>show blot</v>
      </c>
      <c r="G2257" t="s">
        <v>2234</v>
      </c>
      <c r="I2257" s="6">
        <v>4.103415071059314</v>
      </c>
      <c r="K2257" s="8"/>
    </row>
    <row r="2258" spans="1:11" ht="15" x14ac:dyDescent="0.25">
      <c r="A2258" s="3" t="str">
        <f>HYPERLINK("proteomic_fractions_linear_files/Yang_linear_img/13384938.jpg", "13384938")</f>
        <v>13384938</v>
      </c>
      <c r="C2258" s="3" t="str">
        <f>HYPERLINK("http://www.ncbi.nlm.nih.gov/protein/13384938","Ergic3")</f>
        <v>Ergic3</v>
      </c>
      <c r="E2258" t="str">
        <f>HYPERLINK("J:\Depot - mpkCCD Fractions\Main Web Page\Web Pages_old\proteomic_fractions_linear_files/Yang_linear_img/13384938.jpg","show blot")</f>
        <v>show blot</v>
      </c>
      <c r="G2258" t="s">
        <v>2235</v>
      </c>
      <c r="I2258" s="6">
        <v>4.2905072135774809</v>
      </c>
      <c r="K2258" s="8"/>
    </row>
    <row r="2259" spans="1:11" ht="15" x14ac:dyDescent="0.25">
      <c r="A2259" s="3" t="str">
        <f>HYPERLINK("proteomic_fractions_linear_files/Yang_linear_img/6679685.jpg", "6679685")</f>
        <v>6679685</v>
      </c>
      <c r="C2259" s="3" t="str">
        <f>HYPERLINK("http://www.ncbi.nlm.nih.gov/protein/6679685","Erh")</f>
        <v>Erh</v>
      </c>
      <c r="E2259" t="str">
        <f>HYPERLINK("J:\Depot - mpkCCD Fractions\Main Web Page\Web Pages_old\proteomic_fractions_linear_files/Yang_linear_img/6679685.jpg","show blot")</f>
        <v>show blot</v>
      </c>
      <c r="G2259" t="s">
        <v>2236</v>
      </c>
      <c r="I2259" s="6">
        <v>5.8610168291844786</v>
      </c>
      <c r="K2259" s="8"/>
    </row>
    <row r="2260" spans="1:11" ht="15" x14ac:dyDescent="0.25">
      <c r="A2260" s="3" t="str">
        <f>HYPERLINK("proteomic_fractions_linear_files/Yang_linear_img/165905605.jpg", "165905605")</f>
        <v>165905605</v>
      </c>
      <c r="C2260" s="3" t="str">
        <f>HYPERLINK("http://www.ncbi.nlm.nih.gov/protein/165905605","Eri1")</f>
        <v>Eri1</v>
      </c>
      <c r="E2260" t="str">
        <f>HYPERLINK("J:\Depot - mpkCCD Fractions\Main Web Page\Web Pages_old\proteomic_fractions_linear_files/Yang_linear_img/165905605.jpg","show blot")</f>
        <v>show blot</v>
      </c>
      <c r="G2260" t="s">
        <v>2237</v>
      </c>
      <c r="I2260" s="6">
        <v>4.8181572211593844</v>
      </c>
      <c r="K2260" s="8"/>
    </row>
    <row r="2261" spans="1:11" ht="15" x14ac:dyDescent="0.25">
      <c r="A2261" s="3" t="str">
        <f>HYPERLINK("proteomic_fractions_linear_files/Yang_linear_img/114205437.jpg", "114205437")</f>
        <v>114205437</v>
      </c>
      <c r="C2261" s="3" t="str">
        <f>HYPERLINK("http://www.ncbi.nlm.nih.gov/protein/114205437","Erlec1")</f>
        <v>Erlec1</v>
      </c>
      <c r="E2261" t="str">
        <f>HYPERLINK("J:\Depot - mpkCCD Fractions\Main Web Page\Web Pages_old\proteomic_fractions_linear_files/Yang_linear_img/114205437.jpg","show blot")</f>
        <v>show blot</v>
      </c>
      <c r="G2261" t="s">
        <v>2238</v>
      </c>
      <c r="I2261" s="6">
        <v>2.8221501983342625</v>
      </c>
      <c r="K2261" s="8"/>
    </row>
    <row r="2262" spans="1:11" ht="15" x14ac:dyDescent="0.25">
      <c r="A2262" s="3" t="str">
        <f>HYPERLINK("proteomic_fractions_linear_files/Yang_linear_img/256355015;256355012.jpg", "256355015;256355012")</f>
        <v>256355015;256355012</v>
      </c>
      <c r="C2262" s="3" t="str">
        <f>HYPERLINK("http://www.ncbi.nlm.nih.gov/protein/256355015;256355012","Erlin1")</f>
        <v>Erlin1</v>
      </c>
      <c r="E2262" t="str">
        <f>HYPERLINK("J:\Depot - mpkCCD Fractions\Main Web Page\Web Pages_old\proteomic_fractions_linear_files/Yang_linear_img/256355015;256355012.jpg","show blot")</f>
        <v>show blot</v>
      </c>
      <c r="G2262" t="s">
        <v>2239</v>
      </c>
      <c r="I2262" s="6">
        <v>5.6028390307695659</v>
      </c>
      <c r="K2262" s="8"/>
    </row>
    <row r="2263" spans="1:11" ht="15" x14ac:dyDescent="0.25">
      <c r="A2263" s="3" t="str">
        <f>HYPERLINK("proteomic_fractions_linear_files/Yang_linear_img/23956396.jpg", "23956396")</f>
        <v>23956396</v>
      </c>
      <c r="C2263" s="3" t="str">
        <f>HYPERLINK("http://www.ncbi.nlm.nih.gov/protein/23956396","Erlin2")</f>
        <v>Erlin2</v>
      </c>
      <c r="E2263" t="str">
        <f>HYPERLINK("J:\Depot - mpkCCD Fractions\Main Web Page\Web Pages_old\proteomic_fractions_linear_files/Yang_linear_img/23956396.jpg","show blot")</f>
        <v>show blot</v>
      </c>
      <c r="G2263" t="s">
        <v>2240</v>
      </c>
      <c r="I2263" s="6">
        <v>5.9512890888153249</v>
      </c>
      <c r="K2263" s="8"/>
    </row>
    <row r="2264" spans="1:11" ht="15" x14ac:dyDescent="0.25">
      <c r="A2264" s="3" t="str">
        <f>HYPERLINK("proteomic_fractions_linear_files/Yang_linear_img/124487057.jpg", "124487057")</f>
        <v>124487057</v>
      </c>
      <c r="C2264" s="3" t="str">
        <f>HYPERLINK("http://www.ncbi.nlm.nih.gov/protein/124487057","Ermp1")</f>
        <v>Ermp1</v>
      </c>
      <c r="E2264" t="str">
        <f>HYPERLINK("J:\Depot - mpkCCD Fractions\Main Web Page\Web Pages_old\proteomic_fractions_linear_files/Yang_linear_img/124487057.jpg","show blot")</f>
        <v>show blot</v>
      </c>
      <c r="G2264" t="s">
        <v>2241</v>
      </c>
      <c r="I2264" s="6">
        <v>5.3552797081275765</v>
      </c>
      <c r="K2264" s="8"/>
    </row>
    <row r="2265" spans="1:11" ht="15" x14ac:dyDescent="0.25">
      <c r="A2265" s="3" t="str">
        <f>HYPERLINK("proteomic_fractions_linear_files/Yang_linear_img/7657067.jpg", "7657067")</f>
        <v>7657067</v>
      </c>
      <c r="C2265" s="3" t="str">
        <f>HYPERLINK("http://www.ncbi.nlm.nih.gov/protein/7657067","Ero1l")</f>
        <v>Ero1l</v>
      </c>
      <c r="E2265" t="str">
        <f>HYPERLINK("J:\Depot - mpkCCD Fractions\Main Web Page\Web Pages_old\proteomic_fractions_linear_files/Yang_linear_img/7657067.jpg","show blot")</f>
        <v>show blot</v>
      </c>
      <c r="G2265" t="s">
        <v>2242</v>
      </c>
      <c r="I2265" s="6">
        <v>5.2001049921022524</v>
      </c>
      <c r="K2265" s="8"/>
    </row>
    <row r="2266" spans="1:11" ht="15" x14ac:dyDescent="0.25">
      <c r="A2266" s="3" t="str">
        <f>HYPERLINK("proteomic_fractions_linear_files/Yang_linear_img/38348230.jpg", "38348230")</f>
        <v>38348230</v>
      </c>
      <c r="C2266" s="3" t="str">
        <f>HYPERLINK("http://www.ncbi.nlm.nih.gov/protein/38348230","Ero1lb")</f>
        <v>Ero1lb</v>
      </c>
      <c r="E2266" t="str">
        <f>HYPERLINK("J:\Depot - mpkCCD Fractions\Main Web Page\Web Pages_old\proteomic_fractions_linear_files/Yang_linear_img/38348230.jpg","show blot")</f>
        <v>show blot</v>
      </c>
      <c r="G2266" t="s">
        <v>2243</v>
      </c>
      <c r="I2266" s="6">
        <v>4.029131966889123</v>
      </c>
      <c r="K2266" s="8"/>
    </row>
    <row r="2267" spans="1:11" ht="15" x14ac:dyDescent="0.25">
      <c r="A2267" s="3" t="str">
        <f>HYPERLINK("proteomic_fractions_linear_files/Yang_linear_img/19526463.jpg", "19526463")</f>
        <v>19526463</v>
      </c>
      <c r="C2267" s="3" t="str">
        <f>HYPERLINK("http://www.ncbi.nlm.nih.gov/protein/19526463","Erp29")</f>
        <v>Erp29</v>
      </c>
      <c r="E2267" t="str">
        <f>HYPERLINK("J:\Depot - mpkCCD Fractions\Main Web Page\Web Pages_old\proteomic_fractions_linear_files/Yang_linear_img/19526463.jpg","show blot")</f>
        <v>show blot</v>
      </c>
      <c r="G2267" t="s">
        <v>2244</v>
      </c>
      <c r="I2267" s="6">
        <v>5.8867130496854552</v>
      </c>
      <c r="K2267" s="8"/>
    </row>
    <row r="2268" spans="1:11" ht="15" x14ac:dyDescent="0.25">
      <c r="A2268" s="3" t="str">
        <f>HYPERLINK("proteomic_fractions_linear_files/Yang_linear_img/19072792.jpg", "19072792")</f>
        <v>19072792</v>
      </c>
      <c r="C2268" s="3" t="str">
        <f>HYPERLINK("http://www.ncbi.nlm.nih.gov/protein/19072792","Erp44")</f>
        <v>Erp44</v>
      </c>
      <c r="E2268" t="str">
        <f>HYPERLINK("J:\Depot - mpkCCD Fractions\Main Web Page\Web Pages_old\proteomic_fractions_linear_files/Yang_linear_img/19072792.jpg","show blot")</f>
        <v>show blot</v>
      </c>
      <c r="G2268" t="s">
        <v>2245</v>
      </c>
      <c r="I2268" s="6">
        <v>5.1418612758506219</v>
      </c>
      <c r="K2268" s="8"/>
    </row>
    <row r="2269" spans="1:11" ht="15" x14ac:dyDescent="0.25">
      <c r="A2269" s="3" t="str">
        <f>HYPERLINK("proteomic_fractions_linear_files/Yang_linear_img/550544230.jpg", "550544230")</f>
        <v>550544230</v>
      </c>
      <c r="C2269" s="3" t="str">
        <f>HYPERLINK("http://www.ncbi.nlm.nih.gov/protein/550544230","Esd")</f>
        <v>Esd</v>
      </c>
      <c r="E2269" t="str">
        <f>HYPERLINK("J:\Depot - mpkCCD Fractions\Main Web Page\Web Pages_old\proteomic_fractions_linear_files/Yang_linear_img/550544230.jpg","show blot")</f>
        <v>show blot</v>
      </c>
      <c r="G2269" t="s">
        <v>2246</v>
      </c>
      <c r="I2269" s="6">
        <v>5.9934704234619129</v>
      </c>
      <c r="K2269" s="8"/>
    </row>
    <row r="2270" spans="1:11" ht="15" x14ac:dyDescent="0.25">
      <c r="A2270" s="3" t="str">
        <f>HYPERLINK("proteomic_fractions_linear_files/Yang_linear_img/13937355.jpg", "13937355")</f>
        <v>13937355</v>
      </c>
      <c r="C2270" s="3" t="str">
        <f>HYPERLINK("http://www.ncbi.nlm.nih.gov/protein/13937355","Esd")</f>
        <v>Esd</v>
      </c>
      <c r="E2270" t="str">
        <f>HYPERLINK("J:\Depot - mpkCCD Fractions\Main Web Page\Web Pages_old\proteomic_fractions_linear_files/Yang_linear_img/13937355.jpg","show blot")</f>
        <v>show blot</v>
      </c>
      <c r="G2270" t="s">
        <v>2247</v>
      </c>
      <c r="I2270" s="6">
        <v>5.9934704234619129</v>
      </c>
      <c r="K2270" s="8"/>
    </row>
    <row r="2271" spans="1:11" ht="15" x14ac:dyDescent="0.25">
      <c r="A2271" s="3" t="str">
        <f>HYPERLINK("proteomic_fractions_linear_files/Yang_linear_img/165972311.jpg", "165972311")</f>
        <v>165972311</v>
      </c>
      <c r="C2271" s="3" t="str">
        <f>HYPERLINK("http://www.ncbi.nlm.nih.gov/protein/165972311","Esrp1")</f>
        <v>Esrp1</v>
      </c>
      <c r="E2271" t="str">
        <f>HYPERLINK("J:\Depot - mpkCCD Fractions\Main Web Page\Web Pages_old\proteomic_fractions_linear_files/Yang_linear_img/165972311.jpg","show blot")</f>
        <v>show blot</v>
      </c>
      <c r="G2271" t="s">
        <v>2248</v>
      </c>
      <c r="I2271" s="6">
        <v>4.4673455009230176</v>
      </c>
      <c r="K2271" s="8"/>
    </row>
    <row r="2272" spans="1:11" ht="15" x14ac:dyDescent="0.25">
      <c r="A2272" s="3" t="str">
        <f>HYPERLINK("proteomic_fractions_linear_files/Yang_linear_img/28849887.jpg", "28849887")</f>
        <v>28849887</v>
      </c>
      <c r="C2272" s="3" t="str">
        <f>HYPERLINK("http://www.ncbi.nlm.nih.gov/protein/28849887","Esrp2")</f>
        <v>Esrp2</v>
      </c>
      <c r="E2272" t="str">
        <f>HYPERLINK("J:\Depot - mpkCCD Fractions\Main Web Page\Web Pages_old\proteomic_fractions_linear_files/Yang_linear_img/28849887.jpg","show blot")</f>
        <v>show blot</v>
      </c>
      <c r="G2272" t="s">
        <v>2249</v>
      </c>
      <c r="I2272" s="6">
        <v>4.6794220741280173</v>
      </c>
      <c r="K2272" s="8"/>
    </row>
    <row r="2273" spans="1:11" ht="15" x14ac:dyDescent="0.25">
      <c r="A2273" s="3" t="str">
        <f>HYPERLINK("proteomic_fractions_linear_files/Yang_linear_img/112293262.jpg", "112293262")</f>
        <v>112293262</v>
      </c>
      <c r="C2273" s="3" t="str">
        <f>HYPERLINK("http://www.ncbi.nlm.nih.gov/protein/112293262","Esrra")</f>
        <v>Esrra</v>
      </c>
      <c r="E2273" t="str">
        <f>HYPERLINK("J:\Depot - mpkCCD Fractions\Main Web Page\Web Pages_old\proteomic_fractions_linear_files/Yang_linear_img/112293262.jpg","show blot")</f>
        <v>show blot</v>
      </c>
      <c r="G2273" t="s">
        <v>2250</v>
      </c>
      <c r="I2273" s="6">
        <v>4.8965203342195043</v>
      </c>
      <c r="K2273" s="8"/>
    </row>
    <row r="2274" spans="1:11" ht="15" x14ac:dyDescent="0.25">
      <c r="A2274" s="3" t="str">
        <f>HYPERLINK("proteomic_fractions_linear_files/Yang_linear_img/226958365.jpg", "226958365")</f>
        <v>226958365</v>
      </c>
      <c r="C2274" s="3" t="str">
        <f>HYPERLINK("http://www.ncbi.nlm.nih.gov/protein/226958365","Esrrb")</f>
        <v>Esrrb</v>
      </c>
      <c r="E2274" t="str">
        <f>HYPERLINK("J:\Depot - mpkCCD Fractions\Main Web Page\Web Pages_old\proteomic_fractions_linear_files/Yang_linear_img/226958365.jpg","show blot")</f>
        <v>show blot</v>
      </c>
      <c r="G2274" t="s">
        <v>2251</v>
      </c>
      <c r="I2274" s="6">
        <v>4.9553873413733971</v>
      </c>
      <c r="K2274" s="8"/>
    </row>
    <row r="2275" spans="1:11" ht="15" x14ac:dyDescent="0.25">
      <c r="A2275" s="3" t="str">
        <f>HYPERLINK("proteomic_fractions_linear_files/Yang_linear_img/226958367.jpg", "226958367")</f>
        <v>226958367</v>
      </c>
      <c r="C2275" s="3" t="str">
        <f>HYPERLINK("http://www.ncbi.nlm.nih.gov/protein/226958367","Esrrb")</f>
        <v>Esrrb</v>
      </c>
      <c r="E2275" t="str">
        <f>HYPERLINK("J:\Depot - mpkCCD Fractions\Main Web Page\Web Pages_old\proteomic_fractions_linear_files/Yang_linear_img/226958367.jpg","show blot")</f>
        <v>show blot</v>
      </c>
      <c r="G2275" t="s">
        <v>2252</v>
      </c>
      <c r="I2275" s="6">
        <v>4.9553873413733971</v>
      </c>
      <c r="K2275" s="8"/>
    </row>
    <row r="2276" spans="1:11" ht="15" x14ac:dyDescent="0.25">
      <c r="A2276" s="3" t="str">
        <f>HYPERLINK("proteomic_fractions_linear_files/Yang_linear_img/344925886.jpg", "344925886")</f>
        <v>344925886</v>
      </c>
      <c r="C2276" s="3" t="str">
        <f>HYPERLINK("http://www.ncbi.nlm.nih.gov/protein/344925886","Esrrg")</f>
        <v>Esrrg</v>
      </c>
      <c r="E2276" t="str">
        <f>HYPERLINK("J:\Depot - mpkCCD Fractions\Main Web Page\Web Pages_old\proteomic_fractions_linear_files/Yang_linear_img/344925886.jpg","show blot")</f>
        <v>show blot</v>
      </c>
      <c r="G2276" t="s">
        <v>2253</v>
      </c>
      <c r="I2276" s="6">
        <v>2.1775364999298623</v>
      </c>
      <c r="K2276" s="8"/>
    </row>
    <row r="2277" spans="1:11" ht="15" x14ac:dyDescent="0.25">
      <c r="A2277" s="3" t="str">
        <f>HYPERLINK("proteomic_fractions_linear_files/Yang_linear_img/6753774.jpg", "6753774")</f>
        <v>6753774</v>
      </c>
      <c r="C2277" s="3" t="str">
        <f>HYPERLINK("http://www.ncbi.nlm.nih.gov/protein/6753774","Esrrg")</f>
        <v>Esrrg</v>
      </c>
      <c r="E2277" t="str">
        <f>HYPERLINK("J:\Depot - mpkCCD Fractions\Main Web Page\Web Pages_old\proteomic_fractions_linear_files/Yang_linear_img/6753774.jpg","show blot")</f>
        <v>show blot</v>
      </c>
      <c r="G2277" t="s">
        <v>2254</v>
      </c>
      <c r="I2277" s="6">
        <v>2.1775364999298623</v>
      </c>
      <c r="K2277" s="8"/>
    </row>
    <row r="2278" spans="1:11" ht="15" x14ac:dyDescent="0.25">
      <c r="A2278" s="3" t="str">
        <f>HYPERLINK("proteomic_fractions_linear_files/Yang_linear_img/33859650.jpg", "33859650")</f>
        <v>33859650</v>
      </c>
      <c r="C2278" s="3" t="str">
        <f>HYPERLINK("http://www.ncbi.nlm.nih.gov/protein/33859650","Esyt1")</f>
        <v>Esyt1</v>
      </c>
      <c r="E2278" t="str">
        <f>HYPERLINK("J:\Depot - mpkCCD Fractions\Main Web Page\Web Pages_old\proteomic_fractions_linear_files/Yang_linear_img/33859650.jpg","show blot")</f>
        <v>show blot</v>
      </c>
      <c r="G2278" t="s">
        <v>2255</v>
      </c>
      <c r="I2278" s="6">
        <v>4.9801025363694587</v>
      </c>
      <c r="K2278" s="8"/>
    </row>
    <row r="2279" spans="1:11" ht="15" x14ac:dyDescent="0.25">
      <c r="A2279" s="3" t="str">
        <f>HYPERLINK("proteomic_fractions_linear_files/Yang_linear_img/67782360.jpg", "67782360")</f>
        <v>67782360</v>
      </c>
      <c r="C2279" s="3" t="str">
        <f>HYPERLINK("http://www.ncbi.nlm.nih.gov/protein/67782360","Esyt2")</f>
        <v>Esyt2</v>
      </c>
      <c r="E2279" t="str">
        <f>HYPERLINK("J:\Depot - mpkCCD Fractions\Main Web Page\Web Pages_old\proteomic_fractions_linear_files/Yang_linear_img/67782360.jpg","show blot")</f>
        <v>show blot</v>
      </c>
      <c r="G2279" t="s">
        <v>2256</v>
      </c>
      <c r="I2279" s="6">
        <v>4.6801668249375927</v>
      </c>
      <c r="K2279" s="8"/>
    </row>
    <row r="2280" spans="1:11" ht="15" x14ac:dyDescent="0.25">
      <c r="A2280" s="3" t="str">
        <f>HYPERLINK("proteomic_fractions_linear_files/Yang_linear_img/124286826.jpg", "124286826")</f>
        <v>124286826</v>
      </c>
      <c r="C2280" s="3" t="str">
        <f>HYPERLINK("http://www.ncbi.nlm.nih.gov/protein/124286826","Etf1")</f>
        <v>Etf1</v>
      </c>
      <c r="E2280" t="str">
        <f>HYPERLINK("J:\Depot - mpkCCD Fractions\Main Web Page\Web Pages_old\proteomic_fractions_linear_files/Yang_linear_img/124286826.jpg","show blot")</f>
        <v>show blot</v>
      </c>
      <c r="G2280" t="s">
        <v>2257</v>
      </c>
      <c r="I2280" s="6">
        <v>5.7781728800854797</v>
      </c>
      <c r="K2280" s="8"/>
    </row>
    <row r="2281" spans="1:11" ht="15" x14ac:dyDescent="0.25">
      <c r="A2281" s="3" t="str">
        <f>HYPERLINK("proteomic_fractions_linear_files/Yang_linear_img/227500281.jpg", "227500281")</f>
        <v>227500281</v>
      </c>
      <c r="C2281" s="3" t="str">
        <f>HYPERLINK("http://www.ncbi.nlm.nih.gov/protein/227500281","Etfa")</f>
        <v>Etfa</v>
      </c>
      <c r="E2281" t="str">
        <f>HYPERLINK("J:\Depot - mpkCCD Fractions\Main Web Page\Web Pages_old\proteomic_fractions_linear_files/Yang_linear_img/227500281.jpg","show blot")</f>
        <v>show blot</v>
      </c>
      <c r="G2281" t="s">
        <v>2258</v>
      </c>
      <c r="I2281" s="6">
        <v>6.5565767748401713</v>
      </c>
      <c r="K2281" s="8"/>
    </row>
    <row r="2282" spans="1:11" ht="15" x14ac:dyDescent="0.25">
      <c r="A2282" s="3" t="str">
        <f>HYPERLINK("proteomic_fractions_linear_files/Yang_linear_img/38142460.jpg", "38142460")</f>
        <v>38142460</v>
      </c>
      <c r="C2282" s="3" t="str">
        <f>HYPERLINK("http://www.ncbi.nlm.nih.gov/protein/38142460","Etfb")</f>
        <v>Etfb</v>
      </c>
      <c r="E2282" t="str">
        <f>HYPERLINK("J:\Depot - mpkCCD Fractions\Main Web Page\Web Pages_old\proteomic_fractions_linear_files/Yang_linear_img/38142460.jpg","show blot")</f>
        <v>show blot</v>
      </c>
      <c r="G2282" t="s">
        <v>2259</v>
      </c>
      <c r="I2282" s="6">
        <v>6.6026767972196492</v>
      </c>
      <c r="K2282" s="8"/>
    </row>
    <row r="2283" spans="1:11" ht="15" x14ac:dyDescent="0.25">
      <c r="A2283" s="3" t="str">
        <f>HYPERLINK("proteomic_fractions_linear_files/Yang_linear_img/254588014.jpg", "254588014")</f>
        <v>254588014</v>
      </c>
      <c r="C2283" s="3" t="str">
        <f>HYPERLINK("http://www.ncbi.nlm.nih.gov/protein/254588014","Etfdh")</f>
        <v>Etfdh</v>
      </c>
      <c r="E2283" t="str">
        <f>HYPERLINK("J:\Depot - mpkCCD Fractions\Main Web Page\Web Pages_old\proteomic_fractions_linear_files/Yang_linear_img/254588014.jpg","show blot")</f>
        <v>show blot</v>
      </c>
      <c r="G2283" t="s">
        <v>2260</v>
      </c>
      <c r="I2283" s="6">
        <v>5.0002401282289171</v>
      </c>
      <c r="K2283" s="8"/>
    </row>
    <row r="2284" spans="1:11" ht="15" x14ac:dyDescent="0.25">
      <c r="A2284" s="3" t="str">
        <f>HYPERLINK("proteomic_fractions_linear_files/Yang_linear_img/12963539.jpg", "12963539")</f>
        <v>12963539</v>
      </c>
      <c r="C2284" s="3" t="str">
        <f>HYPERLINK("http://www.ncbi.nlm.nih.gov/protein/12963539","Ethe1")</f>
        <v>Ethe1</v>
      </c>
      <c r="E2284" t="str">
        <f>HYPERLINK("J:\Depot - mpkCCD Fractions\Main Web Page\Web Pages_old\proteomic_fractions_linear_files/Yang_linear_img/12963539.jpg","show blot")</f>
        <v>show blot</v>
      </c>
      <c r="G2284" t="s">
        <v>2261</v>
      </c>
      <c r="I2284" s="6">
        <v>5.0073996185893979</v>
      </c>
      <c r="K2284" s="8"/>
    </row>
    <row r="2285" spans="1:11" ht="15" x14ac:dyDescent="0.25">
      <c r="A2285" s="3" t="str">
        <f>HYPERLINK("proteomic_fractions_linear_files/Yang_linear_img/226371696.jpg", "226371696")</f>
        <v>226371696</v>
      </c>
      <c r="C2285" s="3" t="str">
        <f>HYPERLINK("http://www.ncbi.nlm.nih.gov/protein/226371696","Etnk1")</f>
        <v>Etnk1</v>
      </c>
      <c r="E2285" t="str">
        <f>HYPERLINK("J:\Depot - mpkCCD Fractions\Main Web Page\Web Pages_old\proteomic_fractions_linear_files/Yang_linear_img/226371696.jpg","show blot")</f>
        <v>show blot</v>
      </c>
      <c r="G2285" t="s">
        <v>2262</v>
      </c>
      <c r="I2285" s="6">
        <v>3.9345911022460269</v>
      </c>
      <c r="K2285" s="8"/>
    </row>
    <row r="2286" spans="1:11" ht="15" x14ac:dyDescent="0.25">
      <c r="A2286" s="3" t="str">
        <f>HYPERLINK("proteomic_fractions_linear_files/Yang_linear_img/84370337.jpg", "84370337")</f>
        <v>84370337</v>
      </c>
      <c r="C2286" s="3" t="str">
        <f>HYPERLINK("http://www.ncbi.nlm.nih.gov/protein/84370337","Etv6")</f>
        <v>Etv6</v>
      </c>
      <c r="E2286" t="str">
        <f>HYPERLINK("J:\Depot - mpkCCD Fractions\Main Web Page\Web Pages_old\proteomic_fractions_linear_files/Yang_linear_img/84370337.jpg","show blot")</f>
        <v>show blot</v>
      </c>
      <c r="G2286" t="s">
        <v>2263</v>
      </c>
      <c r="I2286" s="6">
        <v>2.636201202748254</v>
      </c>
      <c r="K2286" s="8"/>
    </row>
    <row r="2287" spans="1:11" ht="15" x14ac:dyDescent="0.25">
      <c r="A2287" s="3" t="str">
        <f>HYPERLINK("proteomic_fractions_linear_files/Yang_linear_img/254281243.jpg", "254281243")</f>
        <v>254281243</v>
      </c>
      <c r="C2287" s="3" t="str">
        <f>HYPERLINK("http://www.ncbi.nlm.nih.gov/protein/254281243","Evl")</f>
        <v>Evl</v>
      </c>
      <c r="E2287" t="str">
        <f>HYPERLINK("J:\Depot - mpkCCD Fractions\Main Web Page\Web Pages_old\proteomic_fractions_linear_files/Yang_linear_img/254281243.jpg","show blot")</f>
        <v>show blot</v>
      </c>
      <c r="G2287" t="s">
        <v>2264</v>
      </c>
      <c r="I2287" s="6">
        <v>1.3324384599156054</v>
      </c>
      <c r="K2287" s="8"/>
    </row>
    <row r="2288" spans="1:11" ht="15" x14ac:dyDescent="0.25">
      <c r="A2288" s="3" t="str">
        <f>HYPERLINK("proteomic_fractions_linear_files/Yang_linear_img/254281245.jpg", "254281245")</f>
        <v>254281245</v>
      </c>
      <c r="C2288" s="3" t="str">
        <f>HYPERLINK("http://www.ncbi.nlm.nih.gov/protein/254281245","Evl")</f>
        <v>Evl</v>
      </c>
      <c r="E2288" t="str">
        <f>HYPERLINK("J:\Depot - mpkCCD Fractions\Main Web Page\Web Pages_old\proteomic_fractions_linear_files/Yang_linear_img/254281245.jpg","show blot")</f>
        <v>show blot</v>
      </c>
      <c r="G2288" t="s">
        <v>2265</v>
      </c>
      <c r="I2288" s="6">
        <v>1.3324384599156054</v>
      </c>
      <c r="K2288" s="8"/>
    </row>
    <row r="2289" spans="1:11" ht="15" x14ac:dyDescent="0.25">
      <c r="A2289" s="3" t="str">
        <f>HYPERLINK("proteomic_fractions_linear_files/Yang_linear_img/254281247.jpg", "254281247")</f>
        <v>254281247</v>
      </c>
      <c r="C2289" s="3" t="str">
        <f>HYPERLINK("http://www.ncbi.nlm.nih.gov/protein/254281247","Evl")</f>
        <v>Evl</v>
      </c>
      <c r="E2289" t="str">
        <f>HYPERLINK("J:\Depot - mpkCCD Fractions\Main Web Page\Web Pages_old\proteomic_fractions_linear_files/Yang_linear_img/254281247.jpg","show blot")</f>
        <v>show blot</v>
      </c>
      <c r="G2289" t="s">
        <v>2266</v>
      </c>
      <c r="I2289" s="6">
        <v>1.3324384599156054</v>
      </c>
      <c r="K2289" s="8"/>
    </row>
    <row r="2290" spans="1:11" ht="15" x14ac:dyDescent="0.25">
      <c r="A2290" s="3" t="str">
        <f>HYPERLINK("proteomic_fractions_linear_files/Yang_linear_img/254281249.jpg", "254281249")</f>
        <v>254281249</v>
      </c>
      <c r="C2290" s="3" t="str">
        <f>HYPERLINK("http://www.ncbi.nlm.nih.gov/protein/254281249","Evl")</f>
        <v>Evl</v>
      </c>
      <c r="E2290" t="str">
        <f>HYPERLINK("J:\Depot - mpkCCD Fractions\Main Web Page\Web Pages_old\proteomic_fractions_linear_files/Yang_linear_img/254281249.jpg","show blot")</f>
        <v>show blot</v>
      </c>
      <c r="G2290" t="s">
        <v>2267</v>
      </c>
      <c r="I2290" s="6">
        <v>1.3324384599156054</v>
      </c>
      <c r="K2290" s="8"/>
    </row>
    <row r="2291" spans="1:11" ht="15" x14ac:dyDescent="0.25">
      <c r="A2291" s="3" t="str">
        <f>HYPERLINK("proteomic_fractions_linear_files/Yang_linear_img/111185907.jpg", "111185907")</f>
        <v>111185907</v>
      </c>
      <c r="C2291" s="3" t="str">
        <f>HYPERLINK("http://www.ncbi.nlm.nih.gov/protein/111185907","Evpl")</f>
        <v>Evpl</v>
      </c>
      <c r="E2291" t="str">
        <f>HYPERLINK("J:\Depot - mpkCCD Fractions\Main Web Page\Web Pages_old\proteomic_fractions_linear_files/Yang_linear_img/111185907.jpg","show blot")</f>
        <v>show blot</v>
      </c>
      <c r="G2291" t="s">
        <v>2268</v>
      </c>
      <c r="I2291" s="6">
        <v>3.7463451770758542</v>
      </c>
      <c r="K2291" s="8"/>
    </row>
    <row r="2292" spans="1:11" ht="15" x14ac:dyDescent="0.25">
      <c r="A2292" s="3" t="str">
        <f>HYPERLINK("proteomic_fractions_linear_files/Yang_linear_img/545687694.jpg", "545687694")</f>
        <v>545687694</v>
      </c>
      <c r="C2292" s="3" t="str">
        <f>HYPERLINK("http://www.ncbi.nlm.nih.gov/protein/545687694","Ewsr1")</f>
        <v>Ewsr1</v>
      </c>
      <c r="E2292" t="str">
        <f>HYPERLINK("J:\Depot - mpkCCD Fractions\Main Web Page\Web Pages_old\proteomic_fractions_linear_files/Yang_linear_img/545687694.jpg","show blot")</f>
        <v>show blot</v>
      </c>
      <c r="G2292" t="s">
        <v>2269</v>
      </c>
      <c r="I2292" s="6">
        <v>5.2187813368069786</v>
      </c>
      <c r="K2292" s="8"/>
    </row>
    <row r="2293" spans="1:11" ht="15" x14ac:dyDescent="0.25">
      <c r="A2293" s="3" t="str">
        <f>HYPERLINK("proteomic_fractions_linear_files/Yang_linear_img/545688864.jpg", "545688864")</f>
        <v>545688864</v>
      </c>
      <c r="C2293" s="3" t="str">
        <f>HYPERLINK("http://www.ncbi.nlm.nih.gov/protein/545688864","Ewsr1")</f>
        <v>Ewsr1</v>
      </c>
      <c r="E2293" t="str">
        <f>HYPERLINK("J:\Depot - mpkCCD Fractions\Main Web Page\Web Pages_old\proteomic_fractions_linear_files/Yang_linear_img/545688864.jpg","show blot")</f>
        <v>show blot</v>
      </c>
      <c r="G2293" t="s">
        <v>2270</v>
      </c>
      <c r="I2293" s="6">
        <v>5.2187813368069786</v>
      </c>
      <c r="K2293" s="8"/>
    </row>
    <row r="2294" spans="1:11" ht="15" x14ac:dyDescent="0.25">
      <c r="A2294" s="3" t="str">
        <f>HYPERLINK("proteomic_fractions_linear_files/Yang_linear_img/88853581.jpg", "88853581")</f>
        <v>88853581</v>
      </c>
      <c r="C2294" s="3" t="str">
        <f>HYPERLINK("http://www.ncbi.nlm.nih.gov/protein/88853581","Ewsr1")</f>
        <v>Ewsr1</v>
      </c>
      <c r="E2294" t="str">
        <f>HYPERLINK("J:\Depot - mpkCCD Fractions\Main Web Page\Web Pages_old\proteomic_fractions_linear_files/Yang_linear_img/88853581.jpg","show blot")</f>
        <v>show blot</v>
      </c>
      <c r="G2294" t="s">
        <v>2271</v>
      </c>
      <c r="I2294" s="6">
        <v>5.2187813368069786</v>
      </c>
      <c r="K2294" s="8"/>
    </row>
    <row r="2295" spans="1:11" ht="15" x14ac:dyDescent="0.25">
      <c r="A2295" s="3" t="str">
        <f>HYPERLINK("proteomic_fractions_linear_files/Yang_linear_img/237681098.jpg", "237681098")</f>
        <v>237681098</v>
      </c>
      <c r="C2295" s="3" t="str">
        <f>HYPERLINK("http://www.ncbi.nlm.nih.gov/protein/237681098","Exd2")</f>
        <v>Exd2</v>
      </c>
      <c r="E2295" t="str">
        <f>HYPERLINK("J:\Depot - mpkCCD Fractions\Main Web Page\Web Pages_old\proteomic_fractions_linear_files/Yang_linear_img/237681098.jpg","show blot")</f>
        <v>show blot</v>
      </c>
      <c r="G2295" t="s">
        <v>2272</v>
      </c>
      <c r="I2295" s="6">
        <v>2.0858441589969994</v>
      </c>
      <c r="K2295" s="8"/>
    </row>
    <row r="2296" spans="1:11" ht="15" x14ac:dyDescent="0.25">
      <c r="A2296" s="3" t="str">
        <f>HYPERLINK("proteomic_fractions_linear_files/Yang_linear_img/89111939.jpg", "89111939")</f>
        <v>89111939</v>
      </c>
      <c r="C2296" s="3" t="str">
        <f>HYPERLINK("http://www.ncbi.nlm.nih.gov/protein/89111939","Exoc1")</f>
        <v>Exoc1</v>
      </c>
      <c r="E2296" t="str">
        <f>HYPERLINK("J:\Depot - mpkCCD Fractions\Main Web Page\Web Pages_old\proteomic_fractions_linear_files/Yang_linear_img/89111939.jpg","show blot")</f>
        <v>show blot</v>
      </c>
      <c r="G2296" t="s">
        <v>2273</v>
      </c>
      <c r="I2296" s="6">
        <v>3.1957961442896083</v>
      </c>
      <c r="K2296" s="8"/>
    </row>
    <row r="2297" spans="1:11" ht="15" x14ac:dyDescent="0.25">
      <c r="A2297" s="3" t="str">
        <f>HYPERLINK("proteomic_fractions_linear_files/Yang_linear_img/21313438.jpg", "21313438")</f>
        <v>21313438</v>
      </c>
      <c r="C2297" s="3" t="str">
        <f>HYPERLINK("http://www.ncbi.nlm.nih.gov/protein/21313438","Exoc2")</f>
        <v>Exoc2</v>
      </c>
      <c r="E2297" t="str">
        <f>HYPERLINK("J:\Depot - mpkCCD Fractions\Main Web Page\Web Pages_old\proteomic_fractions_linear_files/Yang_linear_img/21313438.jpg","show blot")</f>
        <v>show blot</v>
      </c>
      <c r="G2297" t="s">
        <v>2274</v>
      </c>
      <c r="I2297" s="6">
        <v>4.3426747280973608</v>
      </c>
      <c r="K2297" s="8"/>
    </row>
    <row r="2298" spans="1:11" ht="15" x14ac:dyDescent="0.25">
      <c r="A2298" s="3" t="str">
        <f>HYPERLINK("proteomic_fractions_linear_files/Yang_linear_img/84579825.jpg", "84579825")</f>
        <v>84579825</v>
      </c>
      <c r="C2298" s="3" t="str">
        <f>HYPERLINK("http://www.ncbi.nlm.nih.gov/protein/84579825","Exoc3")</f>
        <v>Exoc3</v>
      </c>
      <c r="E2298" t="str">
        <f>HYPERLINK("J:\Depot - mpkCCD Fractions\Main Web Page\Web Pages_old\proteomic_fractions_linear_files/Yang_linear_img/84579825.jpg","show blot")</f>
        <v>show blot</v>
      </c>
      <c r="G2298" t="s">
        <v>2275</v>
      </c>
      <c r="I2298" s="6">
        <v>4.0797317269849733</v>
      </c>
      <c r="K2298" s="8"/>
    </row>
    <row r="2299" spans="1:11" ht="15" x14ac:dyDescent="0.25">
      <c r="A2299" s="3" t="str">
        <f>HYPERLINK("proteomic_fractions_linear_files/Yang_linear_img/309265796.jpg", "309265796")</f>
        <v>309265796</v>
      </c>
      <c r="C2299" s="3" t="str">
        <f>HYPERLINK("http://www.ncbi.nlm.nih.gov/protein/309265796","Exoc3l2")</f>
        <v>Exoc3l2</v>
      </c>
      <c r="E2299" t="str">
        <f>HYPERLINK("J:\Depot - mpkCCD Fractions\Main Web Page\Web Pages_old\proteomic_fractions_linear_files/Yang_linear_img/309265796.jpg","show blot")</f>
        <v>show blot</v>
      </c>
      <c r="G2299" t="s">
        <v>2276</v>
      </c>
      <c r="I2299" s="6">
        <v>3.2870434162358548</v>
      </c>
      <c r="K2299" s="8"/>
    </row>
    <row r="2300" spans="1:11" ht="15" x14ac:dyDescent="0.25">
      <c r="A2300" s="3" t="str">
        <f>HYPERLINK("proteomic_fractions_linear_files/Yang_linear_img/83921574.jpg", "83921574")</f>
        <v>83921574</v>
      </c>
      <c r="C2300" s="3" t="str">
        <f>HYPERLINK("http://www.ncbi.nlm.nih.gov/protein/83921574","Exoc4")</f>
        <v>Exoc4</v>
      </c>
      <c r="E2300" t="str">
        <f>HYPERLINK("J:\Depot - mpkCCD Fractions\Main Web Page\Web Pages_old\proteomic_fractions_linear_files/Yang_linear_img/83921574.jpg","show blot")</f>
        <v>show blot</v>
      </c>
      <c r="G2300" t="s">
        <v>2277</v>
      </c>
      <c r="I2300" s="6">
        <v>4.4935264986601151</v>
      </c>
      <c r="K2300" s="8"/>
    </row>
    <row r="2301" spans="1:11" ht="15" x14ac:dyDescent="0.25">
      <c r="A2301" s="3" t="str">
        <f>HYPERLINK("proteomic_fractions_linear_files/Yang_linear_img/46402177.jpg", "46402177")</f>
        <v>46402177</v>
      </c>
      <c r="C2301" s="3" t="str">
        <f>HYPERLINK("http://www.ncbi.nlm.nih.gov/protein/46402177","Exoc5")</f>
        <v>Exoc5</v>
      </c>
      <c r="E2301" t="str">
        <f>HYPERLINK("J:\Depot - mpkCCD Fractions\Main Web Page\Web Pages_old\proteomic_fractions_linear_files/Yang_linear_img/46402177.jpg","show blot")</f>
        <v>show blot</v>
      </c>
      <c r="G2301" t="s">
        <v>2278</v>
      </c>
      <c r="I2301" s="6">
        <v>4.2797659149808123</v>
      </c>
      <c r="K2301" s="8"/>
    </row>
    <row r="2302" spans="1:11" ht="15" x14ac:dyDescent="0.25">
      <c r="A2302" s="3" t="str">
        <f>HYPERLINK("proteomic_fractions_linear_files/Yang_linear_img/62526126.jpg", "62526126")</f>
        <v>62526126</v>
      </c>
      <c r="C2302" s="3" t="str">
        <f>HYPERLINK("http://www.ncbi.nlm.nih.gov/protein/62526126","Exoc6")</f>
        <v>Exoc6</v>
      </c>
      <c r="E2302" t="str">
        <f>HYPERLINK("J:\Depot - mpkCCD Fractions\Main Web Page\Web Pages_old\proteomic_fractions_linear_files/Yang_linear_img/62526126.jpg","show blot")</f>
        <v>show blot</v>
      </c>
      <c r="G2302" t="s">
        <v>2279</v>
      </c>
      <c r="I2302" s="6">
        <v>4.6970292432911753</v>
      </c>
      <c r="K2302" s="8"/>
    </row>
    <row r="2303" spans="1:11" ht="15" x14ac:dyDescent="0.25">
      <c r="A2303" s="3" t="str">
        <f>HYPERLINK("proteomic_fractions_linear_files/Yang_linear_img/226371698.jpg", "226371698")</f>
        <v>226371698</v>
      </c>
      <c r="C2303" s="3" t="str">
        <f>HYPERLINK("http://www.ncbi.nlm.nih.gov/protein/226371698","Exoc6b")</f>
        <v>Exoc6b</v>
      </c>
      <c r="E2303" t="str">
        <f>HYPERLINK("J:\Depot - mpkCCD Fractions\Main Web Page\Web Pages_old\proteomic_fractions_linear_files/Yang_linear_img/226371698.jpg","show blot")</f>
        <v>show blot</v>
      </c>
      <c r="G2303" t="s">
        <v>2280</v>
      </c>
      <c r="I2303" s="6">
        <v>3.1821103388068699</v>
      </c>
      <c r="K2303" s="8"/>
    </row>
    <row r="2304" spans="1:11" ht="15" x14ac:dyDescent="0.25">
      <c r="A2304" s="3" t="str">
        <f>HYPERLINK("proteomic_fractions_linear_files/Yang_linear_img/247269408.jpg", "247269408")</f>
        <v>247269408</v>
      </c>
      <c r="C2304" s="3" t="str">
        <f>HYPERLINK("http://www.ncbi.nlm.nih.gov/protein/247269408","Exoc7")</f>
        <v>Exoc7</v>
      </c>
      <c r="E2304" t="str">
        <f>HYPERLINK("J:\Depot - mpkCCD Fractions\Main Web Page\Web Pages_old\proteomic_fractions_linear_files/Yang_linear_img/247269408.jpg","show blot")</f>
        <v>show blot</v>
      </c>
      <c r="G2304" t="s">
        <v>2281</v>
      </c>
      <c r="I2304" s="6">
        <v>4.3185998389832276</v>
      </c>
      <c r="K2304" s="8"/>
    </row>
    <row r="2305" spans="1:11" ht="15" x14ac:dyDescent="0.25">
      <c r="A2305" s="3" t="str">
        <f>HYPERLINK("proteomic_fractions_linear_files/Yang_linear_img/247269443.jpg", "247269443")</f>
        <v>247269443</v>
      </c>
      <c r="C2305" s="3" t="str">
        <f>HYPERLINK("http://www.ncbi.nlm.nih.gov/protein/247269443","Exoc7")</f>
        <v>Exoc7</v>
      </c>
      <c r="E2305" t="str">
        <f>HYPERLINK("J:\Depot - mpkCCD Fractions\Main Web Page\Web Pages_old\proteomic_fractions_linear_files/Yang_linear_img/247269443.jpg","show blot")</f>
        <v>show blot</v>
      </c>
      <c r="G2305" t="s">
        <v>2282</v>
      </c>
      <c r="I2305" s="6">
        <v>4.3185998389832276</v>
      </c>
      <c r="K2305" s="8"/>
    </row>
    <row r="2306" spans="1:11" ht="15" x14ac:dyDescent="0.25">
      <c r="A2306" s="3" t="str">
        <f>HYPERLINK("proteomic_fractions_linear_files/Yang_linear_img/37674218.jpg", "37674218")</f>
        <v>37674218</v>
      </c>
      <c r="C2306" s="3" t="str">
        <f>HYPERLINK("http://www.ncbi.nlm.nih.gov/protein/37674218","Exoc8")</f>
        <v>Exoc8</v>
      </c>
      <c r="E2306" t="str">
        <f>HYPERLINK("J:\Depot - mpkCCD Fractions\Main Web Page\Web Pages_old\proteomic_fractions_linear_files/Yang_linear_img/37674218.jpg","show blot")</f>
        <v>show blot</v>
      </c>
      <c r="G2306" t="s">
        <v>2283</v>
      </c>
      <c r="I2306" s="6">
        <v>4.4916801294939539</v>
      </c>
      <c r="K2306" s="8"/>
    </row>
    <row r="2307" spans="1:11" ht="15" x14ac:dyDescent="0.25">
      <c r="A2307" s="3" t="str">
        <f>HYPERLINK("proteomic_fractions_linear_files/Yang_linear_img/27369613.jpg", "27369613")</f>
        <v>27369613</v>
      </c>
      <c r="C2307" s="3" t="str">
        <f>HYPERLINK("http://www.ncbi.nlm.nih.gov/protein/27369613","Exog")</f>
        <v>Exog</v>
      </c>
      <c r="E2307" t="str">
        <f>HYPERLINK("J:\Depot - mpkCCD Fractions\Main Web Page\Web Pages_old\proteomic_fractions_linear_files/Yang_linear_img/27369613.jpg","show blot")</f>
        <v>show blot</v>
      </c>
      <c r="G2307" t="s">
        <v>2284</v>
      </c>
      <c r="I2307" s="6">
        <v>2.5731226032084225</v>
      </c>
      <c r="K2307" s="8"/>
    </row>
    <row r="2308" spans="1:11" ht="15" x14ac:dyDescent="0.25">
      <c r="A2308" s="3" t="str">
        <f>HYPERLINK("proteomic_fractions_linear_files/Yang_linear_img/287327708.jpg", "287327708")</f>
        <v>287327708</v>
      </c>
      <c r="C2308" s="3" t="str">
        <f>HYPERLINK("http://www.ncbi.nlm.nih.gov/protein/287327708","Exog")</f>
        <v>Exog</v>
      </c>
      <c r="E2308" t="str">
        <f>HYPERLINK("J:\Depot - mpkCCD Fractions\Main Web Page\Web Pages_old\proteomic_fractions_linear_files/Yang_linear_img/287327708.jpg","show blot")</f>
        <v>show blot</v>
      </c>
      <c r="G2308" t="s">
        <v>2285</v>
      </c>
      <c r="I2308" s="6">
        <v>2.5731226032084225</v>
      </c>
      <c r="K2308" s="8"/>
    </row>
    <row r="2309" spans="1:11" ht="15" x14ac:dyDescent="0.25">
      <c r="A2309" s="3" t="str">
        <f>HYPERLINK("proteomic_fractions_linear_files/Yang_linear_img/22267446.jpg", "22267446")</f>
        <v>22267446</v>
      </c>
      <c r="C2309" s="3" t="str">
        <f>HYPERLINK("http://www.ncbi.nlm.nih.gov/protein/22267446","Exosc1")</f>
        <v>Exosc1</v>
      </c>
      <c r="E2309" t="str">
        <f>HYPERLINK("J:\Depot - mpkCCD Fractions\Main Web Page\Web Pages_old\proteomic_fractions_linear_files/Yang_linear_img/22267446.jpg","show blot")</f>
        <v>show blot</v>
      </c>
      <c r="G2309" t="s">
        <v>2286</v>
      </c>
      <c r="I2309" s="6">
        <v>5.4381055366930902</v>
      </c>
      <c r="K2309" s="8"/>
    </row>
    <row r="2310" spans="1:11" ht="15" x14ac:dyDescent="0.25">
      <c r="A2310" s="3" t="str">
        <f>HYPERLINK("proteomic_fractions_linear_files/Yang_linear_img/257096005.jpg", "257096005")</f>
        <v>257096005</v>
      </c>
      <c r="C2310" s="3" t="str">
        <f>HYPERLINK("http://www.ncbi.nlm.nih.gov/protein/257096005","Exosc1")</f>
        <v>Exosc1</v>
      </c>
      <c r="E2310" t="str">
        <f>HYPERLINK("J:\Depot - mpkCCD Fractions\Main Web Page\Web Pages_old\proteomic_fractions_linear_files/Yang_linear_img/257096005.jpg","show blot")</f>
        <v>show blot</v>
      </c>
      <c r="G2310" t="s">
        <v>2287</v>
      </c>
      <c r="I2310" s="6">
        <v>5.4381055366930902</v>
      </c>
      <c r="K2310" s="8"/>
    </row>
    <row r="2311" spans="1:11" ht="15" x14ac:dyDescent="0.25">
      <c r="A2311" s="3" t="str">
        <f>HYPERLINK("proteomic_fractions_linear_files/Yang_linear_img/227116266.jpg", "227116266")</f>
        <v>227116266</v>
      </c>
      <c r="C2311" s="3" t="str">
        <f>HYPERLINK("http://www.ncbi.nlm.nih.gov/protein/227116266","Exosc10")</f>
        <v>Exosc10</v>
      </c>
      <c r="E2311" t="str">
        <f>HYPERLINK("J:\Depot - mpkCCD Fractions\Main Web Page\Web Pages_old\proteomic_fractions_linear_files/Yang_linear_img/227116266.jpg","show blot")</f>
        <v>show blot</v>
      </c>
      <c r="G2311" t="s">
        <v>2288</v>
      </c>
      <c r="I2311" s="6">
        <v>4.4531175660290971</v>
      </c>
      <c r="K2311" s="8"/>
    </row>
    <row r="2312" spans="1:11" ht="15" x14ac:dyDescent="0.25">
      <c r="A2312" s="3" t="str">
        <f>HYPERLINK("proteomic_fractions_linear_files/Yang_linear_img/21450259.jpg", "21450259")</f>
        <v>21450259</v>
      </c>
      <c r="C2312" s="3" t="str">
        <f>HYPERLINK("http://www.ncbi.nlm.nih.gov/protein/21450259","Exosc2")</f>
        <v>Exosc2</v>
      </c>
      <c r="E2312" t="str">
        <f>HYPERLINK("J:\Depot - mpkCCD Fractions\Main Web Page\Web Pages_old\proteomic_fractions_linear_files/Yang_linear_img/21450259.jpg","show blot")</f>
        <v>show blot</v>
      </c>
      <c r="G2312" t="s">
        <v>2289</v>
      </c>
      <c r="I2312" s="6">
        <v>5.3914456214341167</v>
      </c>
      <c r="K2312" s="8"/>
    </row>
    <row r="2313" spans="1:11" ht="15" x14ac:dyDescent="0.25">
      <c r="A2313" s="3" t="str">
        <f>HYPERLINK("proteomic_fractions_linear_files/Yang_linear_img/39930417.jpg", "39930417")</f>
        <v>39930417</v>
      </c>
      <c r="C2313" s="3" t="str">
        <f>HYPERLINK("http://www.ncbi.nlm.nih.gov/protein/39930417","Exosc3")</f>
        <v>Exosc3</v>
      </c>
      <c r="E2313" t="str">
        <f>HYPERLINK("J:\Depot - mpkCCD Fractions\Main Web Page\Web Pages_old\proteomic_fractions_linear_files/Yang_linear_img/39930417.jpg","show blot")</f>
        <v>show blot</v>
      </c>
      <c r="G2313" t="s">
        <v>2290</v>
      </c>
      <c r="I2313" s="6">
        <v>5.2074301191409198</v>
      </c>
      <c r="K2313" s="8"/>
    </row>
    <row r="2314" spans="1:11" ht="15" x14ac:dyDescent="0.25">
      <c r="A2314" s="3" t="str">
        <f>HYPERLINK("proteomic_fractions_linear_files/Yang_linear_img/29611663.jpg", "29611663")</f>
        <v>29611663</v>
      </c>
      <c r="C2314" s="3" t="str">
        <f>HYPERLINK("http://www.ncbi.nlm.nih.gov/protein/29611663","Exosc4")</f>
        <v>Exosc4</v>
      </c>
      <c r="E2314" t="str">
        <f>HYPERLINK("J:\Depot - mpkCCD Fractions\Main Web Page\Web Pages_old\proteomic_fractions_linear_files/Yang_linear_img/29611663.jpg","show blot")</f>
        <v>show blot</v>
      </c>
      <c r="G2314" t="s">
        <v>2291</v>
      </c>
      <c r="I2314" s="6">
        <v>4.8062578699671556</v>
      </c>
      <c r="K2314" s="8"/>
    </row>
    <row r="2315" spans="1:11" ht="15" x14ac:dyDescent="0.25">
      <c r="A2315" s="3" t="str">
        <f>HYPERLINK("proteomic_fractions_linear_files/Yang_linear_img/20070392.jpg", "20070392")</f>
        <v>20070392</v>
      </c>
      <c r="C2315" s="3" t="str">
        <f>HYPERLINK("http://www.ncbi.nlm.nih.gov/protein/20070392","Exosc5")</f>
        <v>Exosc5</v>
      </c>
      <c r="E2315" t="str">
        <f>HYPERLINK("J:\Depot - mpkCCD Fractions\Main Web Page\Web Pages_old\proteomic_fractions_linear_files/Yang_linear_img/20070392.jpg","show blot")</f>
        <v>show blot</v>
      </c>
      <c r="G2315" t="s">
        <v>2292</v>
      </c>
      <c r="I2315" s="6">
        <v>4.9283934177548234</v>
      </c>
      <c r="K2315" s="8"/>
    </row>
    <row r="2316" spans="1:11" ht="15" x14ac:dyDescent="0.25">
      <c r="A2316" s="3" t="str">
        <f>HYPERLINK("proteomic_fractions_linear_files/Yang_linear_img/30794378.jpg", "30794378")</f>
        <v>30794378</v>
      </c>
      <c r="C2316" s="3" t="str">
        <f>HYPERLINK("http://www.ncbi.nlm.nih.gov/protein/30794378","Exosc6")</f>
        <v>Exosc6</v>
      </c>
      <c r="E2316" t="str">
        <f>HYPERLINK("J:\Depot - mpkCCD Fractions\Main Web Page\Web Pages_old\proteomic_fractions_linear_files/Yang_linear_img/30794378.jpg","show blot")</f>
        <v>show blot</v>
      </c>
      <c r="G2316" t="s">
        <v>2293</v>
      </c>
      <c r="I2316" s="6">
        <v>5.4911205822698372</v>
      </c>
      <c r="K2316" s="8"/>
    </row>
    <row r="2317" spans="1:11" ht="15" x14ac:dyDescent="0.25">
      <c r="A2317" s="3" t="str">
        <f>HYPERLINK("proteomic_fractions_linear_files/Yang_linear_img/124487127.jpg", "124487127")</f>
        <v>124487127</v>
      </c>
      <c r="C2317" s="3" t="str">
        <f>HYPERLINK("http://www.ncbi.nlm.nih.gov/protein/124487127","Exosc7")</f>
        <v>Exosc7</v>
      </c>
      <c r="E2317" t="str">
        <f>HYPERLINK("J:\Depot - mpkCCD Fractions\Main Web Page\Web Pages_old\proteomic_fractions_linear_files/Yang_linear_img/124487127.jpg","show blot")</f>
        <v>show blot</v>
      </c>
      <c r="G2317" t="s">
        <v>2294</v>
      </c>
      <c r="I2317" s="6">
        <v>5.2579287478353711</v>
      </c>
      <c r="K2317" s="8"/>
    </row>
    <row r="2318" spans="1:11" ht="15" x14ac:dyDescent="0.25">
      <c r="A2318" s="3" t="str">
        <f>HYPERLINK("proteomic_fractions_linear_files/Yang_linear_img/254675240.jpg", "254675240")</f>
        <v>254675240</v>
      </c>
      <c r="C2318" s="3" t="str">
        <f>HYPERLINK("http://www.ncbi.nlm.nih.gov/protein/254675240","Exosc8")</f>
        <v>Exosc8</v>
      </c>
      <c r="E2318" t="str">
        <f>HYPERLINK("J:\Depot - mpkCCD Fractions\Main Web Page\Web Pages_old\proteomic_fractions_linear_files/Yang_linear_img/254675240.jpg","show blot")</f>
        <v>show blot</v>
      </c>
      <c r="G2318" t="s">
        <v>2295</v>
      </c>
      <c r="I2318" s="6">
        <v>5.2464743053353216</v>
      </c>
      <c r="K2318" s="8"/>
    </row>
    <row r="2319" spans="1:11" ht="15" x14ac:dyDescent="0.25">
      <c r="A2319" s="3" t="str">
        <f>HYPERLINK("proteomic_fractions_linear_files/Yang_linear_img/254692991.jpg", "254692991")</f>
        <v>254692991</v>
      </c>
      <c r="C2319" s="3" t="str">
        <f>HYPERLINK("http://www.ncbi.nlm.nih.gov/protein/254692991","Exosc8")</f>
        <v>Exosc8</v>
      </c>
      <c r="E2319" t="str">
        <f>HYPERLINK("J:\Depot - mpkCCD Fractions\Main Web Page\Web Pages_old\proteomic_fractions_linear_files/Yang_linear_img/254692991.jpg","show blot")</f>
        <v>show blot</v>
      </c>
      <c r="G2319" t="s">
        <v>2296</v>
      </c>
      <c r="I2319" s="6">
        <v>5.2464743053353216</v>
      </c>
      <c r="K2319" s="8"/>
    </row>
    <row r="2320" spans="1:11" ht="15" x14ac:dyDescent="0.25">
      <c r="A2320" s="3" t="str">
        <f>HYPERLINK("proteomic_fractions_linear_files/Yang_linear_img/9506981.jpg", "9506981")</f>
        <v>9506981</v>
      </c>
      <c r="C2320" s="3" t="str">
        <f>HYPERLINK("http://www.ncbi.nlm.nih.gov/protein/9506981","Exosc9")</f>
        <v>Exosc9</v>
      </c>
      <c r="E2320" t="str">
        <f>HYPERLINK("J:\Depot - mpkCCD Fractions\Main Web Page\Web Pages_old\proteomic_fractions_linear_files/Yang_linear_img/9506981.jpg","show blot")</f>
        <v>show blot</v>
      </c>
      <c r="G2320" t="s">
        <v>2297</v>
      </c>
      <c r="I2320" s="6">
        <v>5.5656892654708132</v>
      </c>
      <c r="K2320" s="8"/>
    </row>
    <row r="2321" spans="1:11" ht="15" x14ac:dyDescent="0.25">
      <c r="A2321" s="3" t="str">
        <f>HYPERLINK("proteomic_fractions_linear_files/Yang_linear_img/254553481.jpg", "254553481")</f>
        <v>254553481</v>
      </c>
      <c r="C2321" s="3" t="str">
        <f>HYPERLINK("http://www.ncbi.nlm.nih.gov/protein/254553481","Extl2")</f>
        <v>Extl2</v>
      </c>
      <c r="E2321" t="str">
        <f>HYPERLINK("J:\Depot - mpkCCD Fractions\Main Web Page\Web Pages_old\proteomic_fractions_linear_files/Yang_linear_img/254553481.jpg","show blot")</f>
        <v>show blot</v>
      </c>
      <c r="G2321" t="s">
        <v>2298</v>
      </c>
      <c r="I2321" s="6">
        <v>1.5417761146467237</v>
      </c>
      <c r="K2321" s="8"/>
    </row>
    <row r="2322" spans="1:11" ht="15" x14ac:dyDescent="0.25">
      <c r="A2322" s="3" t="str">
        <f>HYPERLINK("proteomic_fractions_linear_files/Yang_linear_img/254553485.jpg", "254553485")</f>
        <v>254553485</v>
      </c>
      <c r="C2322" s="3" t="str">
        <f>HYPERLINK("http://www.ncbi.nlm.nih.gov/protein/254553485","Extl2")</f>
        <v>Extl2</v>
      </c>
      <c r="E2322" t="str">
        <f>HYPERLINK("J:\Depot - mpkCCD Fractions\Main Web Page\Web Pages_old\proteomic_fractions_linear_files/Yang_linear_img/254553485.jpg","show blot")</f>
        <v>show blot</v>
      </c>
      <c r="G2322" t="s">
        <v>2299</v>
      </c>
      <c r="I2322" s="6">
        <v>1.5417761146467237</v>
      </c>
      <c r="K2322" s="8"/>
    </row>
    <row r="2323" spans="1:11" ht="15" x14ac:dyDescent="0.25">
      <c r="A2323" s="3" t="str">
        <f>HYPERLINK("proteomic_fractions_linear_files/Yang_linear_img/46877074.jpg", "46877074")</f>
        <v>46877074</v>
      </c>
      <c r="C2323" s="3" t="str">
        <f>HYPERLINK("http://www.ncbi.nlm.nih.gov/protein/46877074","Eya3")</f>
        <v>Eya3</v>
      </c>
      <c r="E2323" t="str">
        <f>HYPERLINK("J:\Depot - mpkCCD Fractions\Main Web Page\Web Pages_old\proteomic_fractions_linear_files/Yang_linear_img/46877074.jpg","show blot")</f>
        <v>show blot</v>
      </c>
      <c r="G2323" t="s">
        <v>2300</v>
      </c>
      <c r="I2323" s="6">
        <v>2.6739897636376537</v>
      </c>
      <c r="K2323" s="8"/>
    </row>
    <row r="2324" spans="1:11" ht="15" x14ac:dyDescent="0.25">
      <c r="A2324" s="3" t="str">
        <f>HYPERLINK("proteomic_fractions_linear_files/Yang_linear_img/46877076.jpg", "46877076")</f>
        <v>46877076</v>
      </c>
      <c r="C2324" s="3" t="str">
        <f>HYPERLINK("http://www.ncbi.nlm.nih.gov/protein/46877076","Eya3")</f>
        <v>Eya3</v>
      </c>
      <c r="E2324" t="str">
        <f>HYPERLINK("J:\Depot - mpkCCD Fractions\Main Web Page\Web Pages_old\proteomic_fractions_linear_files/Yang_linear_img/46877076.jpg","show blot")</f>
        <v>show blot</v>
      </c>
      <c r="G2324" t="s">
        <v>2301</v>
      </c>
      <c r="I2324" s="6">
        <v>2.6739897636376537</v>
      </c>
      <c r="K2324" s="8"/>
    </row>
    <row r="2325" spans="1:11" ht="15" x14ac:dyDescent="0.25">
      <c r="A2325" s="3" t="str">
        <f>HYPERLINK("proteomic_fractions_linear_files/Yang_linear_img/46877080.jpg", "46877080")</f>
        <v>46877080</v>
      </c>
      <c r="C2325" s="3" t="str">
        <f>HYPERLINK("http://www.ncbi.nlm.nih.gov/protein/46877080","Eya3")</f>
        <v>Eya3</v>
      </c>
      <c r="E2325" t="str">
        <f>HYPERLINK("J:\Depot - mpkCCD Fractions\Main Web Page\Web Pages_old\proteomic_fractions_linear_files/Yang_linear_img/46877080.jpg","show blot")</f>
        <v>show blot</v>
      </c>
      <c r="G2325" t="s">
        <v>2302</v>
      </c>
      <c r="I2325" s="6">
        <v>2.6739897636376537</v>
      </c>
      <c r="K2325" s="8"/>
    </row>
    <row r="2326" spans="1:11" ht="15" x14ac:dyDescent="0.25">
      <c r="A2326" s="3" t="str">
        <f>HYPERLINK("proteomic_fractions_linear_files/Yang_linear_img/83921618.jpg", "83921618")</f>
        <v>83921618</v>
      </c>
      <c r="C2326" s="3" t="str">
        <f>HYPERLINK("http://www.ncbi.nlm.nih.gov/protein/83921618","Ezr")</f>
        <v>Ezr</v>
      </c>
      <c r="E2326" t="str">
        <f>HYPERLINK("J:\Depot - mpkCCD Fractions\Main Web Page\Web Pages_old\proteomic_fractions_linear_files/Yang_linear_img/83921618.jpg","show blot")</f>
        <v>show blot</v>
      </c>
      <c r="G2326" t="s">
        <v>2303</v>
      </c>
      <c r="I2326" s="6">
        <v>6.808861629677124</v>
      </c>
      <c r="K2326" s="8"/>
    </row>
    <row r="2327" spans="1:11" ht="15" x14ac:dyDescent="0.25">
      <c r="A2327" s="3" t="str">
        <f>HYPERLINK("proteomic_fractions_linear_files/Yang_linear_img/27734847.jpg", "27734847")</f>
        <v>27734847</v>
      </c>
      <c r="C2327" s="3" t="str">
        <f>HYPERLINK("http://www.ncbi.nlm.nih.gov/protein/27734847","F11r")</f>
        <v>F11r</v>
      </c>
      <c r="E2327" t="str">
        <f>HYPERLINK("J:\Depot - mpkCCD Fractions\Main Web Page\Web Pages_old\proteomic_fractions_linear_files/Yang_linear_img/27734847.jpg","show blot")</f>
        <v>show blot</v>
      </c>
      <c r="G2327" t="s">
        <v>2304</v>
      </c>
      <c r="I2327" s="6">
        <v>5.8327496823266323</v>
      </c>
      <c r="K2327" s="8"/>
    </row>
    <row r="2328" spans="1:11" ht="15" x14ac:dyDescent="0.25">
      <c r="A2328" s="3" t="str">
        <f>HYPERLINK("proteomic_fractions_linear_files/Yang_linear_img/6753798.jpg", "6753798")</f>
        <v>6753798</v>
      </c>
      <c r="C2328" s="3" t="str">
        <f>HYPERLINK("http://www.ncbi.nlm.nih.gov/protein/6753798","F2")</f>
        <v>F2</v>
      </c>
      <c r="E2328" t="str">
        <f>HYPERLINK("J:\Depot - mpkCCD Fractions\Main Web Page\Web Pages_old\proteomic_fractions_linear_files/Yang_linear_img/6753798.jpg","show blot")</f>
        <v>show blot</v>
      </c>
      <c r="G2328" t="s">
        <v>2305</v>
      </c>
      <c r="I2328" s="6">
        <v>3.4822787684545156</v>
      </c>
      <c r="K2328" s="8"/>
    </row>
    <row r="2329" spans="1:11" ht="15" x14ac:dyDescent="0.25">
      <c r="A2329" s="3" t="str">
        <f>HYPERLINK("proteomic_fractions_linear_files/Yang_linear_img/170172540.jpg", "170172540")</f>
        <v>170172540</v>
      </c>
      <c r="C2329" s="3" t="str">
        <f>HYPERLINK("http://www.ncbi.nlm.nih.gov/protein/170172540","F3")</f>
        <v>F3</v>
      </c>
      <c r="E2329" t="str">
        <f>HYPERLINK("J:\Depot - mpkCCD Fractions\Main Web Page\Web Pages_old\proteomic_fractions_linear_files/Yang_linear_img/170172540.jpg","show blot")</f>
        <v>show blot</v>
      </c>
      <c r="G2329" t="s">
        <v>2306</v>
      </c>
      <c r="I2329" s="6">
        <v>5.5550717988657556</v>
      </c>
      <c r="K2329" s="8"/>
    </row>
    <row r="2330" spans="1:11" ht="15" x14ac:dyDescent="0.25">
      <c r="A2330" s="3" t="str">
        <f>HYPERLINK("proteomic_fractions_linear_files/Yang_linear_img/83921576.jpg", "83921576")</f>
        <v>83921576</v>
      </c>
      <c r="C2330" s="3" t="str">
        <f>HYPERLINK("http://www.ncbi.nlm.nih.gov/protein/83921576","F8a")</f>
        <v>F8a</v>
      </c>
      <c r="E2330" t="str">
        <f>HYPERLINK("J:\Depot - mpkCCD Fractions\Main Web Page\Web Pages_old\proteomic_fractions_linear_files/Yang_linear_img/83921576.jpg","show blot")</f>
        <v>show blot</v>
      </c>
      <c r="G2330" t="s">
        <v>2307</v>
      </c>
      <c r="I2330" s="6">
        <v>3.8119411920087312</v>
      </c>
      <c r="K2330" s="8"/>
    </row>
    <row r="2331" spans="1:11" ht="15" x14ac:dyDescent="0.25">
      <c r="A2331" s="3" t="str">
        <f>HYPERLINK("proteomic_fractions_linear_files/Yang_linear_img/226443015.jpg", "226443015")</f>
        <v>226443015</v>
      </c>
      <c r="C2331" s="3" t="str">
        <f>HYPERLINK("http://www.ncbi.nlm.nih.gov/protein/226443015","Faah")</f>
        <v>Faah</v>
      </c>
      <c r="E2331" t="str">
        <f>HYPERLINK("J:\Depot - mpkCCD Fractions\Main Web Page\Web Pages_old\proteomic_fractions_linear_files/Yang_linear_img/226443015.jpg","show blot")</f>
        <v>show blot</v>
      </c>
      <c r="G2331" t="s">
        <v>2308</v>
      </c>
      <c r="I2331" s="6">
        <v>4.2204301262162707</v>
      </c>
      <c r="K2331" s="8"/>
    </row>
    <row r="2332" spans="1:11" ht="15" x14ac:dyDescent="0.25">
      <c r="A2332" s="3" t="str">
        <f>HYPERLINK("proteomic_fractions_linear_files/Yang_linear_img/22164784.jpg", "22164784")</f>
        <v>22164784</v>
      </c>
      <c r="C2332" s="3" t="str">
        <f>HYPERLINK("http://www.ncbi.nlm.nih.gov/protein/22164784","Fads1")</f>
        <v>Fads1</v>
      </c>
      <c r="E2332" t="str">
        <f>HYPERLINK("J:\Depot - mpkCCD Fractions\Main Web Page\Web Pages_old\proteomic_fractions_linear_files/Yang_linear_img/22164784.jpg","show blot")</f>
        <v>show blot</v>
      </c>
      <c r="G2332" t="s">
        <v>2309</v>
      </c>
      <c r="I2332" s="6">
        <v>4.7961855382725691</v>
      </c>
      <c r="K2332" s="8"/>
    </row>
    <row r="2333" spans="1:11" ht="15" x14ac:dyDescent="0.25">
      <c r="A2333" s="3" t="str">
        <f>HYPERLINK("proteomic_fractions_linear_files/Yang_linear_img/9790071.jpg", "9790071")</f>
        <v>9790071</v>
      </c>
      <c r="C2333" s="3" t="str">
        <f>HYPERLINK("http://www.ncbi.nlm.nih.gov/protein/9790071","Fads2")</f>
        <v>Fads2</v>
      </c>
      <c r="E2333" t="str">
        <f>HYPERLINK("J:\Depot - mpkCCD Fractions\Main Web Page\Web Pages_old\proteomic_fractions_linear_files/Yang_linear_img/9790071.jpg","show blot")</f>
        <v>show blot</v>
      </c>
      <c r="G2333" t="s">
        <v>2310</v>
      </c>
      <c r="I2333" s="6">
        <v>4.8966608725642748</v>
      </c>
      <c r="K2333" s="8"/>
    </row>
    <row r="2334" spans="1:11" ht="15" x14ac:dyDescent="0.25">
      <c r="A2334" s="3" t="str">
        <f>HYPERLINK("proteomic_fractions_linear_files/Yang_linear_img/40789280.jpg", "40789280")</f>
        <v>40789280</v>
      </c>
      <c r="C2334" s="3" t="str">
        <f>HYPERLINK("http://www.ncbi.nlm.nih.gov/protein/40789280","Faf1")</f>
        <v>Faf1</v>
      </c>
      <c r="E2334" t="str">
        <f>HYPERLINK("J:\Depot - mpkCCD Fractions\Main Web Page\Web Pages_old\proteomic_fractions_linear_files/Yang_linear_img/40789280.jpg","show blot")</f>
        <v>show blot</v>
      </c>
      <c r="G2334" t="s">
        <v>2311</v>
      </c>
      <c r="I2334" s="6">
        <v>4.6644025929122765</v>
      </c>
      <c r="K2334" s="8"/>
    </row>
    <row r="2335" spans="1:11" ht="15" x14ac:dyDescent="0.25">
      <c r="A2335" s="3" t="str">
        <f>HYPERLINK("proteomic_fractions_linear_files/Yang_linear_img/158533976.jpg", "158533976")</f>
        <v>158533976</v>
      </c>
      <c r="C2335" s="3" t="str">
        <f>HYPERLINK("http://www.ncbi.nlm.nih.gov/protein/158533976","Faf2")</f>
        <v>Faf2</v>
      </c>
      <c r="E2335" t="str">
        <f>HYPERLINK("J:\Depot - mpkCCD Fractions\Main Web Page\Web Pages_old\proteomic_fractions_linear_files/Yang_linear_img/158533976.jpg","show blot")</f>
        <v>show blot</v>
      </c>
      <c r="G2335" t="s">
        <v>2312</v>
      </c>
      <c r="I2335" s="6">
        <v>5.0404396406342062</v>
      </c>
      <c r="K2335" s="8"/>
    </row>
    <row r="2336" spans="1:11" ht="15" x14ac:dyDescent="0.25">
      <c r="A2336" s="3" t="str">
        <f>HYPERLINK("proteomic_fractions_linear_files/Yang_linear_img/240120112.jpg", "240120112")</f>
        <v>240120112</v>
      </c>
      <c r="C2336" s="3" t="str">
        <f>HYPERLINK("http://www.ncbi.nlm.nih.gov/protein/240120112","Fah")</f>
        <v>Fah</v>
      </c>
      <c r="E2336" t="str">
        <f>HYPERLINK("J:\Depot - mpkCCD Fractions\Main Web Page\Web Pages_old\proteomic_fractions_linear_files/Yang_linear_img/240120112.jpg","show blot")</f>
        <v>show blot</v>
      </c>
      <c r="G2336" t="s">
        <v>2313</v>
      </c>
      <c r="I2336" s="6">
        <v>4.3945684726598886</v>
      </c>
      <c r="K2336" s="8"/>
    </row>
    <row r="2337" spans="1:11" ht="15" x14ac:dyDescent="0.25">
      <c r="A2337" s="3" t="str">
        <f>HYPERLINK("proteomic_fractions_linear_files/Yang_linear_img/12963697.jpg", "12963697")</f>
        <v>12963697</v>
      </c>
      <c r="C2337" s="3" t="str">
        <f>HYPERLINK("http://www.ncbi.nlm.nih.gov/protein/12963697","Fahd1")</f>
        <v>Fahd1</v>
      </c>
      <c r="E2337" t="str">
        <f>HYPERLINK("J:\Depot - mpkCCD Fractions\Main Web Page\Web Pages_old\proteomic_fractions_linear_files/Yang_linear_img/12963697.jpg","show blot")</f>
        <v>show blot</v>
      </c>
      <c r="G2337" t="s">
        <v>2314</v>
      </c>
      <c r="I2337" s="6">
        <v>4.8955655295933864</v>
      </c>
      <c r="K2337" s="8"/>
    </row>
    <row r="2338" spans="1:11" ht="15" x14ac:dyDescent="0.25">
      <c r="A2338" s="3" t="str">
        <f>HYPERLINK("proteomic_fractions_linear_files/Yang_linear_img/29366814.jpg", "29366814")</f>
        <v>29366814</v>
      </c>
      <c r="C2338" s="3" t="str">
        <f>HYPERLINK("http://www.ncbi.nlm.nih.gov/protein/29366814","Fahd2a")</f>
        <v>Fahd2a</v>
      </c>
      <c r="E2338" t="str">
        <f>HYPERLINK("J:\Depot - mpkCCD Fractions\Main Web Page\Web Pages_old\proteomic_fractions_linear_files/Yang_linear_img/29366814.jpg","show blot")</f>
        <v>show blot</v>
      </c>
      <c r="G2338" t="s">
        <v>2315</v>
      </c>
      <c r="I2338" s="6">
        <v>4.416682515587099</v>
      </c>
      <c r="K2338" s="8"/>
    </row>
    <row r="2339" spans="1:11" ht="15" x14ac:dyDescent="0.25">
      <c r="A2339" s="3" t="str">
        <f>HYPERLINK("proteomic_fractions_linear_files/Yang_linear_img/171184428.jpg", "171184428")</f>
        <v>171184428</v>
      </c>
      <c r="C2339" s="3" t="str">
        <f>HYPERLINK("http://www.ncbi.nlm.nih.gov/protein/171184428","Faim")</f>
        <v>Faim</v>
      </c>
      <c r="E2339" t="str">
        <f>HYPERLINK("J:\Depot - mpkCCD Fractions\Main Web Page\Web Pages_old\proteomic_fractions_linear_files/Yang_linear_img/171184428.jpg","show blot")</f>
        <v>show blot</v>
      </c>
      <c r="G2339" t="s">
        <v>2316</v>
      </c>
      <c r="I2339" s="6">
        <v>4.3069022417761662</v>
      </c>
      <c r="K2339" s="8"/>
    </row>
    <row r="2340" spans="1:11" ht="15" x14ac:dyDescent="0.25">
      <c r="A2340" s="3" t="str">
        <f>HYPERLINK("proteomic_fractions_linear_files/Yang_linear_img/171184430.jpg", "171184430")</f>
        <v>171184430</v>
      </c>
      <c r="C2340" s="3" t="str">
        <f>HYPERLINK("http://www.ncbi.nlm.nih.gov/protein/171184430","Faim")</f>
        <v>Faim</v>
      </c>
      <c r="E2340" t="str">
        <f>HYPERLINK("J:\Depot - mpkCCD Fractions\Main Web Page\Web Pages_old\proteomic_fractions_linear_files/Yang_linear_img/171184430.jpg","show blot")</f>
        <v>show blot</v>
      </c>
      <c r="G2340" t="s">
        <v>2317</v>
      </c>
      <c r="I2340" s="6">
        <v>4.3069022417761662</v>
      </c>
      <c r="K2340" s="8"/>
    </row>
    <row r="2341" spans="1:11" ht="15" x14ac:dyDescent="0.25">
      <c r="A2341" s="3" t="str">
        <f>HYPERLINK("proteomic_fractions_linear_files/Yang_linear_img/254675227.jpg", "254675227")</f>
        <v>254675227</v>
      </c>
      <c r="C2341" s="3" t="str">
        <f>HYPERLINK("http://www.ncbi.nlm.nih.gov/protein/254675227","Fam102b")</f>
        <v>Fam102b</v>
      </c>
      <c r="E2341" t="str">
        <f>HYPERLINK("J:\Depot - mpkCCD Fractions\Main Web Page\Web Pages_old\proteomic_fractions_linear_files/Yang_linear_img/254675227.jpg","show blot")</f>
        <v>show blot</v>
      </c>
      <c r="G2341" t="s">
        <v>2318</v>
      </c>
      <c r="I2341" s="6">
        <v>3.3941490670436107</v>
      </c>
      <c r="K2341" s="8"/>
    </row>
    <row r="2342" spans="1:11" ht="15" x14ac:dyDescent="0.25">
      <c r="A2342" s="3" t="str">
        <f>HYPERLINK("proteomic_fractions_linear_files/Yang_linear_img/149588667.jpg", "149588667")</f>
        <v>149588667</v>
      </c>
      <c r="C2342" s="3" t="str">
        <f>HYPERLINK("http://www.ncbi.nlm.nih.gov/protein/149588667","Fam104a")</f>
        <v>Fam104a</v>
      </c>
      <c r="E2342" t="str">
        <f>HYPERLINK("J:\Depot - mpkCCD Fractions\Main Web Page\Web Pages_old\proteomic_fractions_linear_files/Yang_linear_img/149588667.jpg","show blot")</f>
        <v>show blot</v>
      </c>
      <c r="G2342" t="s">
        <v>2319</v>
      </c>
      <c r="I2342" s="6">
        <v>2.8912721695784391</v>
      </c>
      <c r="K2342" s="8"/>
    </row>
    <row r="2343" spans="1:11" ht="15" x14ac:dyDescent="0.25">
      <c r="A2343" s="3" t="str">
        <f>HYPERLINK("proteomic_fractions_linear_files/Yang_linear_img/13385088.jpg", "13385088")</f>
        <v>13385088</v>
      </c>
      <c r="C2343" s="3" t="str">
        <f>HYPERLINK("http://www.ncbi.nlm.nih.gov/protein/13385088","Fam107b")</f>
        <v>Fam107b</v>
      </c>
      <c r="E2343" t="str">
        <f>HYPERLINK("J:\Depot - mpkCCD Fractions\Main Web Page\Web Pages_old\proteomic_fractions_linear_files/Yang_linear_img/13385088.jpg","show blot")</f>
        <v>show blot</v>
      </c>
      <c r="G2343" t="s">
        <v>2320</v>
      </c>
      <c r="I2343" s="6">
        <v>5.4571625549350662</v>
      </c>
      <c r="K2343" s="8"/>
    </row>
    <row r="2344" spans="1:11" ht="15" x14ac:dyDescent="0.25">
      <c r="A2344" s="3" t="str">
        <f>HYPERLINK("proteomic_fractions_linear_files/Yang_linear_img/170650597.jpg", "170650597")</f>
        <v>170650597</v>
      </c>
      <c r="C2344" s="3" t="str">
        <f>HYPERLINK("http://www.ncbi.nlm.nih.gov/protein/170650597","Fam114a1")</f>
        <v>Fam114a1</v>
      </c>
      <c r="E2344" t="str">
        <f>HYPERLINK("J:\Depot - mpkCCD Fractions\Main Web Page\Web Pages_old\proteomic_fractions_linear_files/Yang_linear_img/170650597.jpg","show blot")</f>
        <v>show blot</v>
      </c>
      <c r="G2344" t="s">
        <v>2321</v>
      </c>
      <c r="I2344" s="6">
        <v>3.6439255298121669</v>
      </c>
      <c r="K2344" s="8"/>
    </row>
    <row r="2345" spans="1:11" ht="15" x14ac:dyDescent="0.25">
      <c r="A2345" s="3" t="str">
        <f>HYPERLINK("proteomic_fractions_linear_files/Yang_linear_img/21312816.jpg", "21312816")</f>
        <v>21312816</v>
      </c>
      <c r="C2345" s="3" t="str">
        <f>HYPERLINK("http://www.ncbi.nlm.nih.gov/protein/21312816","Fam114a2")</f>
        <v>Fam114a2</v>
      </c>
      <c r="E2345" t="str">
        <f>HYPERLINK("J:\Depot - mpkCCD Fractions\Main Web Page\Web Pages_old\proteomic_fractions_linear_files/Yang_linear_img/21312816.jpg","show blot")</f>
        <v>show blot</v>
      </c>
      <c r="G2345" t="s">
        <v>2322</v>
      </c>
      <c r="I2345" s="6">
        <v>4.4850789220927432</v>
      </c>
      <c r="K2345" s="8"/>
    </row>
    <row r="2346" spans="1:11" ht="15" x14ac:dyDescent="0.25">
      <c r="A2346" s="3" t="str">
        <f>HYPERLINK("proteomic_fractions_linear_files/Yang_linear_img/281183372.jpg", "281183372")</f>
        <v>281183372</v>
      </c>
      <c r="C2346" s="3" t="str">
        <f>HYPERLINK("http://www.ncbi.nlm.nih.gov/protein/281183372","Fam114a2")</f>
        <v>Fam114a2</v>
      </c>
      <c r="E2346" t="str">
        <f>HYPERLINK("J:\Depot - mpkCCD Fractions\Main Web Page\Web Pages_old\proteomic_fractions_linear_files/Yang_linear_img/281183372.jpg","show blot")</f>
        <v>show blot</v>
      </c>
      <c r="G2346" t="s">
        <v>2323</v>
      </c>
      <c r="I2346" s="6">
        <v>4.4850789220927432</v>
      </c>
      <c r="K2346" s="8"/>
    </row>
    <row r="2347" spans="1:11" ht="15" x14ac:dyDescent="0.25">
      <c r="A2347" s="3" t="str">
        <f>HYPERLINK("proteomic_fractions_linear_files/Yang_linear_img/19526958.jpg", "19526958")</f>
        <v>19526958</v>
      </c>
      <c r="C2347" s="3" t="str">
        <f>HYPERLINK("http://www.ncbi.nlm.nih.gov/protein/19526958","Fam118a")</f>
        <v>Fam118a</v>
      </c>
      <c r="E2347" t="str">
        <f>HYPERLINK("J:\Depot - mpkCCD Fractions\Main Web Page\Web Pages_old\proteomic_fractions_linear_files/Yang_linear_img/19526958.jpg","show blot")</f>
        <v>show blot</v>
      </c>
      <c r="G2347" t="s">
        <v>2324</v>
      </c>
      <c r="I2347" s="6">
        <v>3.1723003174272542</v>
      </c>
      <c r="K2347" s="8"/>
    </row>
    <row r="2348" spans="1:11" ht="15" x14ac:dyDescent="0.25">
      <c r="A2348" s="3" t="str">
        <f>HYPERLINK("proteomic_fractions_linear_files/Yang_linear_img/30425122.jpg", "30425122")</f>
        <v>30425122</v>
      </c>
      <c r="C2348" s="3" t="str">
        <f>HYPERLINK("http://www.ncbi.nlm.nih.gov/protein/30425122","Fam118b")</f>
        <v>Fam118b</v>
      </c>
      <c r="E2348" t="str">
        <f>HYPERLINK("J:\Depot - mpkCCD Fractions\Main Web Page\Web Pages_old\proteomic_fractions_linear_files/Yang_linear_img/30425122.jpg","show blot")</f>
        <v>show blot</v>
      </c>
      <c r="G2348" t="s">
        <v>2325</v>
      </c>
      <c r="I2348" s="6">
        <v>3.1738541454958762</v>
      </c>
      <c r="K2348" s="8"/>
    </row>
    <row r="2349" spans="1:11" ht="15" x14ac:dyDescent="0.25">
      <c r="A2349" s="3" t="str">
        <f>HYPERLINK("proteomic_fractions_linear_files/Yang_linear_img/34787417.jpg", "34787417")</f>
        <v>34787417</v>
      </c>
      <c r="C2349" s="3" t="str">
        <f>HYPERLINK("http://www.ncbi.nlm.nih.gov/protein/34787417","Fam118b")</f>
        <v>Fam118b</v>
      </c>
      <c r="E2349" t="str">
        <f>HYPERLINK("J:\Depot - mpkCCD Fractions\Main Web Page\Web Pages_old\proteomic_fractions_linear_files/Yang_linear_img/34787417.jpg","show blot")</f>
        <v>show blot</v>
      </c>
      <c r="G2349" t="s">
        <v>2326</v>
      </c>
      <c r="I2349" s="6">
        <v>3.1738541454958762</v>
      </c>
      <c r="K2349" s="8"/>
    </row>
    <row r="2350" spans="1:11" ht="15" x14ac:dyDescent="0.25">
      <c r="A2350" s="3" t="str">
        <f>HYPERLINK("proteomic_fractions_linear_files/Yang_linear_img/126090857.jpg", "126090857")</f>
        <v>126090857</v>
      </c>
      <c r="C2350" s="3" t="str">
        <f>HYPERLINK("http://www.ncbi.nlm.nih.gov/protein/126090857","Fam120a")</f>
        <v>Fam120a</v>
      </c>
      <c r="E2350" t="str">
        <f>HYPERLINK("J:\Depot - mpkCCD Fractions\Main Web Page\Web Pages_old\proteomic_fractions_linear_files/Yang_linear_img/126090857.jpg","show blot")</f>
        <v>show blot</v>
      </c>
      <c r="G2350" t="s">
        <v>2327</v>
      </c>
      <c r="I2350" s="6">
        <v>5.5514893642360184</v>
      </c>
      <c r="K2350" s="8"/>
    </row>
    <row r="2351" spans="1:11" ht="15" x14ac:dyDescent="0.25">
      <c r="A2351" s="3" t="str">
        <f>HYPERLINK("proteomic_fractions_linear_files/Yang_linear_img/126723307.jpg", "126723307")</f>
        <v>126723307</v>
      </c>
      <c r="C2351" s="3" t="str">
        <f>HYPERLINK("http://www.ncbi.nlm.nih.gov/protein/126723307","Fam120c")</f>
        <v>Fam120c</v>
      </c>
      <c r="E2351" t="str">
        <f>HYPERLINK("J:\Depot - mpkCCD Fractions\Main Web Page\Web Pages_old\proteomic_fractions_linear_files/Yang_linear_img/126723307.jpg","show blot")</f>
        <v>show blot</v>
      </c>
      <c r="G2351" t="s">
        <v>2328</v>
      </c>
      <c r="I2351" s="6">
        <v>3.2858759747187003</v>
      </c>
      <c r="K2351" s="8"/>
    </row>
    <row r="2352" spans="1:11" ht="15" x14ac:dyDescent="0.25">
      <c r="A2352" s="3" t="str">
        <f>HYPERLINK("proteomic_fractions_linear_files/Yang_linear_img/117940063.jpg", "117940063")</f>
        <v>117940063</v>
      </c>
      <c r="C2352" s="3" t="str">
        <f>HYPERLINK("http://www.ncbi.nlm.nih.gov/protein/117940063","Fam126a")</f>
        <v>Fam126a</v>
      </c>
      <c r="E2352" t="str">
        <f>HYPERLINK("J:\Depot - mpkCCD Fractions\Main Web Page\Web Pages_old\proteomic_fractions_linear_files/Yang_linear_img/117940063.jpg","show blot")</f>
        <v>show blot</v>
      </c>
      <c r="G2352" t="s">
        <v>2329</v>
      </c>
      <c r="I2352" s="6">
        <v>2.1376649878921699</v>
      </c>
      <c r="K2352" s="8"/>
    </row>
    <row r="2353" spans="1:11" ht="15" x14ac:dyDescent="0.25">
      <c r="A2353" s="3" t="str">
        <f>HYPERLINK("proteomic_fractions_linear_files/Yang_linear_img/241982745.jpg", "241982745")</f>
        <v>241982745</v>
      </c>
      <c r="C2353" s="3" t="str">
        <f>HYPERLINK("http://www.ncbi.nlm.nih.gov/protein/241982745","Fam129a")</f>
        <v>Fam129a</v>
      </c>
      <c r="E2353" t="str">
        <f>HYPERLINK("J:\Depot - mpkCCD Fractions\Main Web Page\Web Pages_old\proteomic_fractions_linear_files/Yang_linear_img/241982745.jpg","show blot")</f>
        <v>show blot</v>
      </c>
      <c r="G2353" t="s">
        <v>2330</v>
      </c>
      <c r="I2353" s="6">
        <v>5.7135596025896884</v>
      </c>
      <c r="K2353" s="8"/>
    </row>
    <row r="2354" spans="1:11" ht="15" x14ac:dyDescent="0.25">
      <c r="A2354" s="3" t="str">
        <f>HYPERLINK("proteomic_fractions_linear_files/Yang_linear_img/22122641.jpg", "22122641")</f>
        <v>22122641</v>
      </c>
      <c r="C2354" s="3" t="str">
        <f>HYPERLINK("http://www.ncbi.nlm.nih.gov/protein/22122641","Fam129b")</f>
        <v>Fam129b</v>
      </c>
      <c r="E2354" t="str">
        <f>HYPERLINK("J:\Depot - mpkCCD Fractions\Main Web Page\Web Pages_old\proteomic_fractions_linear_files/Yang_linear_img/22122641.jpg","show blot")</f>
        <v>show blot</v>
      </c>
      <c r="G2354" t="s">
        <v>2331</v>
      </c>
      <c r="I2354" s="6">
        <v>5.2893519019766151</v>
      </c>
      <c r="K2354" s="8"/>
    </row>
    <row r="2355" spans="1:11" ht="15" x14ac:dyDescent="0.25">
      <c r="A2355" s="3" t="str">
        <f>HYPERLINK("proteomic_fractions_linear_files/Yang_linear_img/109948295.jpg", "109948295")</f>
        <v>109948295</v>
      </c>
      <c r="C2355" s="3" t="str">
        <f>HYPERLINK("http://www.ncbi.nlm.nih.gov/protein/109948295","Fam133b")</f>
        <v>Fam133b</v>
      </c>
      <c r="E2355" t="str">
        <f>HYPERLINK("J:\Depot - mpkCCD Fractions\Main Web Page\Web Pages_old\proteomic_fractions_linear_files/Yang_linear_img/109948295.jpg","show blot")</f>
        <v>show blot</v>
      </c>
      <c r="G2355" t="s">
        <v>2332</v>
      </c>
      <c r="I2355" s="6">
        <v>3.2513851308196537</v>
      </c>
      <c r="K2355" s="8"/>
    </row>
    <row r="2356" spans="1:11" ht="15" x14ac:dyDescent="0.25">
      <c r="A2356" s="3" t="str">
        <f>HYPERLINK("proteomic_fractions_linear_files/Yang_linear_img/28077025.jpg", "28077025")</f>
        <v>28077025</v>
      </c>
      <c r="C2356" s="3" t="str">
        <f>HYPERLINK("http://www.ncbi.nlm.nih.gov/protein/28077025","Fam134c")</f>
        <v>Fam134c</v>
      </c>
      <c r="E2356" t="str">
        <f>HYPERLINK("J:\Depot - mpkCCD Fractions\Main Web Page\Web Pages_old\proteomic_fractions_linear_files/Yang_linear_img/28077025.jpg","show blot")</f>
        <v>show blot</v>
      </c>
      <c r="G2356" t="s">
        <v>2333</v>
      </c>
      <c r="I2356" s="6">
        <v>3.5637779791995299</v>
      </c>
      <c r="K2356" s="8"/>
    </row>
    <row r="2357" spans="1:11" ht="15" x14ac:dyDescent="0.25">
      <c r="A2357" s="3" t="str">
        <f>HYPERLINK("proteomic_fractions_linear_files/Yang_linear_img/21312666.jpg", "21312666")</f>
        <v>21312666</v>
      </c>
      <c r="C2357" s="3" t="str">
        <f>HYPERLINK("http://www.ncbi.nlm.nih.gov/protein/21312666","Fam134c")</f>
        <v>Fam134c</v>
      </c>
      <c r="E2357" t="str">
        <f>HYPERLINK("J:\Depot - mpkCCD Fractions\Main Web Page\Web Pages_old\proteomic_fractions_linear_files/Yang_linear_img/21312666.jpg","show blot")</f>
        <v>show blot</v>
      </c>
      <c r="G2357" t="s">
        <v>2334</v>
      </c>
      <c r="I2357" s="6">
        <v>3.5637779791995299</v>
      </c>
      <c r="K2357" s="8"/>
    </row>
    <row r="2358" spans="1:11" ht="15" x14ac:dyDescent="0.25">
      <c r="A2358" s="3" t="str">
        <f>HYPERLINK("proteomic_fractions_linear_files/Yang_linear_img/13385042.jpg", "13385042")</f>
        <v>13385042</v>
      </c>
      <c r="C2358" s="3" t="str">
        <f>HYPERLINK("http://www.ncbi.nlm.nih.gov/protein/13385042","Fam136a")</f>
        <v>Fam136a</v>
      </c>
      <c r="E2358" t="str">
        <f>HYPERLINK("J:\Depot - mpkCCD Fractions\Main Web Page\Web Pages_old\proteomic_fractions_linear_files/Yang_linear_img/13385042.jpg","show blot")</f>
        <v>show blot</v>
      </c>
      <c r="G2358" t="s">
        <v>2335</v>
      </c>
      <c r="I2358" s="6">
        <v>4.008108281671281</v>
      </c>
      <c r="K2358" s="8"/>
    </row>
    <row r="2359" spans="1:11" ht="15" x14ac:dyDescent="0.25">
      <c r="A2359" s="3" t="str">
        <f>HYPERLINK("proteomic_fractions_linear_files/Yang_linear_img/158341634.jpg", "158341634")</f>
        <v>158341634</v>
      </c>
      <c r="C2359" s="3" t="str">
        <f>HYPERLINK("http://www.ncbi.nlm.nih.gov/protein/158341634","Fam160a1")</f>
        <v>Fam160a1</v>
      </c>
      <c r="E2359" t="str">
        <f>HYPERLINK("J:\Depot - mpkCCD Fractions\Main Web Page\Web Pages_old\proteomic_fractions_linear_files/Yang_linear_img/158341634.jpg","show blot")</f>
        <v>show blot</v>
      </c>
      <c r="G2359" t="s">
        <v>2336</v>
      </c>
      <c r="I2359" s="6">
        <v>3.695179062707592</v>
      </c>
      <c r="K2359" s="8"/>
    </row>
    <row r="2360" spans="1:11" ht="15" x14ac:dyDescent="0.25">
      <c r="A2360" s="3" t="str">
        <f>HYPERLINK("proteomic_fractions_linear_files/Yang_linear_img/166706907.jpg", "166706907")</f>
        <v>166706907</v>
      </c>
      <c r="C2360" s="3" t="str">
        <f>HYPERLINK("http://www.ncbi.nlm.nih.gov/protein/166706907","Fam160b1")</f>
        <v>Fam160b1</v>
      </c>
      <c r="E2360" t="str">
        <f>HYPERLINK("J:\Depot - mpkCCD Fractions\Main Web Page\Web Pages_old\proteomic_fractions_linear_files/Yang_linear_img/166706907.jpg","show blot")</f>
        <v>show blot</v>
      </c>
      <c r="G2360" t="s">
        <v>2337</v>
      </c>
      <c r="I2360" s="6">
        <v>3.4803270908219086</v>
      </c>
      <c r="K2360" s="8"/>
    </row>
    <row r="2361" spans="1:11" ht="15" x14ac:dyDescent="0.25">
      <c r="A2361" s="3" t="str">
        <f>HYPERLINK("proteomic_fractions_linear_files/Yang_linear_img/257196165.jpg", "257196165")</f>
        <v>257196165</v>
      </c>
      <c r="C2361" s="3" t="str">
        <f>HYPERLINK("http://www.ncbi.nlm.nih.gov/protein/257196165","Fam160b2")</f>
        <v>Fam160b2</v>
      </c>
      <c r="E2361" t="str">
        <f>HYPERLINK("J:\Depot - mpkCCD Fractions\Main Web Page\Web Pages_old\proteomic_fractions_linear_files/Yang_linear_img/257196165.jpg","show blot")</f>
        <v>show blot</v>
      </c>
      <c r="G2361" t="s">
        <v>2338</v>
      </c>
      <c r="I2361" s="6">
        <v>3.1754128063000069</v>
      </c>
      <c r="K2361" s="8"/>
    </row>
    <row r="2362" spans="1:11" ht="15" x14ac:dyDescent="0.25">
      <c r="A2362" s="3" t="str">
        <f>HYPERLINK("proteomic_fractions_linear_files/Yang_linear_img/21312546.jpg", "21312546")</f>
        <v>21312546</v>
      </c>
      <c r="C2362" s="3" t="str">
        <f>HYPERLINK("http://www.ncbi.nlm.nih.gov/protein/21312546","Fam162a")</f>
        <v>Fam162a</v>
      </c>
      <c r="E2362" t="str">
        <f>HYPERLINK("J:\Depot - mpkCCD Fractions\Main Web Page\Web Pages_old\proteomic_fractions_linear_files/Yang_linear_img/21312546.jpg","show blot")</f>
        <v>show blot</v>
      </c>
      <c r="G2362" t="s">
        <v>2339</v>
      </c>
      <c r="I2362" s="6">
        <v>5.7177434725870908</v>
      </c>
      <c r="K2362" s="8"/>
    </row>
    <row r="2363" spans="1:11" ht="15" x14ac:dyDescent="0.25">
      <c r="A2363" s="3" t="str">
        <f>HYPERLINK("proteomic_fractions_linear_files/Yang_linear_img/66955879.jpg", "66955879")</f>
        <v>66955879</v>
      </c>
      <c r="C2363" s="3" t="str">
        <f>HYPERLINK("http://www.ncbi.nlm.nih.gov/protein/66955879","Fam173a")</f>
        <v>Fam173a</v>
      </c>
      <c r="E2363" t="str">
        <f>HYPERLINK("J:\Depot - mpkCCD Fractions\Main Web Page\Web Pages_old\proteomic_fractions_linear_files/Yang_linear_img/66955879.jpg","show blot")</f>
        <v>show blot</v>
      </c>
      <c r="G2363" t="s">
        <v>2340</v>
      </c>
      <c r="I2363" s="6">
        <v>4.153211674744214</v>
      </c>
      <c r="K2363" s="8"/>
    </row>
    <row r="2364" spans="1:11" ht="15" x14ac:dyDescent="0.25">
      <c r="A2364" s="3" t="str">
        <f>HYPERLINK("proteomic_fractions_linear_files/Yang_linear_img/21312640.jpg", "21312640")</f>
        <v>21312640</v>
      </c>
      <c r="C2364" s="3" t="str">
        <f>HYPERLINK("http://www.ncbi.nlm.nih.gov/protein/21312640","Fam173b")</f>
        <v>Fam173b</v>
      </c>
      <c r="E2364" t="str">
        <f>HYPERLINK("J:\Depot - mpkCCD Fractions\Main Web Page\Web Pages_old\proteomic_fractions_linear_files/Yang_linear_img/21312640.jpg","show blot")</f>
        <v>show blot</v>
      </c>
      <c r="G2364" t="s">
        <v>2341</v>
      </c>
      <c r="I2364" s="6">
        <v>2.4319417412133428</v>
      </c>
      <c r="K2364" s="8"/>
    </row>
    <row r="2365" spans="1:11" ht="15" x14ac:dyDescent="0.25">
      <c r="A2365" s="3" t="str">
        <f>HYPERLINK("proteomic_fractions_linear_files/Yang_linear_img/347582639.jpg", "347582639")</f>
        <v>347582639</v>
      </c>
      <c r="C2365" s="3" t="str">
        <f>HYPERLINK("http://www.ncbi.nlm.nih.gov/protein/347582639","Fam175b")</f>
        <v>Fam175b</v>
      </c>
      <c r="E2365" t="str">
        <f>HYPERLINK("J:\Depot - mpkCCD Fractions\Main Web Page\Web Pages_old\proteomic_fractions_linear_files/Yang_linear_img/347582639.jpg","show blot")</f>
        <v>show blot</v>
      </c>
      <c r="G2365" t="s">
        <v>2342</v>
      </c>
      <c r="I2365" s="6">
        <v>4.5516062089410907</v>
      </c>
      <c r="K2365" s="8"/>
    </row>
    <row r="2366" spans="1:11" ht="15" x14ac:dyDescent="0.25">
      <c r="A2366" s="3" t="str">
        <f>HYPERLINK("proteomic_fractions_linear_files/Yang_linear_img/37537562;153945763.jpg", "37537562;153945763")</f>
        <v>37537562;153945763</v>
      </c>
      <c r="C2366" s="3" t="str">
        <f>HYPERLINK("http://www.ncbi.nlm.nih.gov/protein/37537562;153945763","Fam177a")</f>
        <v>Fam177a</v>
      </c>
      <c r="E2366" t="str">
        <f>HYPERLINK("J:\Depot - mpkCCD Fractions\Main Web Page\Web Pages_old\proteomic_fractions_linear_files/Yang_linear_img/37537562;153945763.jpg","show blot")</f>
        <v>show blot</v>
      </c>
      <c r="G2366" t="s">
        <v>2343</v>
      </c>
      <c r="I2366" s="6">
        <v>4.8424937102638754</v>
      </c>
      <c r="K2366" s="8"/>
    </row>
    <row r="2367" spans="1:11" ht="15" x14ac:dyDescent="0.25">
      <c r="A2367" s="3" t="str">
        <f>HYPERLINK("proteomic_fractions_linear_files/Yang_linear_img/254939685.jpg", "254939685")</f>
        <v>254939685</v>
      </c>
      <c r="C2367" s="3" t="str">
        <f>HYPERLINK("http://www.ncbi.nlm.nih.gov/protein/254939685","Fam179b")</f>
        <v>Fam179b</v>
      </c>
      <c r="E2367" t="str">
        <f>HYPERLINK("J:\Depot - mpkCCD Fractions\Main Web Page\Web Pages_old\proteomic_fractions_linear_files/Yang_linear_img/254939685.jpg","show blot")</f>
        <v>show blot</v>
      </c>
      <c r="G2367" t="s">
        <v>2344</v>
      </c>
      <c r="I2367" s="6">
        <v>3.2307073574029288</v>
      </c>
      <c r="K2367" s="8"/>
    </row>
    <row r="2368" spans="1:11" ht="15" x14ac:dyDescent="0.25">
      <c r="A2368" s="3" t="str">
        <f>HYPERLINK("proteomic_fractions_linear_files/Yang_linear_img/15277329.jpg", "15277329")</f>
        <v>15277329</v>
      </c>
      <c r="C2368" s="3" t="str">
        <f>HYPERLINK("http://www.ncbi.nlm.nih.gov/protein/15277329","Fam188a")</f>
        <v>Fam188a</v>
      </c>
      <c r="E2368" t="str">
        <f>HYPERLINK("J:\Depot - mpkCCD Fractions\Main Web Page\Web Pages_old\proteomic_fractions_linear_files/Yang_linear_img/15277329.jpg","show blot")</f>
        <v>show blot</v>
      </c>
      <c r="G2368" t="s">
        <v>2345</v>
      </c>
      <c r="I2368" s="6">
        <v>4.1226224805458784</v>
      </c>
      <c r="K2368" s="8"/>
    </row>
    <row r="2369" spans="1:11" ht="15" x14ac:dyDescent="0.25">
      <c r="A2369" s="3" t="str">
        <f>HYPERLINK("proteomic_fractions_linear_files/Yang_linear_img/31560083.jpg", "31560083")</f>
        <v>31560083</v>
      </c>
      <c r="C2369" s="3" t="str">
        <f>HYPERLINK("http://www.ncbi.nlm.nih.gov/protein/31560083","Fam192a")</f>
        <v>Fam192a</v>
      </c>
      <c r="E2369" t="str">
        <f>HYPERLINK("J:\Depot - mpkCCD Fractions\Main Web Page\Web Pages_old\proteomic_fractions_linear_files/Yang_linear_img/31560083.jpg","show blot")</f>
        <v>show blot</v>
      </c>
      <c r="G2369" t="s">
        <v>2346</v>
      </c>
      <c r="I2369" s="6">
        <v>4.8879194996200184</v>
      </c>
      <c r="K2369" s="8"/>
    </row>
    <row r="2370" spans="1:11" ht="15" x14ac:dyDescent="0.25">
      <c r="A2370" s="3" t="str">
        <f>HYPERLINK("proteomic_fractions_linear_files/Yang_linear_img/85701732.jpg", "85701732")</f>
        <v>85701732</v>
      </c>
      <c r="C2370" s="3" t="str">
        <f>HYPERLINK("http://www.ncbi.nlm.nih.gov/protein/85701732","Fam195b")</f>
        <v>Fam195b</v>
      </c>
      <c r="E2370" t="str">
        <f>HYPERLINK("J:\Depot - mpkCCD Fractions\Main Web Page\Web Pages_old\proteomic_fractions_linear_files/Yang_linear_img/85701732.jpg","show blot")</f>
        <v>show blot</v>
      </c>
      <c r="G2370" t="s">
        <v>2347</v>
      </c>
      <c r="I2370" s="6">
        <v>4.1697768712295229</v>
      </c>
      <c r="K2370" s="8"/>
    </row>
    <row r="2371" spans="1:11" ht="15" x14ac:dyDescent="0.25">
      <c r="A2371" s="3" t="str">
        <f>HYPERLINK("proteomic_fractions_linear_files/Yang_linear_img/225903450.jpg", "225903450")</f>
        <v>225903450</v>
      </c>
      <c r="C2371" s="3" t="str">
        <f>HYPERLINK("http://www.ncbi.nlm.nih.gov/protein/225903450","Fam203a")</f>
        <v>Fam203a</v>
      </c>
      <c r="E2371" t="str">
        <f>HYPERLINK("J:\Depot - mpkCCD Fractions\Main Web Page\Web Pages_old\proteomic_fractions_linear_files/Yang_linear_img/225903450.jpg","show blot")</f>
        <v>show blot</v>
      </c>
      <c r="G2371" t="s">
        <v>2348</v>
      </c>
      <c r="I2371" s="6">
        <v>4.1369959027826217</v>
      </c>
      <c r="K2371" s="8"/>
    </row>
    <row r="2372" spans="1:11" ht="15" x14ac:dyDescent="0.25">
      <c r="A2372" s="3" t="str">
        <f>HYPERLINK("proteomic_fractions_linear_files/Yang_linear_img/19527218.jpg", "19527218")</f>
        <v>19527218</v>
      </c>
      <c r="C2372" s="3" t="str">
        <f>HYPERLINK("http://www.ncbi.nlm.nih.gov/protein/19527218","Fam207a")</f>
        <v>Fam207a</v>
      </c>
      <c r="E2372" t="str">
        <f>HYPERLINK("J:\Depot - mpkCCD Fractions\Main Web Page\Web Pages_old\proteomic_fractions_linear_files/Yang_linear_img/19527218.jpg","show blot")</f>
        <v>show blot</v>
      </c>
      <c r="G2372" t="s">
        <v>2349</v>
      </c>
      <c r="I2372" s="6">
        <v>4.5077805171677197</v>
      </c>
      <c r="K2372" s="8"/>
    </row>
    <row r="2373" spans="1:11" ht="15" x14ac:dyDescent="0.25">
      <c r="A2373" s="3" t="str">
        <f>HYPERLINK("proteomic_fractions_linear_files/Yang_linear_img/21703824.jpg", "21703824")</f>
        <v>21703824</v>
      </c>
      <c r="C2373" s="3" t="str">
        <f>HYPERLINK("http://www.ncbi.nlm.nih.gov/protein/21703824","Fam20b")</f>
        <v>Fam20b</v>
      </c>
      <c r="E2373" t="str">
        <f>HYPERLINK("J:\Depot - mpkCCD Fractions\Main Web Page\Web Pages_old\proteomic_fractions_linear_files/Yang_linear_img/21703824.jpg","show blot")</f>
        <v>show blot</v>
      </c>
      <c r="G2373" t="s">
        <v>2350</v>
      </c>
      <c r="I2373" s="6">
        <v>4.3953068034511382</v>
      </c>
      <c r="K2373" s="8"/>
    </row>
    <row r="2374" spans="1:11" ht="15" x14ac:dyDescent="0.25">
      <c r="A2374" s="3" t="str">
        <f>HYPERLINK("proteomic_fractions_linear_files/Yang_linear_img/167234439.jpg", "167234439")</f>
        <v>167234439</v>
      </c>
      <c r="C2374" s="3" t="str">
        <f>HYPERLINK("http://www.ncbi.nlm.nih.gov/protein/167234439","Fam20c")</f>
        <v>Fam20c</v>
      </c>
      <c r="E2374" t="str">
        <f>HYPERLINK("J:\Depot - mpkCCD Fractions\Main Web Page\Web Pages_old\proteomic_fractions_linear_files/Yang_linear_img/167234439.jpg","show blot")</f>
        <v>show blot</v>
      </c>
      <c r="G2374" t="s">
        <v>2351</v>
      </c>
      <c r="I2374" s="6">
        <v>1.7366060215324182</v>
      </c>
      <c r="K2374" s="8"/>
    </row>
    <row r="2375" spans="1:11" ht="15" x14ac:dyDescent="0.25">
      <c r="A2375" s="3" t="str">
        <f>HYPERLINK("proteomic_fractions_linear_files/Yang_linear_img/267844902.jpg", "267844902")</f>
        <v>267844902</v>
      </c>
      <c r="C2375" s="3" t="str">
        <f>HYPERLINK("http://www.ncbi.nlm.nih.gov/protein/267844902","Fam21")</f>
        <v>Fam21</v>
      </c>
      <c r="E2375" t="str">
        <f>HYPERLINK("J:\Depot - mpkCCD Fractions\Main Web Page\Web Pages_old\proteomic_fractions_linear_files/Yang_linear_img/267844902.jpg","show blot")</f>
        <v>show blot</v>
      </c>
      <c r="G2375" t="s">
        <v>2352</v>
      </c>
      <c r="I2375" s="6">
        <v>3.5574668443522461</v>
      </c>
      <c r="K2375" s="8"/>
    </row>
    <row r="2376" spans="1:11" ht="15" x14ac:dyDescent="0.25">
      <c r="A2376" s="3" t="str">
        <f>HYPERLINK("proteomic_fractions_linear_files/Yang_linear_img/24418876.jpg", "24418876")</f>
        <v>24418876</v>
      </c>
      <c r="C2376" s="3" t="str">
        <f>HYPERLINK("http://www.ncbi.nlm.nih.gov/protein/24418876","Fam210a")</f>
        <v>Fam210a</v>
      </c>
      <c r="E2376" t="str">
        <f>HYPERLINK("J:\Depot - mpkCCD Fractions\Main Web Page\Web Pages_old\proteomic_fractions_linear_files/Yang_linear_img/24418876.jpg","show blot")</f>
        <v>show blot</v>
      </c>
      <c r="G2376" t="s">
        <v>2353</v>
      </c>
      <c r="I2376" s="6">
        <v>2.2876229258380216</v>
      </c>
      <c r="K2376" s="8"/>
    </row>
    <row r="2377" spans="1:11" ht="15" x14ac:dyDescent="0.25">
      <c r="A2377" s="3" t="str">
        <f>HYPERLINK("proteomic_fractions_linear_files/Yang_linear_img/224967102.jpg", "224967102")</f>
        <v>224967102</v>
      </c>
      <c r="C2377" s="3" t="str">
        <f>HYPERLINK("http://www.ncbi.nlm.nih.gov/protein/224967102","Fam210b")</f>
        <v>Fam210b</v>
      </c>
      <c r="E2377" t="str">
        <f>HYPERLINK("J:\Depot - mpkCCD Fractions\Main Web Page\Web Pages_old\proteomic_fractions_linear_files/Yang_linear_img/224967102.jpg","show blot")</f>
        <v>show blot</v>
      </c>
      <c r="G2377" t="s">
        <v>2354</v>
      </c>
      <c r="I2377" s="6">
        <v>3.5335311136015495</v>
      </c>
      <c r="K2377" s="8"/>
    </row>
    <row r="2378" spans="1:11" ht="15" x14ac:dyDescent="0.25">
      <c r="A2378" s="3" t="str">
        <f>HYPERLINK("proteomic_fractions_linear_files/Yang_linear_img/27229101.jpg", "27229101")</f>
        <v>27229101</v>
      </c>
      <c r="C2378" s="3" t="str">
        <f>HYPERLINK("http://www.ncbi.nlm.nih.gov/protein/27229101","Fam213a")</f>
        <v>Fam213a</v>
      </c>
      <c r="E2378" t="str">
        <f>HYPERLINK("J:\Depot - mpkCCD Fractions\Main Web Page\Web Pages_old\proteomic_fractions_linear_files/Yang_linear_img/27229101.jpg","show blot")</f>
        <v>show blot</v>
      </c>
      <c r="G2378" t="s">
        <v>2355</v>
      </c>
      <c r="I2378" s="6">
        <v>5.8269550187621162</v>
      </c>
      <c r="K2378" s="8"/>
    </row>
    <row r="2379" spans="1:11" ht="15" x14ac:dyDescent="0.25">
      <c r="A2379" s="3" t="str">
        <f>HYPERLINK("proteomic_fractions_linear_files/Yang_linear_img/13385950.jpg", "13385950")</f>
        <v>13385950</v>
      </c>
      <c r="C2379" s="3" t="str">
        <f>HYPERLINK("http://www.ncbi.nlm.nih.gov/protein/13385950","Fam32a")</f>
        <v>Fam32a</v>
      </c>
      <c r="E2379" t="str">
        <f>HYPERLINK("J:\Depot - mpkCCD Fractions\Main Web Page\Web Pages_old\proteomic_fractions_linear_files/Yang_linear_img/13385950.jpg","show blot")</f>
        <v>show blot</v>
      </c>
      <c r="G2379" t="s">
        <v>2356</v>
      </c>
      <c r="I2379" s="6">
        <v>3.6282997379997757</v>
      </c>
      <c r="K2379" s="8"/>
    </row>
    <row r="2380" spans="1:11" ht="15" x14ac:dyDescent="0.25">
      <c r="A2380" s="3" t="str">
        <f>HYPERLINK("proteomic_fractions_linear_files/Yang_linear_img/21313538.jpg", "21313538")</f>
        <v>21313538</v>
      </c>
      <c r="C2380" s="3" t="str">
        <f>HYPERLINK("http://www.ncbi.nlm.nih.gov/protein/21313538","Fam3a")</f>
        <v>Fam3a</v>
      </c>
      <c r="E2380" t="str">
        <f>HYPERLINK("J:\Depot - mpkCCD Fractions\Main Web Page\Web Pages_old\proteomic_fractions_linear_files/Yang_linear_img/21313538.jpg","show blot")</f>
        <v>show blot</v>
      </c>
      <c r="G2380" t="s">
        <v>2357</v>
      </c>
      <c r="I2380" s="6">
        <v>3.369139925163791</v>
      </c>
      <c r="K2380" s="8"/>
    </row>
    <row r="2381" spans="1:11" ht="15" x14ac:dyDescent="0.25">
      <c r="A2381" s="3" t="str">
        <f>HYPERLINK("proteomic_fractions_linear_files/Yang_linear_img/42734496.jpg", "42734496")</f>
        <v>42734496</v>
      </c>
      <c r="C2381" s="3" t="str">
        <f>HYPERLINK("http://www.ncbi.nlm.nih.gov/protein/42734496","Fam3c")</f>
        <v>Fam3c</v>
      </c>
      <c r="E2381" t="str">
        <f>HYPERLINK("J:\Depot - mpkCCD Fractions\Main Web Page\Web Pages_old\proteomic_fractions_linear_files/Yang_linear_img/42734496.jpg","show blot")</f>
        <v>show blot</v>
      </c>
      <c r="G2381" t="s">
        <v>2358</v>
      </c>
      <c r="I2381" s="6">
        <v>5.8075168376908408</v>
      </c>
      <c r="K2381" s="8"/>
    </row>
    <row r="2382" spans="1:11" ht="15" x14ac:dyDescent="0.25">
      <c r="A2382" s="3" t="str">
        <f>HYPERLINK("proteomic_fractions_linear_files/Yang_linear_img/268370235.jpg", "268370235")</f>
        <v>268370235</v>
      </c>
      <c r="C2382" s="3" t="str">
        <f>HYPERLINK("http://www.ncbi.nlm.nih.gov/protein/268370235","Fam45a")</f>
        <v>Fam45a</v>
      </c>
      <c r="E2382" t="str">
        <f>HYPERLINK("J:\Depot - mpkCCD Fractions\Main Web Page\Web Pages_old\proteomic_fractions_linear_files/Yang_linear_img/268370235.jpg","show blot")</f>
        <v>show blot</v>
      </c>
      <c r="G2382" t="s">
        <v>2359</v>
      </c>
      <c r="I2382" s="6">
        <v>5.015024572566154</v>
      </c>
      <c r="K2382" s="8"/>
    </row>
    <row r="2383" spans="1:11" ht="15" x14ac:dyDescent="0.25">
      <c r="A2383" s="3" t="str">
        <f>HYPERLINK("proteomic_fractions_linear_files/Yang_linear_img/268370237.jpg", "268370237")</f>
        <v>268370237</v>
      </c>
      <c r="C2383" s="3" t="str">
        <f>HYPERLINK("http://www.ncbi.nlm.nih.gov/protein/268370237","Fam45a")</f>
        <v>Fam45a</v>
      </c>
      <c r="E2383" t="str">
        <f>HYPERLINK("J:\Depot - mpkCCD Fractions\Main Web Page\Web Pages_old\proteomic_fractions_linear_files/Yang_linear_img/268370237.jpg","show blot")</f>
        <v>show blot</v>
      </c>
      <c r="G2383" t="s">
        <v>2360</v>
      </c>
      <c r="I2383" s="6">
        <v>5.015024572566154</v>
      </c>
      <c r="K2383" s="8"/>
    </row>
    <row r="2384" spans="1:11" ht="15" x14ac:dyDescent="0.25">
      <c r="A2384" s="3" t="str">
        <f>HYPERLINK("proteomic_fractions_linear_files/Yang_linear_img/31981350.jpg", "31981350")</f>
        <v>31981350</v>
      </c>
      <c r="C2384" s="3" t="str">
        <f>HYPERLINK("http://www.ncbi.nlm.nih.gov/protein/31981350","Fam49a")</f>
        <v>Fam49a</v>
      </c>
      <c r="E2384" t="str">
        <f>HYPERLINK("J:\Depot - mpkCCD Fractions\Main Web Page\Web Pages_old\proteomic_fractions_linear_files/Yang_linear_img/31981350.jpg","show blot")</f>
        <v>show blot</v>
      </c>
      <c r="G2384" t="s">
        <v>2361</v>
      </c>
      <c r="I2384" s="6">
        <v>5.3797407996105449</v>
      </c>
      <c r="K2384" s="8"/>
    </row>
    <row r="2385" spans="1:11" ht="15" x14ac:dyDescent="0.25">
      <c r="A2385" s="3" t="str">
        <f>HYPERLINK("proteomic_fractions_linear_files/Yang_linear_img/21450053.jpg", "21450053")</f>
        <v>21450053</v>
      </c>
      <c r="C2385" s="3" t="str">
        <f>HYPERLINK("http://www.ncbi.nlm.nih.gov/protein/21450053","Fam49b")</f>
        <v>Fam49b</v>
      </c>
      <c r="E2385" t="str">
        <f>HYPERLINK("J:\Depot - mpkCCD Fractions\Main Web Page\Web Pages_old\proteomic_fractions_linear_files/Yang_linear_img/21450053.jpg","show blot")</f>
        <v>show blot</v>
      </c>
      <c r="G2385" t="s">
        <v>2362</v>
      </c>
      <c r="I2385" s="6">
        <v>5.7998640745224899</v>
      </c>
      <c r="K2385" s="8"/>
    </row>
    <row r="2386" spans="1:11" ht="15" x14ac:dyDescent="0.25">
      <c r="A2386" s="3" t="str">
        <f>HYPERLINK("proteomic_fractions_linear_files/Yang_linear_img/262073031.jpg", "262073031")</f>
        <v>262073031</v>
      </c>
      <c r="C2386" s="3" t="str">
        <f>HYPERLINK("http://www.ncbi.nlm.nih.gov/protein/262073031","Fam50a")</f>
        <v>Fam50a</v>
      </c>
      <c r="E2386" t="str">
        <f>HYPERLINK("J:\Depot - mpkCCD Fractions\Main Web Page\Web Pages_old\proteomic_fractions_linear_files/Yang_linear_img/262073031.jpg","show blot")</f>
        <v>show blot</v>
      </c>
      <c r="G2386" t="s">
        <v>2363</v>
      </c>
      <c r="I2386" s="6">
        <v>5.0030041448322358</v>
      </c>
      <c r="K2386" s="8"/>
    </row>
    <row r="2387" spans="1:11" ht="15" x14ac:dyDescent="0.25">
      <c r="A2387" s="3" t="str">
        <f>HYPERLINK("proteomic_fractions_linear_files/Yang_linear_img/227908825.jpg", "227908825")</f>
        <v>227908825</v>
      </c>
      <c r="C2387" s="3" t="str">
        <f>HYPERLINK("http://www.ncbi.nlm.nih.gov/protein/227908825","Fam50b")</f>
        <v>Fam50b</v>
      </c>
      <c r="E2387" t="str">
        <f>HYPERLINK("J:\Depot - mpkCCD Fractions\Main Web Page\Web Pages_old\proteomic_fractions_linear_files/Yang_linear_img/227908825.jpg","show blot")</f>
        <v>show blot</v>
      </c>
      <c r="G2387" t="s">
        <v>2364</v>
      </c>
      <c r="I2387" s="6">
        <v>4.8165757869241412</v>
      </c>
      <c r="K2387" s="8"/>
    </row>
    <row r="2388" spans="1:11" ht="15" x14ac:dyDescent="0.25">
      <c r="A2388" s="3" t="str">
        <f>HYPERLINK("proteomic_fractions_linear_files/Yang_linear_img/300934856.jpg", "300934856")</f>
        <v>300934856</v>
      </c>
      <c r="C2388" s="3" t="str">
        <f>HYPERLINK("http://www.ncbi.nlm.nih.gov/protein/300934856","Fam63a")</f>
        <v>Fam63a</v>
      </c>
      <c r="E2388" t="str">
        <f>HYPERLINK("J:\Depot - mpkCCD Fractions\Main Web Page\Web Pages_old\proteomic_fractions_linear_files/Yang_linear_img/300934856.jpg","show blot")</f>
        <v>show blot</v>
      </c>
      <c r="G2388" t="s">
        <v>2365</v>
      </c>
      <c r="I2388" s="6">
        <v>3.8828789227005527</v>
      </c>
      <c r="K2388" s="8"/>
    </row>
    <row r="2389" spans="1:11" ht="15" x14ac:dyDescent="0.25">
      <c r="A2389" s="3" t="str">
        <f>HYPERLINK("proteomic_fractions_linear_files/Yang_linear_img/41680647.jpg", "41680647")</f>
        <v>41680647</v>
      </c>
      <c r="C2389" s="3" t="str">
        <f>HYPERLINK("http://www.ncbi.nlm.nih.gov/protein/41680647","Fam63a")</f>
        <v>Fam63a</v>
      </c>
      <c r="E2389" t="str">
        <f>HYPERLINK("J:\Depot - mpkCCD Fractions\Main Web Page\Web Pages_old\proteomic_fractions_linear_files/Yang_linear_img/41680647.jpg","show blot")</f>
        <v>show blot</v>
      </c>
      <c r="G2389" t="s">
        <v>2366</v>
      </c>
      <c r="I2389" s="6">
        <v>3.8828789227005527</v>
      </c>
      <c r="K2389" s="8"/>
    </row>
    <row r="2390" spans="1:11" ht="15" x14ac:dyDescent="0.25">
      <c r="A2390" s="3" t="str">
        <f>HYPERLINK("proteomic_fractions_linear_files/Yang_linear_img/118403316.jpg", "118403316")</f>
        <v>118403316</v>
      </c>
      <c r="C2390" s="3" t="str">
        <f>HYPERLINK("http://www.ncbi.nlm.nih.gov/protein/118403316","Fam63b")</f>
        <v>Fam63b</v>
      </c>
      <c r="E2390" t="str">
        <f>HYPERLINK("J:\Depot - mpkCCD Fractions\Main Web Page\Web Pages_old\proteomic_fractions_linear_files/Yang_linear_img/118403316.jpg","show blot")</f>
        <v>show blot</v>
      </c>
      <c r="G2390" t="s">
        <v>2367</v>
      </c>
      <c r="I2390" s="6">
        <v>2.3016038594380044</v>
      </c>
      <c r="K2390" s="8"/>
    </row>
    <row r="2391" spans="1:11" ht="15" x14ac:dyDescent="0.25">
      <c r="A2391" s="3" t="str">
        <f>HYPERLINK("proteomic_fractions_linear_files/Yang_linear_img/145301546.jpg", "145301546")</f>
        <v>145301546</v>
      </c>
      <c r="C2391" s="3" t="str">
        <f>HYPERLINK("http://www.ncbi.nlm.nih.gov/protein/145301546","Fam65a")</f>
        <v>Fam65a</v>
      </c>
      <c r="E2391" t="str">
        <f>HYPERLINK("J:\Depot - mpkCCD Fractions\Main Web Page\Web Pages_old\proteomic_fractions_linear_files/Yang_linear_img/145301546.jpg","show blot")</f>
        <v>show blot</v>
      </c>
      <c r="G2391" t="s">
        <v>2368</v>
      </c>
      <c r="I2391" s="6">
        <v>3.337608275297518</v>
      </c>
      <c r="K2391" s="8"/>
    </row>
    <row r="2392" spans="1:11" ht="15" x14ac:dyDescent="0.25">
      <c r="A2392" s="3" t="str">
        <f>HYPERLINK("proteomic_fractions_linear_files/Yang_linear_img/28849885.jpg", "28849885")</f>
        <v>28849885</v>
      </c>
      <c r="C2392" s="3" t="str">
        <f>HYPERLINK("http://www.ncbi.nlm.nih.gov/protein/28849885","Fam76b")</f>
        <v>Fam76b</v>
      </c>
      <c r="E2392" t="str">
        <f>HYPERLINK("J:\Depot - mpkCCD Fractions\Main Web Page\Web Pages_old\proteomic_fractions_linear_files/Yang_linear_img/28849885.jpg","show blot")</f>
        <v>show blot</v>
      </c>
      <c r="G2392" t="s">
        <v>2369</v>
      </c>
      <c r="I2392" s="6">
        <v>3.8880345490287378</v>
      </c>
      <c r="K2392" s="8"/>
    </row>
    <row r="2393" spans="1:11" ht="15" x14ac:dyDescent="0.25">
      <c r="A2393" s="3" t="str">
        <f>HYPERLINK("proteomic_fractions_linear_files/Yang_linear_img/269914116.jpg", "269914116")</f>
        <v>269914116</v>
      </c>
      <c r="C2393" s="3" t="str">
        <f>HYPERLINK("http://www.ncbi.nlm.nih.gov/protein/269914116","Fam83h")</f>
        <v>Fam83h</v>
      </c>
      <c r="E2393" t="str">
        <f>HYPERLINK("J:\Depot - mpkCCD Fractions\Main Web Page\Web Pages_old\proteomic_fractions_linear_files/Yang_linear_img/269914116.jpg","show blot")</f>
        <v>show blot</v>
      </c>
      <c r="G2393" t="s">
        <v>2370</v>
      </c>
      <c r="I2393" s="6">
        <v>3.6923744593412602</v>
      </c>
      <c r="K2393" s="8"/>
    </row>
    <row r="2394" spans="1:11" ht="15" x14ac:dyDescent="0.25">
      <c r="A2394" s="3" t="str">
        <f>HYPERLINK("proteomic_fractions_linear_files/Yang_linear_img/242397444.jpg", "242397444")</f>
        <v>242397444</v>
      </c>
      <c r="C2394" s="3" t="str">
        <f>HYPERLINK("http://www.ncbi.nlm.nih.gov/protein/242397444","Fam84b")</f>
        <v>Fam84b</v>
      </c>
      <c r="E2394" t="str">
        <f>HYPERLINK("J:\Depot - mpkCCD Fractions\Main Web Page\Web Pages_old\proteomic_fractions_linear_files/Yang_linear_img/242397444.jpg","show blot")</f>
        <v>show blot</v>
      </c>
      <c r="G2394" t="s">
        <v>2371</v>
      </c>
      <c r="I2394" s="6">
        <v>3.7230619096809572</v>
      </c>
      <c r="K2394" s="8"/>
    </row>
    <row r="2395" spans="1:11" ht="15" x14ac:dyDescent="0.25">
      <c r="A2395" s="3" t="str">
        <f>HYPERLINK("proteomic_fractions_linear_files/Yang_linear_img/74315977.jpg", "74315977")</f>
        <v>74315977</v>
      </c>
      <c r="C2395" s="3" t="str">
        <f>HYPERLINK("http://www.ncbi.nlm.nih.gov/protein/74315977","Fam86")</f>
        <v>Fam86</v>
      </c>
      <c r="E2395" t="str">
        <f>HYPERLINK("J:\Depot - mpkCCD Fractions\Main Web Page\Web Pages_old\proteomic_fractions_linear_files/Yang_linear_img/74315977.jpg","show blot")</f>
        <v>show blot</v>
      </c>
      <c r="G2395" t="s">
        <v>2372</v>
      </c>
      <c r="I2395" s="6">
        <v>3.6623953923195014</v>
      </c>
      <c r="K2395" s="8"/>
    </row>
    <row r="2396" spans="1:11" ht="15" x14ac:dyDescent="0.25">
      <c r="A2396" s="3" t="str">
        <f>HYPERLINK("proteomic_fractions_linear_files/Yang_linear_img/13386128.jpg", "13386128")</f>
        <v>13386128</v>
      </c>
      <c r="C2396" s="3" t="str">
        <f>HYPERLINK("http://www.ncbi.nlm.nih.gov/protein/13386128","Fam96a")</f>
        <v>Fam96a</v>
      </c>
      <c r="E2396" t="str">
        <f>HYPERLINK("J:\Depot - mpkCCD Fractions\Main Web Page\Web Pages_old\proteomic_fractions_linear_files/Yang_linear_img/13386128.jpg","show blot")</f>
        <v>show blot</v>
      </c>
      <c r="G2396" t="s">
        <v>2373</v>
      </c>
      <c r="I2396" s="6">
        <v>4.3999013959327016</v>
      </c>
      <c r="K2396" s="8"/>
    </row>
    <row r="2397" spans="1:11" ht="15" x14ac:dyDescent="0.25">
      <c r="A2397" s="3" t="str">
        <f>HYPERLINK("proteomic_fractions_linear_files/Yang_linear_img/21312046.jpg", "21312046")</f>
        <v>21312046</v>
      </c>
      <c r="C2397" s="3" t="str">
        <f>HYPERLINK("http://www.ncbi.nlm.nih.gov/protein/21312046","Fam96b")</f>
        <v>Fam96b</v>
      </c>
      <c r="E2397" t="str">
        <f>HYPERLINK("J:\Depot - mpkCCD Fractions\Main Web Page\Web Pages_old\proteomic_fractions_linear_files/Yang_linear_img/21312046.jpg","show blot")</f>
        <v>show blot</v>
      </c>
      <c r="G2397" t="s">
        <v>2374</v>
      </c>
      <c r="I2397" s="6">
        <v>5.1380775030535641</v>
      </c>
      <c r="K2397" s="8"/>
    </row>
    <row r="2398" spans="1:11" ht="15" x14ac:dyDescent="0.25">
      <c r="A2398" s="3" t="str">
        <f>HYPERLINK("proteomic_fractions_linear_files/Yang_linear_img/139948818.jpg", "139948818")</f>
        <v>139948818</v>
      </c>
      <c r="C2398" s="3" t="str">
        <f>HYPERLINK("http://www.ncbi.nlm.nih.gov/protein/139948818","Fam98a")</f>
        <v>Fam98a</v>
      </c>
      <c r="E2398" t="str">
        <f>HYPERLINK("J:\Depot - mpkCCD Fractions\Main Web Page\Web Pages_old\proteomic_fractions_linear_files/Yang_linear_img/139948818.jpg","show blot")</f>
        <v>show blot</v>
      </c>
      <c r="G2398" t="s">
        <v>2375</v>
      </c>
      <c r="I2398" s="6">
        <v>4.9328784630846565</v>
      </c>
      <c r="K2398" s="8"/>
    </row>
    <row r="2399" spans="1:11" ht="15" x14ac:dyDescent="0.25">
      <c r="A2399" s="3" t="str">
        <f>HYPERLINK("proteomic_fractions_linear_files/Yang_linear_img/61098124.jpg", "61098124")</f>
        <v>61098124</v>
      </c>
      <c r="C2399" s="3" t="str">
        <f>HYPERLINK("http://www.ncbi.nlm.nih.gov/protein/61098124","Fam98b")</f>
        <v>Fam98b</v>
      </c>
      <c r="E2399" t="str">
        <f>HYPERLINK("J:\Depot - mpkCCD Fractions\Main Web Page\Web Pages_old\proteomic_fractions_linear_files/Yang_linear_img/61098124.jpg","show blot")</f>
        <v>show blot</v>
      </c>
      <c r="G2399" t="s">
        <v>2376</v>
      </c>
      <c r="I2399" s="6">
        <v>5.2302231543431486</v>
      </c>
      <c r="K2399" s="8"/>
    </row>
    <row r="2400" spans="1:11" ht="15" x14ac:dyDescent="0.25">
      <c r="A2400" s="3" t="str">
        <f>HYPERLINK("proteomic_fractions_linear_files/Yang_linear_img/225637492.jpg", "225637492")</f>
        <v>225637492</v>
      </c>
      <c r="C2400" s="3" t="str">
        <f>HYPERLINK("http://www.ncbi.nlm.nih.gov/protein/225637492","Fam98c")</f>
        <v>Fam98c</v>
      </c>
      <c r="E2400" t="str">
        <f>HYPERLINK("J:\Depot - mpkCCD Fractions\Main Web Page\Web Pages_old\proteomic_fractions_linear_files/Yang_linear_img/225637492.jpg","show blot")</f>
        <v>show blot</v>
      </c>
      <c r="G2400" t="s">
        <v>2377</v>
      </c>
      <c r="I2400" s="6">
        <v>3.6724219118196757</v>
      </c>
      <c r="K2400" s="8"/>
    </row>
    <row r="2401" spans="1:11" ht="15" x14ac:dyDescent="0.25">
      <c r="A2401" s="3" t="str">
        <f>HYPERLINK("proteomic_fractions_linear_files/Yang_linear_img/257467664.jpg", "257467664")</f>
        <v>257467664</v>
      </c>
      <c r="C2401" s="3" t="str">
        <f>HYPERLINK("http://www.ncbi.nlm.nih.gov/protein/257467664","Fan1")</f>
        <v>Fan1</v>
      </c>
      <c r="E2401" t="str">
        <f>HYPERLINK("J:\Depot - mpkCCD Fractions\Main Web Page\Web Pages_old\proteomic_fractions_linear_files/Yang_linear_img/257467664.jpg","show blot")</f>
        <v>show blot</v>
      </c>
      <c r="G2401" t="s">
        <v>2378</v>
      </c>
      <c r="I2401" s="6">
        <v>2.3445661444864978</v>
      </c>
      <c r="K2401" s="8"/>
    </row>
    <row r="2402" spans="1:11" ht="15" x14ac:dyDescent="0.25">
      <c r="A2402" s="3" t="str">
        <f>HYPERLINK("proteomic_fractions_linear_files/Yang_linear_img/126722700.jpg", "126722700")</f>
        <v>126722700</v>
      </c>
      <c r="C2402" s="3" t="str">
        <f>HYPERLINK("http://www.ncbi.nlm.nih.gov/protein/126722700","Fanci")</f>
        <v>Fanci</v>
      </c>
      <c r="E2402" t="str">
        <f>HYPERLINK("J:\Depot - mpkCCD Fractions\Main Web Page\Web Pages_old\proteomic_fractions_linear_files/Yang_linear_img/126722700.jpg","show blot")</f>
        <v>show blot</v>
      </c>
      <c r="G2402" t="s">
        <v>2379</v>
      </c>
      <c r="I2402" s="6">
        <v>3.4288925472571514</v>
      </c>
      <c r="K2402" s="8"/>
    </row>
    <row r="2403" spans="1:11" ht="15" x14ac:dyDescent="0.25">
      <c r="A2403" s="3" t="str">
        <f>HYPERLINK("proteomic_fractions_linear_files/Yang_linear_img/74096448.jpg", "74096448")</f>
        <v>74096448</v>
      </c>
      <c r="C2403" s="3" t="str">
        <f>HYPERLINK("http://www.ncbi.nlm.nih.gov/protein/74096448","Far1")</f>
        <v>Far1</v>
      </c>
      <c r="E2403" t="str">
        <f>HYPERLINK("J:\Depot - mpkCCD Fractions\Main Web Page\Web Pages_old\proteomic_fractions_linear_files/Yang_linear_img/74096448.jpg","show blot")</f>
        <v>show blot</v>
      </c>
      <c r="G2403" t="s">
        <v>2380</v>
      </c>
      <c r="I2403" s="6">
        <v>4.6884466270590881</v>
      </c>
      <c r="K2403" s="8"/>
    </row>
    <row r="2404" spans="1:11" ht="15" x14ac:dyDescent="0.25">
      <c r="A2404" s="3" t="str">
        <f>HYPERLINK("proteomic_fractions_linear_files/Yang_linear_img/110349752.jpg", "110349752")</f>
        <v>110349752</v>
      </c>
      <c r="C2404" s="3" t="str">
        <f>HYPERLINK("http://www.ncbi.nlm.nih.gov/protein/110349752","Farp1")</f>
        <v>Farp1</v>
      </c>
      <c r="E2404" t="str">
        <f>HYPERLINK("J:\Depot - mpkCCD Fractions\Main Web Page\Web Pages_old\proteomic_fractions_linear_files/Yang_linear_img/110349752.jpg","show blot")</f>
        <v>show blot</v>
      </c>
      <c r="G2404" t="s">
        <v>2381</v>
      </c>
      <c r="I2404" s="6">
        <v>4.2506023372727277</v>
      </c>
      <c r="K2404" s="8"/>
    </row>
    <row r="2405" spans="1:11" ht="15" x14ac:dyDescent="0.25">
      <c r="A2405" s="3" t="str">
        <f>HYPERLINK("proteomic_fractions_linear_files/Yang_linear_img/229892332.jpg", "229892332")</f>
        <v>229892332</v>
      </c>
      <c r="C2405" s="3" t="str">
        <f>HYPERLINK("http://www.ncbi.nlm.nih.gov/protein/229892332","Farp2")</f>
        <v>Farp2</v>
      </c>
      <c r="E2405" t="str">
        <f>HYPERLINK("J:\Depot - mpkCCD Fractions\Main Web Page\Web Pages_old\proteomic_fractions_linear_files/Yang_linear_img/229892332.jpg","show blot")</f>
        <v>show blot</v>
      </c>
      <c r="G2405" t="s">
        <v>2382</v>
      </c>
      <c r="I2405" s="6">
        <v>2.8927107733506081</v>
      </c>
      <c r="K2405" s="8"/>
    </row>
    <row r="2406" spans="1:11" ht="15" x14ac:dyDescent="0.25">
      <c r="A2406" s="3" t="str">
        <f>HYPERLINK("proteomic_fractions_linear_files/Yang_linear_img/162138894.jpg", "162138894")</f>
        <v>162138894</v>
      </c>
      <c r="C2406" s="3" t="str">
        <f>HYPERLINK("http://www.ncbi.nlm.nih.gov/protein/162138894","Farsa")</f>
        <v>Farsa</v>
      </c>
      <c r="E2406" t="str">
        <f>HYPERLINK("J:\Depot - mpkCCD Fractions\Main Web Page\Web Pages_old\proteomic_fractions_linear_files/Yang_linear_img/162138894.jpg","show blot")</f>
        <v>show blot</v>
      </c>
      <c r="G2406" t="s">
        <v>2383</v>
      </c>
      <c r="I2406" s="6">
        <v>6.0529818056304103</v>
      </c>
      <c r="K2406" s="8"/>
    </row>
    <row r="2407" spans="1:11" ht="15" x14ac:dyDescent="0.25">
      <c r="A2407" s="3" t="str">
        <f>HYPERLINK("proteomic_fractions_linear_files/Yang_linear_img/31981400.jpg", "31981400")</f>
        <v>31981400</v>
      </c>
      <c r="C2407" s="3" t="str">
        <f>HYPERLINK("http://www.ncbi.nlm.nih.gov/protein/31981400","Farsb")</f>
        <v>Farsb</v>
      </c>
      <c r="E2407" t="str">
        <f>HYPERLINK("J:\Depot - mpkCCD Fractions\Main Web Page\Web Pages_old\proteomic_fractions_linear_files/Yang_linear_img/31981400.jpg","show blot")</f>
        <v>show blot</v>
      </c>
      <c r="G2407" t="s">
        <v>2384</v>
      </c>
      <c r="I2407" s="6">
        <v>6.1843005267927831</v>
      </c>
      <c r="K2407" s="8"/>
    </row>
    <row r="2408" spans="1:11" ht="15" x14ac:dyDescent="0.25">
      <c r="A2408" s="3" t="str">
        <f>HYPERLINK("proteomic_fractions_linear_files/Yang_linear_img/93102409.jpg", "93102409")</f>
        <v>93102409</v>
      </c>
      <c r="C2408" s="3" t="str">
        <f>HYPERLINK("http://www.ncbi.nlm.nih.gov/protein/93102409","Fasn")</f>
        <v>Fasn</v>
      </c>
      <c r="E2408" t="str">
        <f>HYPERLINK("J:\Depot - mpkCCD Fractions\Main Web Page\Web Pages_old\proteomic_fractions_linear_files/Yang_linear_img/93102409.jpg","show blot")</f>
        <v>show blot</v>
      </c>
      <c r="G2408" t="s">
        <v>2385</v>
      </c>
      <c r="I2408" s="6">
        <v>6.36725553558614</v>
      </c>
      <c r="K2408" s="8"/>
    </row>
    <row r="2409" spans="1:11" ht="15" x14ac:dyDescent="0.25">
      <c r="A2409" s="3" t="str">
        <f>HYPERLINK("proteomic_fractions_linear_files/Yang_linear_img/27369557.jpg", "27369557")</f>
        <v>27369557</v>
      </c>
      <c r="C2409" s="3" t="str">
        <f>HYPERLINK("http://www.ncbi.nlm.nih.gov/protein/27369557","Fastkd2")</f>
        <v>Fastkd2</v>
      </c>
      <c r="E2409" t="str">
        <f>HYPERLINK("J:\Depot - mpkCCD Fractions\Main Web Page\Web Pages_old\proteomic_fractions_linear_files/Yang_linear_img/27369557.jpg","show blot")</f>
        <v>show blot</v>
      </c>
      <c r="G2409" t="s">
        <v>2386</v>
      </c>
      <c r="I2409" s="6">
        <v>3.2321591407768295</v>
      </c>
      <c r="K2409" s="8"/>
    </row>
    <row r="2410" spans="1:11" ht="15" x14ac:dyDescent="0.25">
      <c r="A2410" s="3" t="str">
        <f>HYPERLINK("proteomic_fractions_linear_files/Yang_linear_img/157951641.jpg", "157951641")</f>
        <v>157951641</v>
      </c>
      <c r="C2410" s="3" t="str">
        <f>HYPERLINK("http://www.ncbi.nlm.nih.gov/protein/157951641","Fat1")</f>
        <v>Fat1</v>
      </c>
      <c r="E2410" t="str">
        <f>HYPERLINK("J:\Depot - mpkCCD Fractions\Main Web Page\Web Pages_old\proteomic_fractions_linear_files/Yang_linear_img/157951641.jpg","show blot")</f>
        <v>show blot</v>
      </c>
      <c r="G2410" t="s">
        <v>2387</v>
      </c>
      <c r="I2410" s="6">
        <v>1.7935473205334269</v>
      </c>
      <c r="K2410" s="8"/>
    </row>
    <row r="2411" spans="1:11" ht="15" x14ac:dyDescent="0.25">
      <c r="A2411" s="3" t="str">
        <f>HYPERLINK("proteomic_fractions_linear_files/Yang_linear_img/237681133.jpg", "237681133")</f>
        <v>237681133</v>
      </c>
      <c r="C2411" s="3" t="str">
        <f>HYPERLINK("http://www.ncbi.nlm.nih.gov/protein/237681133","Fau")</f>
        <v>Fau</v>
      </c>
      <c r="E2411" t="str">
        <f>HYPERLINK("J:\Depot - mpkCCD Fractions\Main Web Page\Web Pages_old\proteomic_fractions_linear_files/Yang_linear_img/237681133.jpg","show blot")</f>
        <v>show blot</v>
      </c>
      <c r="G2411" t="s">
        <v>2388</v>
      </c>
      <c r="I2411" s="6">
        <v>6.10144611341416</v>
      </c>
      <c r="K2411" s="8"/>
    </row>
    <row r="2412" spans="1:11" ht="15" x14ac:dyDescent="0.25">
      <c r="A2412" s="3" t="str">
        <f>HYPERLINK("proteomic_fractions_linear_files/Yang_linear_img/144922653.jpg", "144922653")</f>
        <v>144922653</v>
      </c>
      <c r="C2412" s="3" t="str">
        <f>HYPERLINK("http://www.ncbi.nlm.nih.gov/protein/144922653","Fbf1")</f>
        <v>Fbf1</v>
      </c>
      <c r="E2412" t="str">
        <f>HYPERLINK("J:\Depot - mpkCCD Fractions\Main Web Page\Web Pages_old\proteomic_fractions_linear_files/Yang_linear_img/144922653.jpg","show blot")</f>
        <v>show blot</v>
      </c>
      <c r="G2412" t="s">
        <v>2389</v>
      </c>
      <c r="I2412" s="6">
        <v>1.6868424380209259</v>
      </c>
      <c r="K2412" s="8"/>
    </row>
    <row r="2413" spans="1:11" ht="15" x14ac:dyDescent="0.25">
      <c r="A2413" s="3" t="str">
        <f>HYPERLINK("proteomic_fractions_linear_files/Yang_linear_img/110625770.jpg", "110625770")</f>
        <v>110625770</v>
      </c>
      <c r="C2413" s="3" t="str">
        <f>HYPERLINK("http://www.ncbi.nlm.nih.gov/protein/110625770","Fblim1")</f>
        <v>Fblim1</v>
      </c>
      <c r="E2413" t="str">
        <f>HYPERLINK("J:\Depot - mpkCCD Fractions\Main Web Page\Web Pages_old\proteomic_fractions_linear_files/Yang_linear_img/110625770.jpg","show blot")</f>
        <v>show blot</v>
      </c>
      <c r="G2413" t="s">
        <v>2390</v>
      </c>
      <c r="I2413" s="6">
        <v>5.0150944025319468</v>
      </c>
      <c r="K2413" s="8"/>
    </row>
    <row r="2414" spans="1:11" ht="15" x14ac:dyDescent="0.25">
      <c r="A2414" s="3" t="str">
        <f>HYPERLINK("proteomic_fractions_linear_files/Yang_linear_img/51921297.jpg", "51921297")</f>
        <v>51921297</v>
      </c>
      <c r="C2414" s="3" t="str">
        <f>HYPERLINK("http://www.ncbi.nlm.nih.gov/protein/51921297","Fbll1")</f>
        <v>Fbll1</v>
      </c>
      <c r="E2414" t="str">
        <f>HYPERLINK("J:\Depot - mpkCCD Fractions\Main Web Page\Web Pages_old\proteomic_fractions_linear_files/Yang_linear_img/51921297.jpg","show blot")</f>
        <v>show blot</v>
      </c>
      <c r="G2414" t="s">
        <v>2391</v>
      </c>
      <c r="I2414" s="6">
        <v>5.8552959957784463</v>
      </c>
      <c r="K2414" s="8"/>
    </row>
    <row r="2415" spans="1:11" ht="15" x14ac:dyDescent="0.25">
      <c r="A2415" s="3" t="str">
        <f>HYPERLINK("proteomic_fractions_linear_files/Yang_linear_img/122937183.jpg", "122937183")</f>
        <v>122937183</v>
      </c>
      <c r="C2415" s="3" t="str">
        <f>HYPERLINK("http://www.ncbi.nlm.nih.gov/protein/122937183","Fbp2")</f>
        <v>Fbp2</v>
      </c>
      <c r="E2415" t="str">
        <f>HYPERLINK("J:\Depot - mpkCCD Fractions\Main Web Page\Web Pages_old\proteomic_fractions_linear_files/Yang_linear_img/122937183.jpg","show blot")</f>
        <v>show blot</v>
      </c>
      <c r="G2415" t="s">
        <v>2392</v>
      </c>
      <c r="I2415" s="6">
        <v>4.801318918049132</v>
      </c>
      <c r="K2415" s="8"/>
    </row>
    <row r="2416" spans="1:11" ht="15" x14ac:dyDescent="0.25">
      <c r="A2416" s="3" t="str">
        <f>HYPERLINK("proteomic_fractions_linear_files/Yang_linear_img/125347476.jpg", "125347476")</f>
        <v>125347476</v>
      </c>
      <c r="C2416" s="3" t="str">
        <f>HYPERLINK("http://www.ncbi.nlm.nih.gov/protein/125347476","Fbrsl1")</f>
        <v>Fbrsl1</v>
      </c>
      <c r="E2416" t="str">
        <f>HYPERLINK("J:\Depot - mpkCCD Fractions\Main Web Page\Web Pages_old\proteomic_fractions_linear_files/Yang_linear_img/125347476.jpg","show blot")</f>
        <v>show blot</v>
      </c>
      <c r="G2416" t="s">
        <v>2393</v>
      </c>
      <c r="I2416" s="6">
        <v>3.7555306647530085</v>
      </c>
      <c r="K2416" s="8"/>
    </row>
    <row r="2417" spans="1:11" ht="15" x14ac:dyDescent="0.25">
      <c r="A2417" s="3" t="str">
        <f>HYPERLINK("proteomic_fractions_linear_files/Yang_linear_img/217416345.jpg", "217416345")</f>
        <v>217416345</v>
      </c>
      <c r="C2417" s="3" t="str">
        <f>HYPERLINK("http://www.ncbi.nlm.nih.gov/protein/217416345","Fbrsl1")</f>
        <v>Fbrsl1</v>
      </c>
      <c r="E2417" t="str">
        <f>HYPERLINK("J:\Depot - mpkCCD Fractions\Main Web Page\Web Pages_old\proteomic_fractions_linear_files/Yang_linear_img/217416345.jpg","show blot")</f>
        <v>show blot</v>
      </c>
      <c r="G2417" t="s">
        <v>2394</v>
      </c>
      <c r="I2417" s="6">
        <v>3.7555306647530085</v>
      </c>
      <c r="K2417" s="8"/>
    </row>
    <row r="2418" spans="1:11" ht="15" x14ac:dyDescent="0.25">
      <c r="A2418" s="3" t="str">
        <f>HYPERLINK("proteomic_fractions_linear_files/Yang_linear_img/140970874.jpg", "140970874")</f>
        <v>140970874</v>
      </c>
      <c r="C2418" s="3" t="str">
        <f>HYPERLINK("http://www.ncbi.nlm.nih.gov/protein/140970874","Fbxl15")</f>
        <v>Fbxl15</v>
      </c>
      <c r="E2418" t="str">
        <f>HYPERLINK("J:\Depot - mpkCCD Fractions\Main Web Page\Web Pages_old\proteomic_fractions_linear_files/Yang_linear_img/140970874.jpg","show blot")</f>
        <v>show blot</v>
      </c>
      <c r="G2418" t="s">
        <v>2395</v>
      </c>
      <c r="I2418" s="6">
        <v>4.2136486890828744</v>
      </c>
      <c r="K2418" s="8"/>
    </row>
    <row r="2419" spans="1:11" ht="15" x14ac:dyDescent="0.25">
      <c r="A2419" s="3" t="str">
        <f>HYPERLINK("proteomic_fractions_linear_files/Yang_linear_img/153945830.jpg", "153945830")</f>
        <v>153945830</v>
      </c>
      <c r="C2419" s="3" t="str">
        <f>HYPERLINK("http://www.ncbi.nlm.nih.gov/protein/153945830","Fbxl18")</f>
        <v>Fbxl18</v>
      </c>
      <c r="E2419" t="str">
        <f>HYPERLINK("J:\Depot - mpkCCD Fractions\Main Web Page\Web Pages_old\proteomic_fractions_linear_files/Yang_linear_img/153945830.jpg","show blot")</f>
        <v>show blot</v>
      </c>
      <c r="G2419" t="s">
        <v>2396</v>
      </c>
      <c r="I2419" s="6">
        <v>1.7325999285816009</v>
      </c>
      <c r="K2419" s="8"/>
    </row>
    <row r="2420" spans="1:11" ht="15" x14ac:dyDescent="0.25">
      <c r="A2420" s="3" t="str">
        <f>HYPERLINK("proteomic_fractions_linear_files/Yang_linear_img/111494221.jpg", "111494221")</f>
        <v>111494221</v>
      </c>
      <c r="C2420" s="3" t="str">
        <f>HYPERLINK("http://www.ncbi.nlm.nih.gov/protein/111494221","Fbxl20")</f>
        <v>Fbxl20</v>
      </c>
      <c r="E2420" t="str">
        <f>HYPERLINK("J:\Depot - mpkCCD Fractions\Main Web Page\Web Pages_old\proteomic_fractions_linear_files/Yang_linear_img/111494221.jpg","show blot")</f>
        <v>show blot</v>
      </c>
      <c r="G2420" t="s">
        <v>2397</v>
      </c>
      <c r="I2420" s="6">
        <v>3.1812382708891653</v>
      </c>
      <c r="K2420" s="8"/>
    </row>
    <row r="2421" spans="1:11" ht="15" x14ac:dyDescent="0.25">
      <c r="A2421" s="3" t="str">
        <f>HYPERLINK("proteomic_fractions_linear_files/Yang_linear_img/255683411.jpg", "255683411")</f>
        <v>255683411</v>
      </c>
      <c r="C2421" s="3" t="str">
        <f>HYPERLINK("http://www.ncbi.nlm.nih.gov/protein/255683411","Fbxl8")</f>
        <v>Fbxl8</v>
      </c>
      <c r="E2421" t="str">
        <f>HYPERLINK("J:\Depot - mpkCCD Fractions\Main Web Page\Web Pages_old\proteomic_fractions_linear_files/Yang_linear_img/255683411.jpg","show blot")</f>
        <v>show blot</v>
      </c>
      <c r="G2421" t="s">
        <v>2398</v>
      </c>
      <c r="I2421" s="6">
        <v>3.4073867303529761</v>
      </c>
      <c r="K2421" s="8"/>
    </row>
    <row r="2422" spans="1:11" ht="15" x14ac:dyDescent="0.25">
      <c r="A2422" s="3" t="str">
        <f>HYPERLINK("proteomic_fractions_linear_files/Yang_linear_img/33859801.jpg", "33859801")</f>
        <v>33859801</v>
      </c>
      <c r="C2422" s="3" t="str">
        <f>HYPERLINK("http://www.ncbi.nlm.nih.gov/protein/33859801","Fbxo2")</f>
        <v>Fbxo2</v>
      </c>
      <c r="E2422" t="str">
        <f>HYPERLINK("J:\Depot - mpkCCD Fractions\Main Web Page\Web Pages_old\proteomic_fractions_linear_files/Yang_linear_img/33859801.jpg","show blot")</f>
        <v>show blot</v>
      </c>
      <c r="G2422" t="s">
        <v>2399</v>
      </c>
      <c r="I2422" s="6">
        <v>4.6609370413508735</v>
      </c>
      <c r="K2422" s="8"/>
    </row>
    <row r="2423" spans="1:11" ht="15" x14ac:dyDescent="0.25">
      <c r="A2423" s="3" t="str">
        <f>HYPERLINK("proteomic_fractions_linear_files/Yang_linear_img/21704134.jpg", "21704134")</f>
        <v>21704134</v>
      </c>
      <c r="C2423" s="3" t="str">
        <f>HYPERLINK("http://www.ncbi.nlm.nih.gov/protein/21704134","Fbxo21")</f>
        <v>Fbxo21</v>
      </c>
      <c r="E2423" t="str">
        <f>HYPERLINK("J:\Depot - mpkCCD Fractions\Main Web Page\Web Pages_old\proteomic_fractions_linear_files/Yang_linear_img/21704134.jpg","show blot")</f>
        <v>show blot</v>
      </c>
      <c r="G2423" t="s">
        <v>2400</v>
      </c>
      <c r="I2423" s="6">
        <v>3.0538657722319558</v>
      </c>
      <c r="K2423" s="8"/>
    </row>
    <row r="2424" spans="1:11" ht="15" x14ac:dyDescent="0.25">
      <c r="A2424" s="3" t="str">
        <f>HYPERLINK("proteomic_fractions_linear_files/Yang_linear_img/139948465.jpg", "139948465")</f>
        <v>139948465</v>
      </c>
      <c r="C2424" s="3" t="str">
        <f>HYPERLINK("http://www.ncbi.nlm.nih.gov/protein/139948465","Fbxo22")</f>
        <v>Fbxo22</v>
      </c>
      <c r="E2424" t="str">
        <f>HYPERLINK("J:\Depot - mpkCCD Fractions\Main Web Page\Web Pages_old\proteomic_fractions_linear_files/Yang_linear_img/139948465.jpg","show blot")</f>
        <v>show blot</v>
      </c>
      <c r="G2424" t="s">
        <v>2401</v>
      </c>
      <c r="I2424" s="6">
        <v>5.4297405611849863</v>
      </c>
      <c r="K2424" s="8"/>
    </row>
    <row r="2425" spans="1:11" ht="15" x14ac:dyDescent="0.25">
      <c r="A2425" s="3" t="str">
        <f>HYPERLINK("proteomic_fractions_linear_files/Yang_linear_img/28201989.jpg", "28201989")</f>
        <v>28201989</v>
      </c>
      <c r="C2425" s="3" t="str">
        <f>HYPERLINK("http://www.ncbi.nlm.nih.gov/protein/28201989","Fbxo28")</f>
        <v>Fbxo28</v>
      </c>
      <c r="E2425" t="str">
        <f>HYPERLINK("J:\Depot - mpkCCD Fractions\Main Web Page\Web Pages_old\proteomic_fractions_linear_files/Yang_linear_img/28201989.jpg","show blot")</f>
        <v>show blot</v>
      </c>
      <c r="G2425" t="s">
        <v>2402</v>
      </c>
      <c r="I2425" s="6">
        <v>1.6134918858841183</v>
      </c>
      <c r="K2425" s="8"/>
    </row>
    <row r="2426" spans="1:11" ht="15" x14ac:dyDescent="0.25">
      <c r="A2426" s="3" t="str">
        <f>HYPERLINK("proteomic_fractions_linear_files/Yang_linear_img/10181216.jpg", "10181216")</f>
        <v>10181216</v>
      </c>
      <c r="C2426" s="3" t="str">
        <f>HYPERLINK("http://www.ncbi.nlm.nih.gov/protein/10181216","Fbxo3")</f>
        <v>Fbxo3</v>
      </c>
      <c r="E2426" t="str">
        <f>HYPERLINK("J:\Depot - mpkCCD Fractions\Main Web Page\Web Pages_old\proteomic_fractions_linear_files/Yang_linear_img/10181216.jpg","show blot")</f>
        <v>show blot</v>
      </c>
      <c r="G2426" t="s">
        <v>2403</v>
      </c>
      <c r="I2426" s="6">
        <v>3.8044375950307296</v>
      </c>
      <c r="K2426" s="8"/>
    </row>
    <row r="2427" spans="1:11" ht="15" x14ac:dyDescent="0.25">
      <c r="A2427" s="3" t="str">
        <f>HYPERLINK("proteomic_fractions_linear_files/Yang_linear_img/46877055.jpg", "46877055")</f>
        <v>46877055</v>
      </c>
      <c r="C2427" s="3" t="str">
        <f>HYPERLINK("http://www.ncbi.nlm.nih.gov/protein/46877055","Fbxo3")</f>
        <v>Fbxo3</v>
      </c>
      <c r="E2427" t="str">
        <f>HYPERLINK("J:\Depot - mpkCCD Fractions\Main Web Page\Web Pages_old\proteomic_fractions_linear_files/Yang_linear_img/46877055.jpg","show blot")</f>
        <v>show blot</v>
      </c>
      <c r="G2427" t="s">
        <v>2404</v>
      </c>
      <c r="I2427" s="6">
        <v>3.8044375950307296</v>
      </c>
      <c r="K2427" s="8"/>
    </row>
    <row r="2428" spans="1:11" ht="15" x14ac:dyDescent="0.25">
      <c r="A2428" s="3" t="str">
        <f>HYPERLINK("proteomic_fractions_linear_files/Yang_linear_img/13385848.jpg", "13385848")</f>
        <v>13385848</v>
      </c>
      <c r="C2428" s="3" t="str">
        <f>HYPERLINK("http://www.ncbi.nlm.nih.gov/protein/13385848","Fbxo32")</f>
        <v>Fbxo32</v>
      </c>
      <c r="E2428" t="str">
        <f>HYPERLINK("J:\Depot - mpkCCD Fractions\Main Web Page\Web Pages_old\proteomic_fractions_linear_files/Yang_linear_img/13385848.jpg","show blot")</f>
        <v>show blot</v>
      </c>
      <c r="G2428" t="s">
        <v>2405</v>
      </c>
      <c r="I2428" s="6">
        <v>1.3429038935937703</v>
      </c>
      <c r="K2428" s="8"/>
    </row>
    <row r="2429" spans="1:11" ht="15" x14ac:dyDescent="0.25">
      <c r="A2429" s="3" t="str">
        <f>HYPERLINK("proteomic_fractions_linear_files/Yang_linear_img/256665259.jpg", "256665259")</f>
        <v>256665259</v>
      </c>
      <c r="C2429" s="3" t="str">
        <f>HYPERLINK("http://www.ncbi.nlm.nih.gov/protein/256665259","Fbxo4")</f>
        <v>Fbxo4</v>
      </c>
      <c r="E2429" t="str">
        <f>HYPERLINK("J:\Depot - mpkCCD Fractions\Main Web Page\Web Pages_old\proteomic_fractions_linear_files/Yang_linear_img/256665259.jpg","show blot")</f>
        <v>show blot</v>
      </c>
      <c r="G2429" t="s">
        <v>2406</v>
      </c>
      <c r="I2429" s="6">
        <v>3.9055692333400933</v>
      </c>
      <c r="K2429" s="8"/>
    </row>
    <row r="2430" spans="1:11" ht="15" x14ac:dyDescent="0.25">
      <c r="A2430" s="3" t="str">
        <f>HYPERLINK("proteomic_fractions_linear_files/Yang_linear_img/47564092.jpg", "47564092")</f>
        <v>47564092</v>
      </c>
      <c r="C2430" s="3" t="str">
        <f>HYPERLINK("http://www.ncbi.nlm.nih.gov/protein/47564092","Fbxo41")</f>
        <v>Fbxo41</v>
      </c>
      <c r="E2430" t="str">
        <f>HYPERLINK("J:\Depot - mpkCCD Fractions\Main Web Page\Web Pages_old\proteomic_fractions_linear_files/Yang_linear_img/47564092.jpg","show blot")</f>
        <v>show blot</v>
      </c>
      <c r="G2430" t="s">
        <v>2407</v>
      </c>
      <c r="I2430" s="6">
        <v>3.7678086996685685</v>
      </c>
      <c r="K2430" s="8"/>
    </row>
    <row r="2431" spans="1:11" ht="15" x14ac:dyDescent="0.25">
      <c r="A2431" s="3" t="str">
        <f>HYPERLINK("proteomic_fractions_linear_files/Yang_linear_img/56961627.jpg", "56961627")</f>
        <v>56961627</v>
      </c>
      <c r="C2431" s="3" t="str">
        <f>HYPERLINK("http://www.ncbi.nlm.nih.gov/protein/56961627","Fbxo45")</f>
        <v>Fbxo45</v>
      </c>
      <c r="E2431" t="str">
        <f>HYPERLINK("J:\Depot - mpkCCD Fractions\Main Web Page\Web Pages_old\proteomic_fractions_linear_files/Yang_linear_img/56961627.jpg","show blot")</f>
        <v>show blot</v>
      </c>
      <c r="G2431" t="s">
        <v>2408</v>
      </c>
      <c r="I2431" s="6">
        <v>4.1431165914809398</v>
      </c>
      <c r="K2431" s="8"/>
    </row>
    <row r="2432" spans="1:11" ht="15" x14ac:dyDescent="0.25">
      <c r="A2432" s="3" t="str">
        <f>HYPERLINK("proteomic_fractions_linear_files/Yang_linear_img/7657083.jpg", "7657083")</f>
        <v>7657083</v>
      </c>
      <c r="C2432" s="3" t="str">
        <f>HYPERLINK("http://www.ncbi.nlm.nih.gov/protein/7657083","Fbxo6")</f>
        <v>Fbxo6</v>
      </c>
      <c r="E2432" t="str">
        <f>HYPERLINK("J:\Depot - mpkCCD Fractions\Main Web Page\Web Pages_old\proteomic_fractions_linear_files/Yang_linear_img/7657083.jpg","show blot")</f>
        <v>show blot</v>
      </c>
      <c r="G2432" t="s">
        <v>2409</v>
      </c>
      <c r="I2432" s="6">
        <v>4.7606467984038288</v>
      </c>
      <c r="K2432" s="8"/>
    </row>
    <row r="2433" spans="1:11" ht="15" x14ac:dyDescent="0.25">
      <c r="A2433" s="3" t="str">
        <f>HYPERLINK("proteomic_fractions_linear_files/Yang_linear_img/23956270.jpg", "23956270")</f>
        <v>23956270</v>
      </c>
      <c r="C2433" s="3" t="str">
        <f>HYPERLINK("http://www.ncbi.nlm.nih.gov/protein/23956270","Fbxw11")</f>
        <v>Fbxw11</v>
      </c>
      <c r="E2433" t="str">
        <f>HYPERLINK("J:\Depot - mpkCCD Fractions\Main Web Page\Web Pages_old\proteomic_fractions_linear_files/Yang_linear_img/23956270.jpg","show blot")</f>
        <v>show blot</v>
      </c>
      <c r="G2433" t="s">
        <v>2410</v>
      </c>
      <c r="I2433" s="6">
        <v>3.2416039901049163</v>
      </c>
      <c r="K2433" s="8"/>
    </row>
    <row r="2434" spans="1:11" ht="15" x14ac:dyDescent="0.25">
      <c r="A2434" s="3" t="str">
        <f>HYPERLINK("proteomic_fractions_linear_files/Yang_linear_img/405778325.jpg", "405778325")</f>
        <v>405778325</v>
      </c>
      <c r="C2434" s="3" t="str">
        <f>HYPERLINK("http://www.ncbi.nlm.nih.gov/protein/405778325","Fbxw11")</f>
        <v>Fbxw11</v>
      </c>
      <c r="E2434" t="str">
        <f>HYPERLINK("J:\Depot - mpkCCD Fractions\Main Web Page\Web Pages_old\proteomic_fractions_linear_files/Yang_linear_img/405778325.jpg","show blot")</f>
        <v>show blot</v>
      </c>
      <c r="G2434" t="s">
        <v>2411</v>
      </c>
      <c r="I2434" s="6">
        <v>3.2416039901049163</v>
      </c>
      <c r="K2434" s="8"/>
    </row>
    <row r="2435" spans="1:11" ht="15" x14ac:dyDescent="0.25">
      <c r="A2435" s="3" t="str">
        <f>HYPERLINK("proteomic_fractions_linear_files/Yang_linear_img/405778327.jpg", "405778327")</f>
        <v>405778327</v>
      </c>
      <c r="C2435" s="3" t="str">
        <f>HYPERLINK("http://www.ncbi.nlm.nih.gov/protein/405778327","Fbxw11")</f>
        <v>Fbxw11</v>
      </c>
      <c r="E2435" t="str">
        <f>HYPERLINK("J:\Depot - mpkCCD Fractions\Main Web Page\Web Pages_old\proteomic_fractions_linear_files/Yang_linear_img/405778327.jpg","show blot")</f>
        <v>show blot</v>
      </c>
      <c r="G2435" t="s">
        <v>2412</v>
      </c>
      <c r="I2435" s="6">
        <v>3.2416039901049163</v>
      </c>
      <c r="K2435" s="8"/>
    </row>
    <row r="2436" spans="1:11" ht="15" x14ac:dyDescent="0.25">
      <c r="A2436" s="3" t="str">
        <f>HYPERLINK("proteomic_fractions_linear_files/Yang_linear_img/405778329.jpg", "405778329")</f>
        <v>405778329</v>
      </c>
      <c r="C2436" s="3" t="str">
        <f>HYPERLINK("http://www.ncbi.nlm.nih.gov/protein/405778329","Fbxw11")</f>
        <v>Fbxw11</v>
      </c>
      <c r="E2436" t="str">
        <f>HYPERLINK("J:\Depot - mpkCCD Fractions\Main Web Page\Web Pages_old\proteomic_fractions_linear_files/Yang_linear_img/405778329.jpg","show blot")</f>
        <v>show blot</v>
      </c>
      <c r="G2436" t="s">
        <v>2413</v>
      </c>
      <c r="I2436" s="6">
        <v>3.2416039901049163</v>
      </c>
      <c r="K2436" s="8"/>
    </row>
    <row r="2437" spans="1:11" ht="15" x14ac:dyDescent="0.25">
      <c r="A2437" s="3" t="str">
        <f>HYPERLINK("proteomic_fractions_linear_files/Yang_linear_img/29243960.jpg", "29243960")</f>
        <v>29243960</v>
      </c>
      <c r="C2437" s="3" t="str">
        <f>HYPERLINK("http://www.ncbi.nlm.nih.gov/protein/29243960","Fbxw13")</f>
        <v>Fbxw13</v>
      </c>
      <c r="E2437" t="str">
        <f>HYPERLINK("J:\Depot - mpkCCD Fractions\Main Web Page\Web Pages_old\proteomic_fractions_linear_files/Yang_linear_img/29243960.jpg","show blot")</f>
        <v>show blot</v>
      </c>
      <c r="G2437" t="s">
        <v>2414</v>
      </c>
      <c r="I2437" s="6">
        <v>2.818054743077</v>
      </c>
      <c r="K2437" s="8"/>
    </row>
    <row r="2438" spans="1:11" ht="15" x14ac:dyDescent="0.25">
      <c r="A2438" s="3" t="str">
        <f>HYPERLINK("proteomic_fractions_linear_files/Yang_linear_img/47271358.jpg", "47271358")</f>
        <v>47271358</v>
      </c>
      <c r="C2438" s="3" t="str">
        <f>HYPERLINK("http://www.ncbi.nlm.nih.gov/protein/47271358","Fbxw14")</f>
        <v>Fbxw14</v>
      </c>
      <c r="E2438" t="str">
        <f>HYPERLINK("J:\Depot - mpkCCD Fractions\Main Web Page\Web Pages_old\proteomic_fractions_linear_files/Yang_linear_img/47271358.jpg","show blot")</f>
        <v>show blot</v>
      </c>
      <c r="G2438" t="s">
        <v>2415</v>
      </c>
      <c r="I2438" s="6">
        <v>3.4982033565635278</v>
      </c>
      <c r="K2438" s="8"/>
    </row>
    <row r="2439" spans="1:11" ht="15" x14ac:dyDescent="0.25">
      <c r="A2439" s="3" t="str">
        <f>HYPERLINK("proteomic_fractions_linear_files/Yang_linear_img/148539588.jpg", "148539588")</f>
        <v>148539588</v>
      </c>
      <c r="C2439" s="3" t="str">
        <f>HYPERLINK("http://www.ncbi.nlm.nih.gov/protein/148539588","Fbxw22")</f>
        <v>Fbxw22</v>
      </c>
      <c r="E2439" t="str">
        <f>HYPERLINK("J:\Depot - mpkCCD Fractions\Main Web Page\Web Pages_old\proteomic_fractions_linear_files/Yang_linear_img/148539588.jpg","show blot")</f>
        <v>show blot</v>
      </c>
      <c r="G2439" t="s">
        <v>2416</v>
      </c>
      <c r="I2439" s="6">
        <v>3.4982033565635278</v>
      </c>
      <c r="K2439" s="8"/>
    </row>
    <row r="2440" spans="1:11" ht="15" x14ac:dyDescent="0.25">
      <c r="A2440" s="3" t="str">
        <f>HYPERLINK("proteomic_fractions_linear_files/Yang_linear_img/294459937.jpg", "294459937")</f>
        <v>294459937</v>
      </c>
      <c r="C2440" s="3" t="str">
        <f>HYPERLINK("http://www.ncbi.nlm.nih.gov/protein/294459937","Fbxw28")</f>
        <v>Fbxw28</v>
      </c>
      <c r="E2440" t="str">
        <f>HYPERLINK("J:\Depot - mpkCCD Fractions\Main Web Page\Web Pages_old\proteomic_fractions_linear_files/Yang_linear_img/294459937.jpg","show blot")</f>
        <v>show blot</v>
      </c>
      <c r="G2440" t="s">
        <v>2417</v>
      </c>
      <c r="I2440" s="6">
        <v>3.5063212467857072</v>
      </c>
      <c r="K2440" s="8"/>
    </row>
    <row r="2441" spans="1:11" ht="15" x14ac:dyDescent="0.25">
      <c r="A2441" s="3" t="str">
        <f>HYPERLINK("proteomic_fractions_linear_files/Yang_linear_img/294459939.jpg", "294459939")</f>
        <v>294459939</v>
      </c>
      <c r="C2441" s="3" t="str">
        <f>HYPERLINK("http://www.ncbi.nlm.nih.gov/protein/294459939","Fbxw28")</f>
        <v>Fbxw28</v>
      </c>
      <c r="E2441" t="str">
        <f>HYPERLINK("J:\Depot - mpkCCD Fractions\Main Web Page\Web Pages_old\proteomic_fractions_linear_files/Yang_linear_img/294459939.jpg","show blot")</f>
        <v>show blot</v>
      </c>
      <c r="G2441" t="s">
        <v>2418</v>
      </c>
      <c r="I2441" s="6">
        <v>3.5063212467857072</v>
      </c>
      <c r="K2441" s="8"/>
    </row>
    <row r="2442" spans="1:11" ht="15" x14ac:dyDescent="0.25">
      <c r="A2442" s="3" t="str">
        <f>HYPERLINK("proteomic_fractions_linear_files/Yang_linear_img/14780880.jpg", "14780880")</f>
        <v>14780880</v>
      </c>
      <c r="C2442" s="3" t="str">
        <f>HYPERLINK("http://www.ncbi.nlm.nih.gov/protein/14780880","Fbxw4")</f>
        <v>Fbxw4</v>
      </c>
      <c r="E2442" t="str">
        <f>HYPERLINK("J:\Depot - mpkCCD Fractions\Main Web Page\Web Pages_old\proteomic_fractions_linear_files/Yang_linear_img/14780880.jpg","show blot")</f>
        <v>show blot</v>
      </c>
      <c r="G2442" t="s">
        <v>2419</v>
      </c>
      <c r="I2442" s="6">
        <v>2.5787743959236415</v>
      </c>
      <c r="K2442" s="8"/>
    </row>
    <row r="2443" spans="1:11" ht="15" x14ac:dyDescent="0.25">
      <c r="A2443" s="3" t="str">
        <f>HYPERLINK("proteomic_fractions_linear_files/Yang_linear_img/120407054.jpg", "120407054")</f>
        <v>120407054</v>
      </c>
      <c r="C2443" s="3" t="str">
        <f>HYPERLINK("http://www.ncbi.nlm.nih.gov/protein/120407054","Fbxw8")</f>
        <v>Fbxw8</v>
      </c>
      <c r="E2443" t="str">
        <f>HYPERLINK("J:\Depot - mpkCCD Fractions\Main Web Page\Web Pages_old\proteomic_fractions_linear_files/Yang_linear_img/120407054.jpg","show blot")</f>
        <v>show blot</v>
      </c>
      <c r="G2443" t="s">
        <v>2420</v>
      </c>
      <c r="I2443" s="6">
        <v>3.7899661769933539</v>
      </c>
      <c r="K2443" s="8"/>
    </row>
    <row r="2444" spans="1:11" ht="15" x14ac:dyDescent="0.25">
      <c r="A2444" s="3" t="str">
        <f>HYPERLINK("proteomic_fractions_linear_files/Yang_linear_img/359279906.jpg", "359279906")</f>
        <v>359279906</v>
      </c>
      <c r="C2444" s="3" t="str">
        <f>HYPERLINK("http://www.ncbi.nlm.nih.gov/protein/359279906","Fcer2a")</f>
        <v>Fcer2a</v>
      </c>
      <c r="E2444" t="str">
        <f>HYPERLINK("J:\Depot - mpkCCD Fractions\Main Web Page\Web Pages_old\proteomic_fractions_linear_files/Yang_linear_img/359279906.jpg","show blot")</f>
        <v>show blot</v>
      </c>
      <c r="G2444" t="s">
        <v>2421</v>
      </c>
      <c r="I2444" s="6">
        <v>3.002800294959147</v>
      </c>
      <c r="K2444" s="8"/>
    </row>
    <row r="2445" spans="1:11" ht="15" x14ac:dyDescent="0.25">
      <c r="A2445" s="3" t="str">
        <f>HYPERLINK("proteomic_fractions_linear_files/Yang_linear_img/359279914.jpg", "359279914")</f>
        <v>359279914</v>
      </c>
      <c r="C2445" s="3" t="str">
        <f>HYPERLINK("http://www.ncbi.nlm.nih.gov/protein/359279914","Fcer2a")</f>
        <v>Fcer2a</v>
      </c>
      <c r="E2445" t="str">
        <f>HYPERLINK("J:\Depot - mpkCCD Fractions\Main Web Page\Web Pages_old\proteomic_fractions_linear_files/Yang_linear_img/359279914.jpg","show blot")</f>
        <v>show blot</v>
      </c>
      <c r="G2445" t="s">
        <v>2422</v>
      </c>
      <c r="I2445" s="6">
        <v>3.002800294959147</v>
      </c>
      <c r="K2445" s="8"/>
    </row>
    <row r="2446" spans="1:11" ht="15" x14ac:dyDescent="0.25">
      <c r="A2446" s="3" t="str">
        <f>HYPERLINK("proteomic_fractions_linear_files/Yang_linear_img/359279919.jpg", "359279919")</f>
        <v>359279919</v>
      </c>
      <c r="C2446" s="3" t="str">
        <f>HYPERLINK("http://www.ncbi.nlm.nih.gov/protein/359279919","Fcer2a")</f>
        <v>Fcer2a</v>
      </c>
      <c r="E2446" t="str">
        <f>HYPERLINK("J:\Depot - mpkCCD Fractions\Main Web Page\Web Pages_old\proteomic_fractions_linear_files/Yang_linear_img/359279919.jpg","show blot")</f>
        <v>show blot</v>
      </c>
      <c r="G2446" t="s">
        <v>2423</v>
      </c>
      <c r="I2446" s="6">
        <v>3.002800294959147</v>
      </c>
      <c r="K2446" s="8"/>
    </row>
    <row r="2447" spans="1:11" ht="15" x14ac:dyDescent="0.25">
      <c r="A2447" s="3" t="str">
        <f>HYPERLINK("proteomic_fractions_linear_files/Yang_linear_img/359279923.jpg", "359279923")</f>
        <v>359279923</v>
      </c>
      <c r="C2447" s="3" t="str">
        <f>HYPERLINK("http://www.ncbi.nlm.nih.gov/protein/359279923","Fcer2a")</f>
        <v>Fcer2a</v>
      </c>
      <c r="E2447" t="str">
        <f>HYPERLINK("J:\Depot - mpkCCD Fractions\Main Web Page\Web Pages_old\proteomic_fractions_linear_files/Yang_linear_img/359279923.jpg","show blot")</f>
        <v>show blot</v>
      </c>
      <c r="G2447" t="s">
        <v>2424</v>
      </c>
      <c r="I2447" s="6">
        <v>3.002800294959147</v>
      </c>
      <c r="K2447" s="8"/>
    </row>
    <row r="2448" spans="1:11" ht="15" x14ac:dyDescent="0.25">
      <c r="A2448" s="3" t="str">
        <f>HYPERLINK("proteomic_fractions_linear_files/Yang_linear_img/359279925.jpg", "359279925")</f>
        <v>359279925</v>
      </c>
      <c r="C2448" s="3" t="str">
        <f>HYPERLINK("http://www.ncbi.nlm.nih.gov/protein/359279925","Fcer2a")</f>
        <v>Fcer2a</v>
      </c>
      <c r="E2448" t="str">
        <f>HYPERLINK("J:\Depot - mpkCCD Fractions\Main Web Page\Web Pages_old\proteomic_fractions_linear_files/Yang_linear_img/359279925.jpg","show blot")</f>
        <v>show blot</v>
      </c>
      <c r="G2448" t="s">
        <v>2425</v>
      </c>
      <c r="I2448" s="6">
        <v>3.002800294959147</v>
      </c>
      <c r="K2448" s="8"/>
    </row>
    <row r="2449" spans="1:11" ht="15" x14ac:dyDescent="0.25">
      <c r="A2449" s="3" t="str">
        <f>HYPERLINK("proteomic_fractions_linear_files/Yang_linear_img/359339166.jpg", "359339166")</f>
        <v>359339166</v>
      </c>
      <c r="C2449" s="3" t="str">
        <f>HYPERLINK("http://www.ncbi.nlm.nih.gov/protein/359339166","Fcer2a")</f>
        <v>Fcer2a</v>
      </c>
      <c r="E2449" t="str">
        <f>HYPERLINK("J:\Depot - mpkCCD Fractions\Main Web Page\Web Pages_old\proteomic_fractions_linear_files/Yang_linear_img/359339166.jpg","show blot")</f>
        <v>show blot</v>
      </c>
      <c r="G2449" t="s">
        <v>2426</v>
      </c>
      <c r="I2449" s="6">
        <v>3.002800294959147</v>
      </c>
      <c r="K2449" s="8"/>
    </row>
    <row r="2450" spans="1:11" ht="15" x14ac:dyDescent="0.25">
      <c r="A2450" s="3" t="str">
        <f>HYPERLINK("proteomic_fractions_linear_files/Yang_linear_img/7305051.jpg", "7305051")</f>
        <v>7305051</v>
      </c>
      <c r="C2450" s="3" t="str">
        <f>HYPERLINK("http://www.ncbi.nlm.nih.gov/protein/7305051","Fcer2a")</f>
        <v>Fcer2a</v>
      </c>
      <c r="E2450" t="str">
        <f>HYPERLINK("J:\Depot - mpkCCD Fractions\Main Web Page\Web Pages_old\proteomic_fractions_linear_files/Yang_linear_img/7305051.jpg","show blot")</f>
        <v>show blot</v>
      </c>
      <c r="G2450" t="s">
        <v>2422</v>
      </c>
      <c r="I2450" s="6">
        <v>3.002800294959147</v>
      </c>
      <c r="K2450" s="8"/>
    </row>
    <row r="2451" spans="1:11" ht="15" x14ac:dyDescent="0.25">
      <c r="A2451" s="3" t="str">
        <f>HYPERLINK("proteomic_fractions_linear_files/Yang_linear_img/268607601.jpg", "268607601")</f>
        <v>268607601</v>
      </c>
      <c r="C2451" s="3" t="str">
        <f>HYPERLINK("http://www.ncbi.nlm.nih.gov/protein/268607601","Fcf1")</f>
        <v>Fcf1</v>
      </c>
      <c r="E2451" t="str">
        <f>HYPERLINK("J:\Depot - mpkCCD Fractions\Main Web Page\Web Pages_old\proteomic_fractions_linear_files/Yang_linear_img/268607601.jpg","show blot")</f>
        <v>show blot</v>
      </c>
      <c r="G2451" t="s">
        <v>2427</v>
      </c>
      <c r="I2451" s="6">
        <v>3.857079527867382</v>
      </c>
      <c r="K2451" s="8"/>
    </row>
    <row r="2452" spans="1:11" ht="15" x14ac:dyDescent="0.25">
      <c r="A2452" s="3" t="str">
        <f>HYPERLINK("proteomic_fractions_linear_files/Yang_linear_img/169790797.jpg", "169790797")</f>
        <v>169790797</v>
      </c>
      <c r="C2452" s="3" t="str">
        <f>HYPERLINK("http://www.ncbi.nlm.nih.gov/protein/169790797","Fcgbp")</f>
        <v>Fcgbp</v>
      </c>
      <c r="E2452" t="str">
        <f>HYPERLINK("J:\Depot - mpkCCD Fractions\Main Web Page\Web Pages_old\proteomic_fractions_linear_files/Yang_linear_img/169790797.jpg","show blot")</f>
        <v>show blot</v>
      </c>
      <c r="G2452" t="s">
        <v>2428</v>
      </c>
      <c r="I2452" s="6">
        <v>4.1355840413561289</v>
      </c>
      <c r="K2452" s="8"/>
    </row>
    <row r="2453" spans="1:11" ht="15" x14ac:dyDescent="0.25">
      <c r="A2453" s="3" t="str">
        <f>HYPERLINK("proteomic_fractions_linear_files/Yang_linear_img/224994271.jpg", "224994271")</f>
        <v>224994271</v>
      </c>
      <c r="C2453" s="3" t="str">
        <f>HYPERLINK("http://www.ncbi.nlm.nih.gov/protein/224994271","Fcho2")</f>
        <v>Fcho2</v>
      </c>
      <c r="E2453" t="str">
        <f>HYPERLINK("J:\Depot - mpkCCD Fractions\Main Web Page\Web Pages_old\proteomic_fractions_linear_files/Yang_linear_img/224994271.jpg","show blot")</f>
        <v>show blot</v>
      </c>
      <c r="G2453" t="s">
        <v>2429</v>
      </c>
      <c r="I2453" s="6">
        <v>4.0569591228855302</v>
      </c>
      <c r="K2453" s="8"/>
    </row>
    <row r="2454" spans="1:11" ht="15" x14ac:dyDescent="0.25">
      <c r="A2454" s="3" t="str">
        <f>HYPERLINK("proteomic_fractions_linear_files/Yang_linear_img/34328173.jpg", "34328173")</f>
        <v>34328173</v>
      </c>
      <c r="C2454" s="3" t="str">
        <f>HYPERLINK("http://www.ncbi.nlm.nih.gov/protein/34328173","Fdft1")</f>
        <v>Fdft1</v>
      </c>
      <c r="E2454" t="str">
        <f>HYPERLINK("J:\Depot - mpkCCD Fractions\Main Web Page\Web Pages_old\proteomic_fractions_linear_files/Yang_linear_img/34328173.jpg","show blot")</f>
        <v>show blot</v>
      </c>
      <c r="G2454" t="s">
        <v>2430</v>
      </c>
      <c r="I2454" s="6">
        <v>3.3495553552905064</v>
      </c>
      <c r="K2454" s="8"/>
    </row>
    <row r="2455" spans="1:11" ht="15" x14ac:dyDescent="0.25">
      <c r="A2455" s="3" t="str">
        <f>HYPERLINK("proteomic_fractions_linear_files/Yang_linear_img/19882207.jpg", "19882207")</f>
        <v>19882207</v>
      </c>
      <c r="C2455" s="3" t="str">
        <f>HYPERLINK("http://www.ncbi.nlm.nih.gov/protein/19882207","Fdps")</f>
        <v>Fdps</v>
      </c>
      <c r="E2455" t="str">
        <f>HYPERLINK("J:\Depot - mpkCCD Fractions\Main Web Page\Web Pages_old\proteomic_fractions_linear_files/Yang_linear_img/19882207.jpg","show blot")</f>
        <v>show blot</v>
      </c>
      <c r="G2455" t="s">
        <v>2431</v>
      </c>
      <c r="I2455" s="6">
        <v>6.1086850807697548</v>
      </c>
      <c r="K2455" s="8"/>
    </row>
    <row r="2456" spans="1:11" ht="15" x14ac:dyDescent="0.25">
      <c r="A2456" s="3" t="str">
        <f>HYPERLINK("proteomic_fractions_linear_files/Yang_linear_img/359279938.jpg", "359279938")</f>
        <v>359279938</v>
      </c>
      <c r="C2456" s="3" t="str">
        <f>HYPERLINK("http://www.ncbi.nlm.nih.gov/protein/359279938","Fdps")</f>
        <v>Fdps</v>
      </c>
      <c r="E2456" t="str">
        <f>HYPERLINK("J:\Depot - mpkCCD Fractions\Main Web Page\Web Pages_old\proteomic_fractions_linear_files/Yang_linear_img/359279938.jpg","show blot")</f>
        <v>show blot</v>
      </c>
      <c r="G2456" t="s">
        <v>2432</v>
      </c>
      <c r="I2456" s="6">
        <v>6.1086850807697548</v>
      </c>
      <c r="K2456" s="8"/>
    </row>
    <row r="2457" spans="1:11" ht="15" x14ac:dyDescent="0.25">
      <c r="A2457" s="3" t="str">
        <f>HYPERLINK("proteomic_fractions_linear_files/Yang_linear_img/6679765.jpg", "6679765")</f>
        <v>6679765</v>
      </c>
      <c r="C2457" s="3" t="str">
        <f>HYPERLINK("http://www.ncbi.nlm.nih.gov/protein/6679765","Fdx1")</f>
        <v>Fdx1</v>
      </c>
      <c r="E2457" t="str">
        <f>HYPERLINK("J:\Depot - mpkCCD Fractions\Main Web Page\Web Pages_old\proteomic_fractions_linear_files/Yang_linear_img/6679765.jpg","show blot")</f>
        <v>show blot</v>
      </c>
      <c r="G2457" t="s">
        <v>2433</v>
      </c>
      <c r="I2457" s="6">
        <v>4.9839495513956429</v>
      </c>
      <c r="K2457" s="8"/>
    </row>
    <row r="2458" spans="1:11" ht="15" x14ac:dyDescent="0.25">
      <c r="A2458" s="3" t="str">
        <f>HYPERLINK("proteomic_fractions_linear_files/Yang_linear_img/90017457.jpg", "90017457")</f>
        <v>90017457</v>
      </c>
      <c r="C2458" s="3" t="str">
        <f>HYPERLINK("http://www.ncbi.nlm.nih.gov/protein/90017457","Fdx1l")</f>
        <v>Fdx1l</v>
      </c>
      <c r="E2458" t="str">
        <f>HYPERLINK("J:\Depot - mpkCCD Fractions\Main Web Page\Web Pages_old\proteomic_fractions_linear_files/Yang_linear_img/90017457.jpg","show blot")</f>
        <v>show blot</v>
      </c>
      <c r="G2458" t="s">
        <v>2434</v>
      </c>
      <c r="I2458" s="6">
        <v>3.7222569952233671</v>
      </c>
      <c r="K2458" s="8"/>
    </row>
    <row r="2459" spans="1:11" ht="15" x14ac:dyDescent="0.25">
      <c r="A2459" s="3" t="str">
        <f>HYPERLINK("proteomic_fractions_linear_files/Yang_linear_img/6679767.jpg", "6679767")</f>
        <v>6679767</v>
      </c>
      <c r="C2459" s="3" t="str">
        <f>HYPERLINK("http://www.ncbi.nlm.nih.gov/protein/6679767","Fdxr")</f>
        <v>Fdxr</v>
      </c>
      <c r="E2459" t="str">
        <f>HYPERLINK("J:\Depot - mpkCCD Fractions\Main Web Page\Web Pages_old\proteomic_fractions_linear_files/Yang_linear_img/6679767.jpg","show blot")</f>
        <v>show blot</v>
      </c>
      <c r="G2459" t="s">
        <v>2435</v>
      </c>
      <c r="I2459" s="6">
        <v>4.2026984833978176</v>
      </c>
      <c r="K2459" s="8"/>
    </row>
    <row r="2460" spans="1:11" ht="15" x14ac:dyDescent="0.25">
      <c r="A2460" s="3" t="str">
        <f>HYPERLINK("proteomic_fractions_linear_files/Yang_linear_img/20452466.jpg", "20452466")</f>
        <v>20452466</v>
      </c>
      <c r="C2460" s="3" t="str">
        <f>HYPERLINK("http://www.ncbi.nlm.nih.gov/protein/20452466","Fech")</f>
        <v>Fech</v>
      </c>
      <c r="E2460" t="str">
        <f>HYPERLINK("J:\Depot - mpkCCD Fractions\Main Web Page\Web Pages_old\proteomic_fractions_linear_files/Yang_linear_img/20452466.jpg","show blot")</f>
        <v>show blot</v>
      </c>
      <c r="G2460" t="s">
        <v>2436</v>
      </c>
      <c r="I2460" s="6">
        <v>3.3420457535117611</v>
      </c>
      <c r="K2460" s="8"/>
    </row>
    <row r="2461" spans="1:11" ht="15" x14ac:dyDescent="0.25">
      <c r="A2461" s="3" t="str">
        <f>HYPERLINK("proteomic_fractions_linear_files/Yang_linear_img/6753840.jpg", "6753840")</f>
        <v>6753840</v>
      </c>
      <c r="C2461" s="3" t="str">
        <f>HYPERLINK("http://www.ncbi.nlm.nih.gov/protein/6753840","Fem1b")</f>
        <v>Fem1b</v>
      </c>
      <c r="E2461" t="str">
        <f>HYPERLINK("J:\Depot - mpkCCD Fractions\Main Web Page\Web Pages_old\proteomic_fractions_linear_files/Yang_linear_img/6753840.jpg","show blot")</f>
        <v>show blot</v>
      </c>
      <c r="G2461" t="s">
        <v>2437</v>
      </c>
      <c r="I2461" s="6">
        <v>3.3402190949106907</v>
      </c>
      <c r="K2461" s="8"/>
    </row>
    <row r="2462" spans="1:11" ht="15" x14ac:dyDescent="0.25">
      <c r="A2462" s="3" t="str">
        <f>HYPERLINK("proteomic_fractions_linear_files/Yang_linear_img/27734132.jpg", "27734132")</f>
        <v>27734132</v>
      </c>
      <c r="C2462" s="3" t="str">
        <f>HYPERLINK("http://www.ncbi.nlm.nih.gov/protein/27734132","Fem1c")</f>
        <v>Fem1c</v>
      </c>
      <c r="E2462" t="str">
        <f>HYPERLINK("J:\Depot - mpkCCD Fractions\Main Web Page\Web Pages_old\proteomic_fractions_linear_files/Yang_linear_img/27734132.jpg","show blot")</f>
        <v>show blot</v>
      </c>
      <c r="G2462" t="s">
        <v>2438</v>
      </c>
      <c r="I2462" s="6">
        <v>3.2326159206348728</v>
      </c>
      <c r="K2462" s="8"/>
    </row>
    <row r="2463" spans="1:11" ht="15" x14ac:dyDescent="0.25">
      <c r="A2463" s="3" t="str">
        <f>HYPERLINK("proteomic_fractions_linear_files/Yang_linear_img/46048490.jpg", "46048490")</f>
        <v>46048490</v>
      </c>
      <c r="C2463" s="3" t="str">
        <f>HYPERLINK("http://www.ncbi.nlm.nih.gov/protein/46048490","Fen1")</f>
        <v>Fen1</v>
      </c>
      <c r="E2463" t="str">
        <f>HYPERLINK("J:\Depot - mpkCCD Fractions\Main Web Page\Web Pages_old\proteomic_fractions_linear_files/Yang_linear_img/46048490.jpg","show blot")</f>
        <v>show blot</v>
      </c>
      <c r="G2463" t="s">
        <v>2439</v>
      </c>
      <c r="I2463" s="6">
        <v>5.7455276237941426</v>
      </c>
      <c r="K2463" s="8"/>
    </row>
    <row r="2464" spans="1:11" ht="15" x14ac:dyDescent="0.25">
      <c r="A2464" s="3" t="str">
        <f>HYPERLINK("proteomic_fractions_linear_files/Yang_linear_img/124487315.jpg", "124487315")</f>
        <v>124487315</v>
      </c>
      <c r="C2464" s="3" t="str">
        <f>HYPERLINK("http://www.ncbi.nlm.nih.gov/protein/124487315","Fermt1")</f>
        <v>Fermt1</v>
      </c>
      <c r="E2464" t="str">
        <f>HYPERLINK("J:\Depot - mpkCCD Fractions\Main Web Page\Web Pages_old\proteomic_fractions_linear_files/Yang_linear_img/124487315.jpg","show blot")</f>
        <v>show blot</v>
      </c>
      <c r="G2464" t="s">
        <v>2440</v>
      </c>
      <c r="I2464" s="6">
        <v>3.3907264158666304</v>
      </c>
      <c r="K2464" s="8"/>
    </row>
    <row r="2465" spans="1:11" ht="15" x14ac:dyDescent="0.25">
      <c r="A2465" s="3" t="str">
        <f>HYPERLINK("proteomic_fractions_linear_files/Yang_linear_img/67906179.jpg", "67906179")</f>
        <v>67906179</v>
      </c>
      <c r="C2465" s="3" t="str">
        <f>HYPERLINK("http://www.ncbi.nlm.nih.gov/protein/67906179","Fermt2")</f>
        <v>Fermt2</v>
      </c>
      <c r="E2465" t="str">
        <f>HYPERLINK("J:\Depot - mpkCCD Fractions\Main Web Page\Web Pages_old\proteomic_fractions_linear_files/Yang_linear_img/67906179.jpg","show blot")</f>
        <v>show blot</v>
      </c>
      <c r="G2465" t="s">
        <v>2441</v>
      </c>
      <c r="I2465" s="6">
        <v>4.7639245972585416</v>
      </c>
      <c r="K2465" s="8"/>
    </row>
    <row r="2466" spans="1:11" ht="15" x14ac:dyDescent="0.25">
      <c r="A2466" s="3" t="str">
        <f>HYPERLINK("proteomic_fractions_linear_files/Yang_linear_img/40789098.jpg", "40789098")</f>
        <v>40789098</v>
      </c>
      <c r="C2466" s="3" t="str">
        <f>HYPERLINK("http://www.ncbi.nlm.nih.gov/protein/40789098","Fez2")</f>
        <v>Fez2</v>
      </c>
      <c r="E2466" t="str">
        <f>HYPERLINK("J:\Depot - mpkCCD Fractions\Main Web Page\Web Pages_old\proteomic_fractions_linear_files/Yang_linear_img/40789098.jpg","show blot")</f>
        <v>show blot</v>
      </c>
      <c r="G2466" t="s">
        <v>2442</v>
      </c>
      <c r="I2466" s="6">
        <v>3.0529619332337115</v>
      </c>
      <c r="K2466" s="8"/>
    </row>
    <row r="2467" spans="1:11" ht="15" x14ac:dyDescent="0.25">
      <c r="A2467" s="3" t="str">
        <f>HYPERLINK("proteomic_fractions_linear_files/Yang_linear_img/31982367.jpg", "31982367")</f>
        <v>31982367</v>
      </c>
      <c r="C2467" s="3" t="str">
        <f>HYPERLINK("http://www.ncbi.nlm.nih.gov/protein/31982367","Fgd1")</f>
        <v>Fgd1</v>
      </c>
      <c r="E2467" t="str">
        <f>HYPERLINK("J:\Depot - mpkCCD Fractions\Main Web Page\Web Pages_old\proteomic_fractions_linear_files/Yang_linear_img/31982367.jpg","show blot")</f>
        <v>show blot</v>
      </c>
      <c r="G2467" t="s">
        <v>2443</v>
      </c>
      <c r="I2467" s="6">
        <v>3.3821486685583775</v>
      </c>
      <c r="K2467" s="8"/>
    </row>
    <row r="2468" spans="1:11" ht="15" x14ac:dyDescent="0.25">
      <c r="A2468" s="3" t="str">
        <f>HYPERLINK("proteomic_fractions_linear_files/Yang_linear_img/85719309.jpg", "85719309")</f>
        <v>85719309</v>
      </c>
      <c r="C2468" s="3" t="str">
        <f>HYPERLINK("http://www.ncbi.nlm.nih.gov/protein/85719309","Fgd3")</f>
        <v>Fgd3</v>
      </c>
      <c r="E2468" t="str">
        <f>HYPERLINK("J:\Depot - mpkCCD Fractions\Main Web Page\Web Pages_old\proteomic_fractions_linear_files/Yang_linear_img/85719309.jpg","show blot")</f>
        <v>show blot</v>
      </c>
      <c r="G2468" t="s">
        <v>2444</v>
      </c>
      <c r="I2468" s="6">
        <v>3.9543395194932982</v>
      </c>
      <c r="K2468" s="8"/>
    </row>
    <row r="2469" spans="1:11" ht="15" x14ac:dyDescent="0.25">
      <c r="A2469" s="3" t="str">
        <f>HYPERLINK("proteomic_fractions_linear_files/Yang_linear_img/22296595.jpg", "22296595")</f>
        <v>22296595</v>
      </c>
      <c r="C2469" s="3" t="str">
        <f>HYPERLINK("http://www.ncbi.nlm.nih.gov/protein/22296595","Fgd4")</f>
        <v>Fgd4</v>
      </c>
      <c r="E2469" t="str">
        <f>HYPERLINK("J:\Depot - mpkCCD Fractions\Main Web Page\Web Pages_old\proteomic_fractions_linear_files/Yang_linear_img/22296595.jpg","show blot")</f>
        <v>show blot</v>
      </c>
      <c r="G2469" t="s">
        <v>2445</v>
      </c>
      <c r="I2469" s="6">
        <v>3.7915209991377208</v>
      </c>
      <c r="K2469" s="8"/>
    </row>
    <row r="2470" spans="1:11" ht="15" x14ac:dyDescent="0.25">
      <c r="A2470" s="3" t="str">
        <f>HYPERLINK("proteomic_fractions_linear_files/Yang_linear_img/22296599.jpg", "22296599")</f>
        <v>22296599</v>
      </c>
      <c r="C2470" s="3" t="str">
        <f>HYPERLINK("http://www.ncbi.nlm.nih.gov/protein/22296599","Fgd4")</f>
        <v>Fgd4</v>
      </c>
      <c r="E2470" t="str">
        <f>HYPERLINK("J:\Depot - mpkCCD Fractions\Main Web Page\Web Pages_old\proteomic_fractions_linear_files/Yang_linear_img/22296599.jpg","show blot")</f>
        <v>show blot</v>
      </c>
      <c r="G2470" t="s">
        <v>2446</v>
      </c>
      <c r="I2470" s="6">
        <v>3.7915209991377208</v>
      </c>
      <c r="K2470" s="8"/>
    </row>
    <row r="2471" spans="1:11" ht="15" x14ac:dyDescent="0.25">
      <c r="A2471" s="3" t="str">
        <f>HYPERLINK("proteomic_fractions_linear_files/Yang_linear_img/29336047.jpg", "29336047")</f>
        <v>29336047</v>
      </c>
      <c r="C2471" s="3" t="str">
        <f>HYPERLINK("http://www.ncbi.nlm.nih.gov/protein/29336047","Fgd4")</f>
        <v>Fgd4</v>
      </c>
      <c r="E2471" t="str">
        <f>HYPERLINK("J:\Depot - mpkCCD Fractions\Main Web Page\Web Pages_old\proteomic_fractions_linear_files/Yang_linear_img/29336047.jpg","show blot")</f>
        <v>show blot</v>
      </c>
      <c r="G2471" t="s">
        <v>2447</v>
      </c>
      <c r="I2471" s="6">
        <v>3.7915209991377208</v>
      </c>
      <c r="K2471" s="8"/>
    </row>
    <row r="2472" spans="1:11" ht="15" x14ac:dyDescent="0.25">
      <c r="A2472" s="3" t="str">
        <f>HYPERLINK("proteomic_fractions_linear_files/Yang_linear_img/6753850.jpg", "6753850")</f>
        <v>6753850</v>
      </c>
      <c r="C2472" s="3" t="str">
        <f>HYPERLINK("http://www.ncbi.nlm.nih.gov/protein/6753850","Fgf1")</f>
        <v>Fgf1</v>
      </c>
      <c r="E2472" t="str">
        <f>HYPERLINK("J:\Depot - mpkCCD Fractions\Main Web Page\Web Pages_old\proteomic_fractions_linear_files/Yang_linear_img/6753850.jpg","show blot")</f>
        <v>show blot</v>
      </c>
      <c r="G2472" t="s">
        <v>2448</v>
      </c>
      <c r="I2472" s="6">
        <v>2.4135776188819369</v>
      </c>
      <c r="K2472" s="8"/>
    </row>
    <row r="2473" spans="1:11" ht="15" x14ac:dyDescent="0.25">
      <c r="A2473" s="3" t="str">
        <f>HYPERLINK("proteomic_fractions_linear_files/Yang_linear_img/120952633.jpg", "120952633")</f>
        <v>120952633</v>
      </c>
      <c r="C2473" s="3" t="str">
        <f>HYPERLINK("http://www.ncbi.nlm.nih.gov/protein/120952633","Fgfr1")</f>
        <v>Fgfr1</v>
      </c>
      <c r="E2473" t="str">
        <f>HYPERLINK("J:\Depot - mpkCCD Fractions\Main Web Page\Web Pages_old\proteomic_fractions_linear_files/Yang_linear_img/120952633.jpg","show blot")</f>
        <v>show blot</v>
      </c>
      <c r="G2473" t="s">
        <v>2449</v>
      </c>
      <c r="I2473" s="6">
        <v>5.0580241256589815</v>
      </c>
      <c r="K2473" s="8"/>
    </row>
    <row r="2474" spans="1:11" ht="15" x14ac:dyDescent="0.25">
      <c r="A2474" s="3" t="str">
        <f>HYPERLINK("proteomic_fractions_linear_files/Yang_linear_img/120952641.jpg", "120952641")</f>
        <v>120952641</v>
      </c>
      <c r="C2474" s="3" t="str">
        <f>HYPERLINK("http://www.ncbi.nlm.nih.gov/protein/120952641","Fgfr1")</f>
        <v>Fgfr1</v>
      </c>
      <c r="E2474" t="str">
        <f>HYPERLINK("J:\Depot - mpkCCD Fractions\Main Web Page\Web Pages_old\proteomic_fractions_linear_files/Yang_linear_img/120952641.jpg","show blot")</f>
        <v>show blot</v>
      </c>
      <c r="G2474" t="s">
        <v>2450</v>
      </c>
      <c r="I2474" s="6">
        <v>5.0580241256589815</v>
      </c>
      <c r="K2474" s="8"/>
    </row>
    <row r="2475" spans="1:11" ht="15" x14ac:dyDescent="0.25">
      <c r="A2475" s="3" t="str">
        <f>HYPERLINK("proteomic_fractions_linear_files/Yang_linear_img/120952698.jpg", "120952698")</f>
        <v>120952698</v>
      </c>
      <c r="C2475" s="3" t="str">
        <f>HYPERLINK("http://www.ncbi.nlm.nih.gov/protein/120952698","Fgfr1")</f>
        <v>Fgfr1</v>
      </c>
      <c r="E2475" t="str">
        <f>HYPERLINK("J:\Depot - mpkCCD Fractions\Main Web Page\Web Pages_old\proteomic_fractions_linear_files/Yang_linear_img/120952698.jpg","show blot")</f>
        <v>show blot</v>
      </c>
      <c r="G2475" t="s">
        <v>2451</v>
      </c>
      <c r="I2475" s="6">
        <v>5.0580241256589815</v>
      </c>
      <c r="K2475" s="8"/>
    </row>
    <row r="2476" spans="1:11" ht="15" x14ac:dyDescent="0.25">
      <c r="A2476" s="3" t="str">
        <f>HYPERLINK("proteomic_fractions_linear_files/Yang_linear_img/116089349.jpg", "116089349")</f>
        <v>116089349</v>
      </c>
      <c r="C2476" s="3" t="str">
        <f>HYPERLINK("http://www.ncbi.nlm.nih.gov/protein/116089349","Fgfr2")</f>
        <v>Fgfr2</v>
      </c>
      <c r="E2476" t="str">
        <f>HYPERLINK("J:\Depot - mpkCCD Fractions\Main Web Page\Web Pages_old\proteomic_fractions_linear_files/Yang_linear_img/116089349.jpg","show blot")</f>
        <v>show blot</v>
      </c>
      <c r="G2476" t="s">
        <v>2452</v>
      </c>
      <c r="I2476" s="6">
        <v>5.0473002602672077</v>
      </c>
      <c r="K2476" s="8"/>
    </row>
    <row r="2477" spans="1:11" ht="15" x14ac:dyDescent="0.25">
      <c r="A2477" s="3" t="str">
        <f>HYPERLINK("proteomic_fractions_linear_files/Yang_linear_img/116089355.jpg", "116089355")</f>
        <v>116089355</v>
      </c>
      <c r="C2477" s="3" t="str">
        <f>HYPERLINK("http://www.ncbi.nlm.nih.gov/protein/116089355","Fgfr2")</f>
        <v>Fgfr2</v>
      </c>
      <c r="E2477" t="str">
        <f>HYPERLINK("J:\Depot - mpkCCD Fractions\Main Web Page\Web Pages_old\proteomic_fractions_linear_files/Yang_linear_img/116089355.jpg","show blot")</f>
        <v>show blot</v>
      </c>
      <c r="G2477" t="s">
        <v>2453</v>
      </c>
      <c r="I2477" s="6">
        <v>5.0473002602672077</v>
      </c>
      <c r="K2477" s="8"/>
    </row>
    <row r="2478" spans="1:11" ht="15" x14ac:dyDescent="0.25">
      <c r="A2478" s="3" t="str">
        <f>HYPERLINK("proteomic_fractions_linear_files/Yang_linear_img/254028252.jpg", "254028252")</f>
        <v>254028252</v>
      </c>
      <c r="C2478" s="3" t="str">
        <f>HYPERLINK("http://www.ncbi.nlm.nih.gov/protein/254028252","Fgfr3")</f>
        <v>Fgfr3</v>
      </c>
      <c r="E2478" t="str">
        <f>HYPERLINK("J:\Depot - mpkCCD Fractions\Main Web Page\Web Pages_old\proteomic_fractions_linear_files/Yang_linear_img/254028252.jpg","show blot")</f>
        <v>show blot</v>
      </c>
      <c r="G2478" t="s">
        <v>2454</v>
      </c>
      <c r="I2478" s="6">
        <v>5.0540666651682526</v>
      </c>
      <c r="K2478" s="8"/>
    </row>
    <row r="2479" spans="1:11" ht="15" x14ac:dyDescent="0.25">
      <c r="A2479" s="3" t="str">
        <f>HYPERLINK("proteomic_fractions_linear_files/Yang_linear_img/254028254.jpg", "254028254")</f>
        <v>254028254</v>
      </c>
      <c r="C2479" s="3" t="str">
        <f>HYPERLINK("http://www.ncbi.nlm.nih.gov/protein/254028254","Fgfr3")</f>
        <v>Fgfr3</v>
      </c>
      <c r="E2479" t="str">
        <f>HYPERLINK("J:\Depot - mpkCCD Fractions\Main Web Page\Web Pages_old\proteomic_fractions_linear_files/Yang_linear_img/254028254.jpg","show blot")</f>
        <v>show blot</v>
      </c>
      <c r="G2479" t="s">
        <v>2455</v>
      </c>
      <c r="I2479" s="6">
        <v>5.0540666651682526</v>
      </c>
      <c r="K2479" s="8"/>
    </row>
    <row r="2480" spans="1:11" ht="15" x14ac:dyDescent="0.25">
      <c r="A2480" s="3" t="str">
        <f>HYPERLINK("proteomic_fractions_linear_files/Yang_linear_img/328751707.jpg", "328751707")</f>
        <v>328751707</v>
      </c>
      <c r="C2480" s="3" t="str">
        <f>HYPERLINK("http://www.ncbi.nlm.nih.gov/protein/328751707","Fgfr3")</f>
        <v>Fgfr3</v>
      </c>
      <c r="E2480" t="str">
        <f>HYPERLINK("J:\Depot - mpkCCD Fractions\Main Web Page\Web Pages_old\proteomic_fractions_linear_files/Yang_linear_img/328751707.jpg","show blot")</f>
        <v>show blot</v>
      </c>
      <c r="G2480" t="s">
        <v>2456</v>
      </c>
      <c r="I2480" s="6">
        <v>5.0540666651682526</v>
      </c>
      <c r="K2480" s="8"/>
    </row>
    <row r="2481" spans="1:11" ht="15" x14ac:dyDescent="0.25">
      <c r="A2481" s="3" t="str">
        <f>HYPERLINK("proteomic_fractions_linear_files/Yang_linear_img/46877057.jpg", "46877057")</f>
        <v>46877057</v>
      </c>
      <c r="C2481" s="3" t="str">
        <f>HYPERLINK("http://www.ncbi.nlm.nih.gov/protein/46877057","Fgfr3")</f>
        <v>Fgfr3</v>
      </c>
      <c r="E2481" t="str">
        <f>HYPERLINK("J:\Depot - mpkCCD Fractions\Main Web Page\Web Pages_old\proteomic_fractions_linear_files/Yang_linear_img/46877057.jpg","show blot")</f>
        <v>show blot</v>
      </c>
      <c r="G2481" t="s">
        <v>2457</v>
      </c>
      <c r="I2481" s="6">
        <v>5.0540666651682526</v>
      </c>
      <c r="K2481" s="8"/>
    </row>
    <row r="2482" spans="1:11" ht="15" x14ac:dyDescent="0.25">
      <c r="A2482" s="3" t="str">
        <f>HYPERLINK("proteomic_fractions_linear_files/Yang_linear_img/112293260.jpg", "112293260")</f>
        <v>112293260</v>
      </c>
      <c r="C2482" s="3" t="str">
        <f>HYPERLINK("http://www.ncbi.nlm.nih.gov/protein/112293260","Fgfr4")</f>
        <v>Fgfr4</v>
      </c>
      <c r="E2482" t="str">
        <f>HYPERLINK("J:\Depot - mpkCCD Fractions\Main Web Page\Web Pages_old\proteomic_fractions_linear_files/Yang_linear_img/112293260.jpg","show blot")</f>
        <v>show blot</v>
      </c>
      <c r="G2482" t="s">
        <v>2458</v>
      </c>
      <c r="I2482" s="6">
        <v>5.0215948600323062</v>
      </c>
      <c r="K2482" s="8"/>
    </row>
    <row r="2483" spans="1:11" ht="15" x14ac:dyDescent="0.25">
      <c r="A2483" s="3" t="str">
        <f>HYPERLINK("proteomic_fractions_linear_files/Yang_linear_img/171542819.jpg", "171542819")</f>
        <v>171542819</v>
      </c>
      <c r="C2483" s="3" t="str">
        <f>HYPERLINK("http://www.ncbi.nlm.nih.gov/protein/171542819","Fgr")</f>
        <v>Fgr</v>
      </c>
      <c r="E2483" t="str">
        <f>HYPERLINK("J:\Depot - mpkCCD Fractions\Main Web Page\Web Pages_old\proteomic_fractions_linear_files/Yang_linear_img/171542819.jpg","show blot")</f>
        <v>show blot</v>
      </c>
      <c r="G2483" t="s">
        <v>2459</v>
      </c>
      <c r="I2483" s="6">
        <v>5.1902621010087806</v>
      </c>
      <c r="K2483" s="8"/>
    </row>
    <row r="2484" spans="1:11" ht="15" x14ac:dyDescent="0.25">
      <c r="A2484" s="3" t="str">
        <f>HYPERLINK("proteomic_fractions_linear_files/Yang_linear_img/226823367.jpg", "226823367")</f>
        <v>226823367</v>
      </c>
      <c r="C2484" s="3" t="str">
        <f>HYPERLINK("http://www.ncbi.nlm.nih.gov/protein/226823367","Fh1")</f>
        <v>Fh1</v>
      </c>
      <c r="E2484" t="str">
        <f>HYPERLINK("J:\Depot - mpkCCD Fractions\Main Web Page\Web Pages_old\proteomic_fractions_linear_files/Yang_linear_img/226823367.jpg","show blot")</f>
        <v>show blot</v>
      </c>
      <c r="G2484" t="s">
        <v>2460</v>
      </c>
      <c r="I2484" s="6">
        <v>5.8695663742307111</v>
      </c>
      <c r="K2484" s="8"/>
    </row>
    <row r="2485" spans="1:11" ht="15" x14ac:dyDescent="0.25">
      <c r="A2485" s="3" t="str">
        <f>HYPERLINK("proteomic_fractions_linear_files/Yang_linear_img/209413705.jpg", "209413705")</f>
        <v>209413705</v>
      </c>
      <c r="C2485" s="3" t="str">
        <f>HYPERLINK("http://www.ncbi.nlm.nih.gov/protein/209413705","Fhad1")</f>
        <v>Fhad1</v>
      </c>
      <c r="E2485" t="str">
        <f>HYPERLINK("J:\Depot - mpkCCD Fractions\Main Web Page\Web Pages_old\proteomic_fractions_linear_files/Yang_linear_img/209413705.jpg","show blot")</f>
        <v>show blot</v>
      </c>
      <c r="G2485" t="s">
        <v>2461</v>
      </c>
      <c r="I2485" s="6">
        <v>1.7895831449397994</v>
      </c>
      <c r="K2485" s="8"/>
    </row>
    <row r="2486" spans="1:11" ht="15" x14ac:dyDescent="0.25">
      <c r="A2486" s="3" t="str">
        <f>HYPERLINK("proteomic_fractions_linear_files/Yang_linear_img/116517334.jpg", "116517334")</f>
        <v>116517334</v>
      </c>
      <c r="C2486" s="3" t="str">
        <f>HYPERLINK("http://www.ncbi.nlm.nih.gov/protein/116517334","Fhl1")</f>
        <v>Fhl1</v>
      </c>
      <c r="E2486" t="str">
        <f>HYPERLINK("J:\Depot - mpkCCD Fractions\Main Web Page\Web Pages_old\proteomic_fractions_linear_files/Yang_linear_img/116517334.jpg","show blot")</f>
        <v>show blot</v>
      </c>
      <c r="G2486" t="s">
        <v>2462</v>
      </c>
      <c r="I2486" s="6">
        <v>4.7514375893027898</v>
      </c>
      <c r="K2486" s="8"/>
    </row>
    <row r="2487" spans="1:11" ht="15" x14ac:dyDescent="0.25">
      <c r="A2487" s="3" t="str">
        <f>HYPERLINK("proteomic_fractions_linear_files/Yang_linear_img/116517336.jpg", "116517336")</f>
        <v>116517336</v>
      </c>
      <c r="C2487" s="3" t="str">
        <f>HYPERLINK("http://www.ncbi.nlm.nih.gov/protein/116517336","Fhl1")</f>
        <v>Fhl1</v>
      </c>
      <c r="E2487" t="str">
        <f>HYPERLINK("J:\Depot - mpkCCD Fractions\Main Web Page\Web Pages_old\proteomic_fractions_linear_files/Yang_linear_img/116517336.jpg","show blot")</f>
        <v>show blot</v>
      </c>
      <c r="G2487" t="s">
        <v>2463</v>
      </c>
      <c r="I2487" s="6">
        <v>4.7514375893027898</v>
      </c>
      <c r="K2487" s="8"/>
    </row>
    <row r="2488" spans="1:11" ht="15" x14ac:dyDescent="0.25">
      <c r="A2488" s="3" t="str">
        <f>HYPERLINK("proteomic_fractions_linear_files/Yang_linear_img/116517340.jpg", "116517340")</f>
        <v>116517340</v>
      </c>
      <c r="C2488" s="3" t="str">
        <f>HYPERLINK("http://www.ncbi.nlm.nih.gov/protein/116517340","Fhl1")</f>
        <v>Fhl1</v>
      </c>
      <c r="E2488" t="str">
        <f>HYPERLINK("J:\Depot - mpkCCD Fractions\Main Web Page\Web Pages_old\proteomic_fractions_linear_files/Yang_linear_img/116517340.jpg","show blot")</f>
        <v>show blot</v>
      </c>
      <c r="G2488" t="s">
        <v>2464</v>
      </c>
      <c r="I2488" s="6">
        <v>4.7514375893027898</v>
      </c>
      <c r="K2488" s="8"/>
    </row>
    <row r="2489" spans="1:11" ht="15" x14ac:dyDescent="0.25">
      <c r="A2489" s="3" t="str">
        <f>HYPERLINK("proteomic_fractions_linear_files/Yang_linear_img/6753866.jpg", "6753866")</f>
        <v>6753866</v>
      </c>
      <c r="C2489" s="3" t="str">
        <f>HYPERLINK("http://www.ncbi.nlm.nih.gov/protein/6753866","Fhl2")</f>
        <v>Fhl2</v>
      </c>
      <c r="E2489" t="str">
        <f>HYPERLINK("J:\Depot - mpkCCD Fractions\Main Web Page\Web Pages_old\proteomic_fractions_linear_files/Yang_linear_img/6753866.jpg","show blot")</f>
        <v>show blot</v>
      </c>
      <c r="G2489" t="s">
        <v>2465</v>
      </c>
      <c r="I2489" s="6">
        <v>4.4939447682891558</v>
      </c>
      <c r="K2489" s="8"/>
    </row>
    <row r="2490" spans="1:11" ht="15" x14ac:dyDescent="0.25">
      <c r="A2490" s="3" t="str">
        <f>HYPERLINK("proteomic_fractions_linear_files/Yang_linear_img/130488506.jpg", "130488506")</f>
        <v>130488506</v>
      </c>
      <c r="C2490" s="3" t="str">
        <f>HYPERLINK("http://www.ncbi.nlm.nih.gov/protein/130488506","Fhl3")</f>
        <v>Fhl3</v>
      </c>
      <c r="E2490" t="str">
        <f>HYPERLINK("J:\Depot - mpkCCD Fractions\Main Web Page\Web Pages_old\proteomic_fractions_linear_files/Yang_linear_img/130488506.jpg","show blot")</f>
        <v>show blot</v>
      </c>
      <c r="G2490" t="s">
        <v>2466</v>
      </c>
      <c r="I2490" s="6">
        <v>5.4863717620748291</v>
      </c>
      <c r="K2490" s="8"/>
    </row>
    <row r="2491" spans="1:11" ht="15" x14ac:dyDescent="0.25">
      <c r="A2491" s="3" t="str">
        <f>HYPERLINK("proteomic_fractions_linear_files/Yang_linear_img/269973931.jpg", "269973931")</f>
        <v>269973931</v>
      </c>
      <c r="C2491" s="3" t="str">
        <f>HYPERLINK("http://www.ncbi.nlm.nih.gov/protein/269973931","Fhod1")</f>
        <v>Fhod1</v>
      </c>
      <c r="E2491" t="str">
        <f>HYPERLINK("J:\Depot - mpkCCD Fractions\Main Web Page\Web Pages_old\proteomic_fractions_linear_files/Yang_linear_img/269973931.jpg","show blot")</f>
        <v>show blot</v>
      </c>
      <c r="G2491" t="s">
        <v>2467</v>
      </c>
      <c r="I2491" s="6">
        <v>2.9399770103949168</v>
      </c>
      <c r="K2491" s="8"/>
    </row>
    <row r="2492" spans="1:11" ht="15" x14ac:dyDescent="0.25">
      <c r="A2492" s="3" t="str">
        <f>HYPERLINK("proteomic_fractions_linear_files/Yang_linear_img/37674240.jpg", "37674240")</f>
        <v>37674240</v>
      </c>
      <c r="C2492" s="3" t="str">
        <f>HYPERLINK("http://www.ncbi.nlm.nih.gov/protein/37674240","Fhod3")</f>
        <v>Fhod3</v>
      </c>
      <c r="E2492" t="str">
        <f>HYPERLINK("J:\Depot - mpkCCD Fractions\Main Web Page\Web Pages_old\proteomic_fractions_linear_files/Yang_linear_img/37674240.jpg","show blot")</f>
        <v>show blot</v>
      </c>
      <c r="G2492" t="s">
        <v>2468</v>
      </c>
      <c r="I2492" s="6">
        <v>2.3299638407877499</v>
      </c>
      <c r="K2492" s="8"/>
    </row>
    <row r="2493" spans="1:11" ht="15" x14ac:dyDescent="0.25">
      <c r="A2493" s="3" t="str">
        <f>HYPERLINK("proteomic_fractions_linear_files/Yang_linear_img/19527220.jpg", "19527220")</f>
        <v>19527220</v>
      </c>
      <c r="C2493" s="3" t="str">
        <f>HYPERLINK("http://www.ncbi.nlm.nih.gov/protein/19527220","Fig4")</f>
        <v>Fig4</v>
      </c>
      <c r="E2493" t="str">
        <f>HYPERLINK("J:\Depot - mpkCCD Fractions\Main Web Page\Web Pages_old\proteomic_fractions_linear_files/Yang_linear_img/19527220.jpg","show blot")</f>
        <v>show blot</v>
      </c>
      <c r="G2493" t="s">
        <v>2469</v>
      </c>
      <c r="I2493" s="6">
        <v>3.2165745665548209</v>
      </c>
      <c r="K2493" s="8"/>
    </row>
    <row r="2494" spans="1:11" ht="15" x14ac:dyDescent="0.25">
      <c r="A2494" s="3" t="str">
        <f>HYPERLINK("proteomic_fractions_linear_files/Yang_linear_img/31560300.jpg", "31560300")</f>
        <v>31560300</v>
      </c>
      <c r="C2494" s="3" t="str">
        <f>HYPERLINK("http://www.ncbi.nlm.nih.gov/protein/31560300","Fignl1")</f>
        <v>Fignl1</v>
      </c>
      <c r="E2494" t="str">
        <f>HYPERLINK("J:\Depot - mpkCCD Fractions\Main Web Page\Web Pages_old\proteomic_fractions_linear_files/Yang_linear_img/31560300.jpg","show blot")</f>
        <v>show blot</v>
      </c>
      <c r="G2494" t="s">
        <v>2470</v>
      </c>
      <c r="I2494" s="6">
        <v>4.2197456713207586</v>
      </c>
      <c r="K2494" s="8"/>
    </row>
    <row r="2495" spans="1:11" ht="15" x14ac:dyDescent="0.25">
      <c r="A2495" s="3" t="str">
        <f>HYPERLINK("proteomic_fractions_linear_files/Yang_linear_img/227330595.jpg", "227330595")</f>
        <v>227330595</v>
      </c>
      <c r="C2495" s="3" t="str">
        <f>HYPERLINK("http://www.ncbi.nlm.nih.gov/protein/227330595","Fip1l1")</f>
        <v>Fip1l1</v>
      </c>
      <c r="E2495" t="str">
        <f>HYPERLINK("J:\Depot - mpkCCD Fractions\Main Web Page\Web Pages_old\proteomic_fractions_linear_files/Yang_linear_img/227330595.jpg","show blot")</f>
        <v>show blot</v>
      </c>
      <c r="G2495" t="s">
        <v>2471</v>
      </c>
      <c r="I2495" s="6">
        <v>2.3906113252387136</v>
      </c>
      <c r="K2495" s="8"/>
    </row>
    <row r="2496" spans="1:11" ht="15" x14ac:dyDescent="0.25">
      <c r="A2496" s="3" t="str">
        <f>HYPERLINK("proteomic_fractions_linear_files/Yang_linear_img/227330598.jpg", "227330598")</f>
        <v>227330598</v>
      </c>
      <c r="C2496" s="3" t="str">
        <f>HYPERLINK("http://www.ncbi.nlm.nih.gov/protein/227330598","Fip1l1")</f>
        <v>Fip1l1</v>
      </c>
      <c r="E2496" t="str">
        <f>HYPERLINK("J:\Depot - mpkCCD Fractions\Main Web Page\Web Pages_old\proteomic_fractions_linear_files/Yang_linear_img/227330598.jpg","show blot")</f>
        <v>show blot</v>
      </c>
      <c r="G2496" t="s">
        <v>2472</v>
      </c>
      <c r="I2496" s="6">
        <v>2.3906113252387136</v>
      </c>
      <c r="K2496" s="8"/>
    </row>
    <row r="2497" spans="1:11" ht="15" x14ac:dyDescent="0.25">
      <c r="A2497" s="3" t="str">
        <f>HYPERLINK("proteomic_fractions_linear_files/Yang_linear_img/31560210.jpg", "31560210")</f>
        <v>31560210</v>
      </c>
      <c r="C2497" s="3" t="str">
        <f>HYPERLINK("http://www.ncbi.nlm.nih.gov/protein/31560210","Fip1l1")</f>
        <v>Fip1l1</v>
      </c>
      <c r="E2497" t="str">
        <f>HYPERLINK("J:\Depot - mpkCCD Fractions\Main Web Page\Web Pages_old\proteomic_fractions_linear_files/Yang_linear_img/31560210.jpg","show blot")</f>
        <v>show blot</v>
      </c>
      <c r="G2497" t="s">
        <v>2473</v>
      </c>
      <c r="I2497" s="6">
        <v>2.3906113252387136</v>
      </c>
      <c r="K2497" s="8"/>
    </row>
    <row r="2498" spans="1:11" ht="15" x14ac:dyDescent="0.25">
      <c r="A2498" s="3" t="str">
        <f>HYPERLINK("proteomic_fractions_linear_files/Yang_linear_img/13384998.jpg", "13384998")</f>
        <v>13384998</v>
      </c>
      <c r="C2498" s="3" t="str">
        <f>HYPERLINK("http://www.ncbi.nlm.nih.gov/protein/13384998","Fis1")</f>
        <v>Fis1</v>
      </c>
      <c r="E2498" t="str">
        <f>HYPERLINK("J:\Depot - mpkCCD Fractions\Main Web Page\Web Pages_old\proteomic_fractions_linear_files/Yang_linear_img/13384998.jpg","show blot")</f>
        <v>show blot</v>
      </c>
      <c r="G2498" t="s">
        <v>2474</v>
      </c>
      <c r="I2498" s="6">
        <v>6.0146076787682743</v>
      </c>
      <c r="K2498" s="8"/>
    </row>
    <row r="2499" spans="1:11" ht="15" x14ac:dyDescent="0.25">
      <c r="A2499" s="3" t="str">
        <f>HYPERLINK("proteomic_fractions_linear_files/Yang_linear_img/253735731.jpg", "253735731")</f>
        <v>253735731</v>
      </c>
      <c r="C2499" s="3" t="str">
        <f>HYPERLINK("http://www.ncbi.nlm.nih.gov/protein/253735731","Fis1")</f>
        <v>Fis1</v>
      </c>
      <c r="E2499" t="str">
        <f>HYPERLINK("J:\Depot - mpkCCD Fractions\Main Web Page\Web Pages_old\proteomic_fractions_linear_files/Yang_linear_img/253735731.jpg","show blot")</f>
        <v>show blot</v>
      </c>
      <c r="G2499" t="s">
        <v>2475</v>
      </c>
      <c r="I2499" s="6">
        <v>6.0146076787682743</v>
      </c>
      <c r="K2499" s="8"/>
    </row>
    <row r="2500" spans="1:11" ht="15" x14ac:dyDescent="0.25">
      <c r="A2500" s="3" t="str">
        <f>HYPERLINK("proteomic_fractions_linear_files/Yang_linear_img/27734174.jpg", "27734174")</f>
        <v>27734174</v>
      </c>
      <c r="C2500" s="3" t="str">
        <f>HYPERLINK("http://www.ncbi.nlm.nih.gov/protein/27734174","Fitm2")</f>
        <v>Fitm2</v>
      </c>
      <c r="E2500" t="str">
        <f>HYPERLINK("J:\Depot - mpkCCD Fractions\Main Web Page\Web Pages_old\proteomic_fractions_linear_files/Yang_linear_img/27734174.jpg","show blot")</f>
        <v>show blot</v>
      </c>
      <c r="G2500" t="s">
        <v>2476</v>
      </c>
      <c r="I2500" s="6">
        <v>3.8324289388992603</v>
      </c>
      <c r="K2500" s="8"/>
    </row>
    <row r="2501" spans="1:11" ht="15" x14ac:dyDescent="0.25">
      <c r="A2501" s="3" t="str">
        <f>HYPERLINK("proteomic_fractions_linear_files/Yang_linear_img/160333154.jpg", "160333154")</f>
        <v>160333154</v>
      </c>
      <c r="C2501" s="3" t="str">
        <f>HYPERLINK("http://www.ncbi.nlm.nih.gov/protein/160333154","Fiz1")</f>
        <v>Fiz1</v>
      </c>
      <c r="E2501" t="str">
        <f>HYPERLINK("J:\Depot - mpkCCD Fractions\Main Web Page\Web Pages_old\proteomic_fractions_linear_files/Yang_linear_img/160333154.jpg","show blot")</f>
        <v>show blot</v>
      </c>
      <c r="G2501" t="s">
        <v>2477</v>
      </c>
      <c r="I2501" s="6">
        <v>2.2777160531419418</v>
      </c>
      <c r="K2501" s="8"/>
    </row>
    <row r="2502" spans="1:11" ht="15" x14ac:dyDescent="0.25">
      <c r="A2502" s="3" t="str">
        <f>HYPERLINK("proteomic_fractions_linear_files/Yang_linear_img/227116320.jpg", "227116320")</f>
        <v>227116320</v>
      </c>
      <c r="C2502" s="3" t="str">
        <f>HYPERLINK("http://www.ncbi.nlm.nih.gov/protein/227116320","Fkbp15")</f>
        <v>Fkbp15</v>
      </c>
      <c r="E2502" t="str">
        <f>HYPERLINK("J:\Depot - mpkCCD Fractions\Main Web Page\Web Pages_old\proteomic_fractions_linear_files/Yang_linear_img/227116320.jpg","show blot")</f>
        <v>show blot</v>
      </c>
      <c r="G2502" t="s">
        <v>2478</v>
      </c>
      <c r="I2502" s="6">
        <v>3.2619664462435911</v>
      </c>
      <c r="K2502" s="8"/>
    </row>
    <row r="2503" spans="1:11" ht="15" x14ac:dyDescent="0.25">
      <c r="A2503" s="3" t="str">
        <f>HYPERLINK("proteomic_fractions_linear_files/Yang_linear_img/6679803.jpg", "6679803")</f>
        <v>6679803</v>
      </c>
      <c r="C2503" s="3" t="str">
        <f>HYPERLINK("http://www.ncbi.nlm.nih.gov/protein/6679803","Fkbp1a")</f>
        <v>Fkbp1a</v>
      </c>
      <c r="E2503" t="str">
        <f>HYPERLINK("J:\Depot - mpkCCD Fractions\Main Web Page\Web Pages_old\proteomic_fractions_linear_files/Yang_linear_img/6679803.jpg","show blot")</f>
        <v>show blot</v>
      </c>
      <c r="G2503" t="s">
        <v>2479</v>
      </c>
      <c r="I2503" s="6">
        <v>6.0552373707002261</v>
      </c>
      <c r="K2503" s="8"/>
    </row>
    <row r="2504" spans="1:11" ht="15" x14ac:dyDescent="0.25">
      <c r="A2504" s="3" t="str">
        <f>HYPERLINK("proteomic_fractions_linear_files/Yang_linear_img/123173728.jpg", "123173728")</f>
        <v>123173728</v>
      </c>
      <c r="C2504" s="3" t="str">
        <f>HYPERLINK("http://www.ncbi.nlm.nih.gov/protein/123173728","Fkbp1b")</f>
        <v>Fkbp1b</v>
      </c>
      <c r="E2504" t="str">
        <f>HYPERLINK("J:\Depot - mpkCCD Fractions\Main Web Page\Web Pages_old\proteomic_fractions_linear_files/Yang_linear_img/123173728.jpg","show blot")</f>
        <v>show blot</v>
      </c>
      <c r="G2504" t="s">
        <v>2480</v>
      </c>
      <c r="I2504" s="6">
        <v>4.5448486657963318</v>
      </c>
      <c r="K2504" s="8"/>
    </row>
    <row r="2505" spans="1:11" ht="15" x14ac:dyDescent="0.25">
      <c r="A2505" s="3" t="str">
        <f>HYPERLINK("proteomic_fractions_linear_files/Yang_linear_img/261824055;6679805.jpg", "261824055;6679805")</f>
        <v>261824055;6679805</v>
      </c>
      <c r="C2505" s="3" t="str">
        <f>HYPERLINK("http://www.ncbi.nlm.nih.gov/protein/261824055;6679805","Fkbp2")</f>
        <v>Fkbp2</v>
      </c>
      <c r="E2505" t="str">
        <f>HYPERLINK("J:\Depot - mpkCCD Fractions\Main Web Page\Web Pages_old\proteomic_fractions_linear_files/Yang_linear_img/261824055;6679805.jpg","show blot")</f>
        <v>show blot</v>
      </c>
      <c r="G2505" t="s">
        <v>2481</v>
      </c>
      <c r="I2505" s="6">
        <v>5.5824873620091582</v>
      </c>
      <c r="K2505" s="8"/>
    </row>
    <row r="2506" spans="1:11" ht="15" x14ac:dyDescent="0.25">
      <c r="A2506" s="3" t="str">
        <f>HYPERLINK("proteomic_fractions_linear_files/Yang_linear_img/6679805.jpg", "6679805")</f>
        <v>6679805</v>
      </c>
      <c r="C2506" s="3" t="str">
        <f>HYPERLINK("http://www.ncbi.nlm.nih.gov/protein/6679805","Fkbp2")</f>
        <v>Fkbp2</v>
      </c>
      <c r="E2506" t="str">
        <f>HYPERLINK("J:\Depot - mpkCCD Fractions\Main Web Page\Web Pages_old\proteomic_fractions_linear_files/Yang_linear_img/6679805.jpg","show blot")</f>
        <v>show blot</v>
      </c>
      <c r="G2506" t="s">
        <v>2481</v>
      </c>
      <c r="I2506" s="6">
        <v>5.5824873620091582</v>
      </c>
      <c r="K2506" s="8"/>
    </row>
    <row r="2507" spans="1:11" ht="15" x14ac:dyDescent="0.25">
      <c r="A2507" s="3" t="str">
        <f>HYPERLINK("proteomic_fractions_linear_files/Yang_linear_img/7305061.jpg", "7305061")</f>
        <v>7305061</v>
      </c>
      <c r="C2507" s="3" t="str">
        <f>HYPERLINK("http://www.ncbi.nlm.nih.gov/protein/7305061","Fkbp3")</f>
        <v>Fkbp3</v>
      </c>
      <c r="E2507" t="str">
        <f>HYPERLINK("J:\Depot - mpkCCD Fractions\Main Web Page\Web Pages_old\proteomic_fractions_linear_files/Yang_linear_img/7305061.jpg","show blot")</f>
        <v>show blot</v>
      </c>
      <c r="G2507" t="s">
        <v>2482</v>
      </c>
      <c r="I2507" s="6">
        <v>6.0262240640588427</v>
      </c>
      <c r="K2507" s="8"/>
    </row>
    <row r="2508" spans="1:11" ht="15" x14ac:dyDescent="0.25">
      <c r="A2508" s="3" t="str">
        <f>HYPERLINK("proteomic_fractions_linear_files/Yang_linear_img/6753882.jpg", "6753882")</f>
        <v>6753882</v>
      </c>
      <c r="C2508" s="3" t="str">
        <f>HYPERLINK("http://www.ncbi.nlm.nih.gov/protein/6753882","Fkbp4")</f>
        <v>Fkbp4</v>
      </c>
      <c r="E2508" t="str">
        <f>HYPERLINK("J:\Depot - mpkCCD Fractions\Main Web Page\Web Pages_old\proteomic_fractions_linear_files/Yang_linear_img/6753882.jpg","show blot")</f>
        <v>show blot</v>
      </c>
      <c r="G2508" t="s">
        <v>2483</v>
      </c>
      <c r="I2508" s="6">
        <v>6.356859448181325</v>
      </c>
      <c r="K2508" s="8"/>
    </row>
    <row r="2509" spans="1:11" ht="15" x14ac:dyDescent="0.25">
      <c r="A2509" s="3" t="str">
        <f>HYPERLINK("proteomic_fractions_linear_files/Yang_linear_img/6753884.jpg", "6753884")</f>
        <v>6753884</v>
      </c>
      <c r="C2509" s="3" t="str">
        <f>HYPERLINK("http://www.ncbi.nlm.nih.gov/protein/6753884","Fkbp5")</f>
        <v>Fkbp5</v>
      </c>
      <c r="E2509" t="str">
        <f>HYPERLINK("J:\Depot - mpkCCD Fractions\Main Web Page\Web Pages_old\proteomic_fractions_linear_files/Yang_linear_img/6753884.jpg","show blot")</f>
        <v>show blot</v>
      </c>
      <c r="G2509" t="s">
        <v>2484</v>
      </c>
      <c r="I2509" s="6">
        <v>6.0535712812825446</v>
      </c>
      <c r="K2509" s="8"/>
    </row>
    <row r="2510" spans="1:11" ht="15" x14ac:dyDescent="0.25">
      <c r="A2510" s="3" t="str">
        <f>HYPERLINK("proteomic_fractions_linear_files/Yang_linear_img/161484656.jpg", "161484656")</f>
        <v>161484656</v>
      </c>
      <c r="C2510" s="3" t="str">
        <f>HYPERLINK("http://www.ncbi.nlm.nih.gov/protein/161484656","Fkbp8")</f>
        <v>Fkbp8</v>
      </c>
      <c r="E2510" t="str">
        <f>HYPERLINK("J:\Depot - mpkCCD Fractions\Main Web Page\Web Pages_old\proteomic_fractions_linear_files/Yang_linear_img/161484656.jpg","show blot")</f>
        <v>show blot</v>
      </c>
      <c r="G2510" t="s">
        <v>2485</v>
      </c>
      <c r="I2510" s="6">
        <v>4.7430992628426587</v>
      </c>
      <c r="K2510" s="8"/>
    </row>
    <row r="2511" spans="1:11" ht="15" x14ac:dyDescent="0.25">
      <c r="A2511" s="3" t="str">
        <f>HYPERLINK("proteomic_fractions_linear_files/Yang_linear_img/161484658.jpg", "161484658")</f>
        <v>161484658</v>
      </c>
      <c r="C2511" s="3" t="str">
        <f>HYPERLINK("http://www.ncbi.nlm.nih.gov/protein/161484658","Fkbp8")</f>
        <v>Fkbp8</v>
      </c>
      <c r="E2511" t="str">
        <f>HYPERLINK("J:\Depot - mpkCCD Fractions\Main Web Page\Web Pages_old\proteomic_fractions_linear_files/Yang_linear_img/161484658.jpg","show blot")</f>
        <v>show blot</v>
      </c>
      <c r="G2511" t="s">
        <v>2486</v>
      </c>
      <c r="I2511" s="6">
        <v>4.7430992628426587</v>
      </c>
      <c r="K2511" s="8"/>
    </row>
    <row r="2512" spans="1:11" ht="15" x14ac:dyDescent="0.25">
      <c r="A2512" s="3" t="str">
        <f>HYPERLINK("proteomic_fractions_linear_files/Yang_linear_img/172072617.jpg", "172072617")</f>
        <v>172072617</v>
      </c>
      <c r="C2512" s="3" t="str">
        <f>HYPERLINK("http://www.ncbi.nlm.nih.gov/protein/172072617","Fkbp9")</f>
        <v>Fkbp9</v>
      </c>
      <c r="E2512" t="str">
        <f>HYPERLINK("J:\Depot - mpkCCD Fractions\Main Web Page\Web Pages_old\proteomic_fractions_linear_files/Yang_linear_img/172072617.jpg","show blot")</f>
        <v>show blot</v>
      </c>
      <c r="G2512" t="s">
        <v>2487</v>
      </c>
      <c r="I2512" s="6">
        <v>3.5536753379464314</v>
      </c>
      <c r="K2512" s="8"/>
    </row>
    <row r="2513" spans="1:11" ht="15" x14ac:dyDescent="0.25">
      <c r="A2513" s="3" t="str">
        <f>HYPERLINK("proteomic_fractions_linear_files/Yang_linear_img/89337262.jpg", "89337262")</f>
        <v>89337262</v>
      </c>
      <c r="C2513" s="3" t="str">
        <f>HYPERLINK("http://www.ncbi.nlm.nih.gov/protein/89337262","Flad1")</f>
        <v>Flad1</v>
      </c>
      <c r="E2513" t="str">
        <f>HYPERLINK("J:\Depot - mpkCCD Fractions\Main Web Page\Web Pages_old\proteomic_fractions_linear_files/Yang_linear_img/89337262.jpg","show blot")</f>
        <v>show blot</v>
      </c>
      <c r="G2513" t="s">
        <v>2488</v>
      </c>
      <c r="I2513" s="6">
        <v>4.3465158125213224</v>
      </c>
      <c r="K2513" s="8"/>
    </row>
    <row r="2514" spans="1:11" ht="15" x14ac:dyDescent="0.25">
      <c r="A2514" s="3" t="str">
        <f>HYPERLINK("proteomic_fractions_linear_files/Yang_linear_img/405778335.jpg", "405778335")</f>
        <v>405778335</v>
      </c>
      <c r="C2514" s="3" t="str">
        <f>HYPERLINK("http://www.ncbi.nlm.nih.gov/protein/405778335","Flcn")</f>
        <v>Flcn</v>
      </c>
      <c r="E2514" t="str">
        <f>HYPERLINK("J:\Depot - mpkCCD Fractions\Main Web Page\Web Pages_old\proteomic_fractions_linear_files/Yang_linear_img/405778335.jpg","show blot")</f>
        <v>show blot</v>
      </c>
      <c r="G2514" t="s">
        <v>2489</v>
      </c>
      <c r="I2514" s="6">
        <v>2.7507690721301943</v>
      </c>
      <c r="K2514" s="8"/>
    </row>
    <row r="2515" spans="1:11" ht="15" x14ac:dyDescent="0.25">
      <c r="A2515" s="3" t="str">
        <f>HYPERLINK("proteomic_fractions_linear_files/Yang_linear_img/84370015.jpg", "84370015")</f>
        <v>84370015</v>
      </c>
      <c r="C2515" s="3" t="str">
        <f>HYPERLINK("http://www.ncbi.nlm.nih.gov/protein/84370015","Flg2")</f>
        <v>Flg2</v>
      </c>
      <c r="E2515" t="str">
        <f>HYPERLINK("J:\Depot - mpkCCD Fractions\Main Web Page\Web Pages_old\proteomic_fractions_linear_files/Yang_linear_img/84370015.jpg","show blot")</f>
        <v>show blot</v>
      </c>
      <c r="G2515" t="s">
        <v>2490</v>
      </c>
      <c r="I2515" s="6">
        <v>0.92399081412706219</v>
      </c>
      <c r="K2515" s="8"/>
    </row>
    <row r="2516" spans="1:11" ht="15" x14ac:dyDescent="0.25">
      <c r="A2516" s="3" t="str">
        <f>HYPERLINK("proteomic_fractions_linear_files/Yang_linear_img/11528490.jpg", "11528490")</f>
        <v>11528490</v>
      </c>
      <c r="C2516" s="3" t="str">
        <f>HYPERLINK("http://www.ncbi.nlm.nih.gov/protein/11528490","Flii")</f>
        <v>Flii</v>
      </c>
      <c r="E2516" t="str">
        <f>HYPERLINK("J:\Depot - mpkCCD Fractions\Main Web Page\Web Pages_old\proteomic_fractions_linear_files/Yang_linear_img/11528490.jpg","show blot")</f>
        <v>show blot</v>
      </c>
      <c r="G2516" t="s">
        <v>2491</v>
      </c>
      <c r="I2516" s="6">
        <v>5.3227153422900937</v>
      </c>
      <c r="K2516" s="8"/>
    </row>
    <row r="2517" spans="1:11" ht="15" x14ac:dyDescent="0.25">
      <c r="A2517" s="3" t="str">
        <f>HYPERLINK("proteomic_fractions_linear_files/Yang_linear_img/125347376.jpg", "125347376")</f>
        <v>125347376</v>
      </c>
      <c r="C2517" s="3" t="str">
        <f>HYPERLINK("http://www.ncbi.nlm.nih.gov/protein/125347376","Flna")</f>
        <v>Flna</v>
      </c>
      <c r="E2517" t="str">
        <f>HYPERLINK("J:\Depot - mpkCCD Fractions\Main Web Page\Web Pages_old\proteomic_fractions_linear_files/Yang_linear_img/125347376.jpg","show blot")</f>
        <v>show blot</v>
      </c>
      <c r="G2517" t="s">
        <v>2492</v>
      </c>
      <c r="I2517" s="6">
        <v>5.7541360342234178</v>
      </c>
      <c r="K2517" s="8"/>
    </row>
    <row r="2518" spans="1:11" ht="15" x14ac:dyDescent="0.25">
      <c r="A2518" s="3" t="str">
        <f>HYPERLINK("proteomic_fractions_linear_files/Yang_linear_img/145966915.jpg", "145966915")</f>
        <v>145966915</v>
      </c>
      <c r="C2518" s="3" t="str">
        <f>HYPERLINK("http://www.ncbi.nlm.nih.gov/protein/145966915","Flnb")</f>
        <v>Flnb</v>
      </c>
      <c r="E2518" t="str">
        <f>HYPERLINK("J:\Depot - mpkCCD Fractions\Main Web Page\Web Pages_old\proteomic_fractions_linear_files/Yang_linear_img/145966915.jpg","show blot")</f>
        <v>show blot</v>
      </c>
      <c r="G2518" t="s">
        <v>2493</v>
      </c>
      <c r="I2518" s="6">
        <v>6.0823869335940204</v>
      </c>
      <c r="K2518" s="8"/>
    </row>
    <row r="2519" spans="1:11" ht="15" x14ac:dyDescent="0.25">
      <c r="A2519" s="3" t="str">
        <f>HYPERLINK("proteomic_fractions_linear_files/Yang_linear_img/124487139.jpg", "124487139")</f>
        <v>124487139</v>
      </c>
      <c r="C2519" s="3" t="str">
        <f>HYPERLINK("http://www.ncbi.nlm.nih.gov/protein/124487139","Flnc")</f>
        <v>Flnc</v>
      </c>
      <c r="E2519" t="str">
        <f>HYPERLINK("J:\Depot - mpkCCD Fractions\Main Web Page\Web Pages_old\proteomic_fractions_linear_files/Yang_linear_img/124487139.jpg","show blot")</f>
        <v>show blot</v>
      </c>
      <c r="G2519" t="s">
        <v>2494</v>
      </c>
      <c r="I2519" s="6">
        <v>5.2442444224385563</v>
      </c>
      <c r="K2519" s="8"/>
    </row>
    <row r="2520" spans="1:11" ht="15" x14ac:dyDescent="0.25">
      <c r="A2520" s="3" t="str">
        <f>HYPERLINK("proteomic_fractions_linear_files/Yang_linear_img/6679809.jpg", "6679809")</f>
        <v>6679809</v>
      </c>
      <c r="C2520" s="3" t="str">
        <f>HYPERLINK("http://www.ncbi.nlm.nih.gov/protein/6679809","Flot1")</f>
        <v>Flot1</v>
      </c>
      <c r="E2520" t="str">
        <f>HYPERLINK("J:\Depot - mpkCCD Fractions\Main Web Page\Web Pages_old\proteomic_fractions_linear_files/Yang_linear_img/6679809.jpg","show blot")</f>
        <v>show blot</v>
      </c>
      <c r="G2520" t="s">
        <v>2495</v>
      </c>
      <c r="I2520" s="6">
        <v>4.8344136801429967</v>
      </c>
      <c r="K2520" s="8"/>
    </row>
    <row r="2521" spans="1:11" ht="15" x14ac:dyDescent="0.25">
      <c r="A2521" s="3" t="str">
        <f>HYPERLINK("proteomic_fractions_linear_files/Yang_linear_img/6679811.jpg", "6679811")</f>
        <v>6679811</v>
      </c>
      <c r="C2521" s="3" t="str">
        <f>HYPERLINK("http://www.ncbi.nlm.nih.gov/protein/6679811","Flot2")</f>
        <v>Flot2</v>
      </c>
      <c r="E2521" t="str">
        <f>HYPERLINK("J:\Depot - mpkCCD Fractions\Main Web Page\Web Pages_old\proteomic_fractions_linear_files/Yang_linear_img/6679811.jpg","show blot")</f>
        <v>show blot</v>
      </c>
      <c r="G2521" t="s">
        <v>2496</v>
      </c>
      <c r="I2521" s="6">
        <v>4.3986619110769425</v>
      </c>
      <c r="K2521" s="8"/>
    </row>
    <row r="2522" spans="1:11" ht="15" x14ac:dyDescent="0.25">
      <c r="A2522" s="3" t="str">
        <f>HYPERLINK("proteomic_fractions_linear_files/Yang_linear_img/94536791.jpg", "94536791")</f>
        <v>94536791</v>
      </c>
      <c r="C2522" s="3" t="str">
        <f>HYPERLINK("http://www.ncbi.nlm.nih.gov/protein/94536791","Flot2")</f>
        <v>Flot2</v>
      </c>
      <c r="E2522" t="str">
        <f>HYPERLINK("J:\Depot - mpkCCD Fractions\Main Web Page\Web Pages_old\proteomic_fractions_linear_files/Yang_linear_img/94536791.jpg","show blot")</f>
        <v>show blot</v>
      </c>
      <c r="G2522" t="s">
        <v>2497</v>
      </c>
      <c r="I2522" s="6">
        <v>4.3986619110769425</v>
      </c>
      <c r="K2522" s="8"/>
    </row>
    <row r="2523" spans="1:11" ht="15" x14ac:dyDescent="0.25">
      <c r="A2523" s="3" t="str">
        <f>HYPERLINK("proteomic_fractions_linear_files/Yang_linear_img/34328180.jpg", "34328180")</f>
        <v>34328180</v>
      </c>
      <c r="C2523" s="3" t="str">
        <f>HYPERLINK("http://www.ncbi.nlm.nih.gov/protein/34328180","Flt1")</f>
        <v>Flt1</v>
      </c>
      <c r="E2523" t="str">
        <f>HYPERLINK("J:\Depot - mpkCCD Fractions\Main Web Page\Web Pages_old\proteomic_fractions_linear_files/Yang_linear_img/34328180.jpg","show blot")</f>
        <v>show blot</v>
      </c>
      <c r="G2523" t="s">
        <v>2498</v>
      </c>
      <c r="I2523" s="6">
        <v>5.2084726593073407</v>
      </c>
      <c r="K2523" s="8"/>
    </row>
    <row r="2524" spans="1:11" ht="15" x14ac:dyDescent="0.25">
      <c r="A2524" s="3" t="str">
        <f>HYPERLINK("proteomic_fractions_linear_files/Yang_linear_img/122937353.jpg", "122937353")</f>
        <v>122937353</v>
      </c>
      <c r="C2524" s="3" t="str">
        <f>HYPERLINK("http://www.ncbi.nlm.nih.gov/protein/122937353","Flt3")</f>
        <v>Flt3</v>
      </c>
      <c r="E2524" t="str">
        <f>HYPERLINK("J:\Depot - mpkCCD Fractions\Main Web Page\Web Pages_old\proteomic_fractions_linear_files/Yang_linear_img/122937353.jpg","show blot")</f>
        <v>show blot</v>
      </c>
      <c r="G2524" t="s">
        <v>2499</v>
      </c>
      <c r="I2524" s="6">
        <v>5.3373416895440728</v>
      </c>
      <c r="K2524" s="8"/>
    </row>
    <row r="2525" spans="1:11" ht="15" x14ac:dyDescent="0.25">
      <c r="A2525" s="3" t="str">
        <f>HYPERLINK("proteomic_fractions_linear_files/Yang_linear_img/6679813.jpg", "6679813")</f>
        <v>6679813</v>
      </c>
      <c r="C2525" s="3" t="str">
        <f>HYPERLINK("http://www.ncbi.nlm.nih.gov/protein/6679813","Flt4")</f>
        <v>Flt4</v>
      </c>
      <c r="E2525" t="str">
        <f>HYPERLINK("J:\Depot - mpkCCD Fractions\Main Web Page\Web Pages_old\proteomic_fractions_linear_files/Yang_linear_img/6679813.jpg","show blot")</f>
        <v>show blot</v>
      </c>
      <c r="G2525" t="s">
        <v>2500</v>
      </c>
      <c r="I2525" s="6">
        <v>5.1997574274091285</v>
      </c>
      <c r="K2525" s="8"/>
    </row>
    <row r="2526" spans="1:11" ht="15" x14ac:dyDescent="0.25">
      <c r="A2526" s="3" t="str">
        <f>HYPERLINK("proteomic_fractions_linear_files/Yang_linear_img/21553307.jpg", "21553307")</f>
        <v>21553307</v>
      </c>
      <c r="C2526" s="3" t="str">
        <f>HYPERLINK("http://www.ncbi.nlm.nih.gov/protein/21553307","Flywch2")</f>
        <v>Flywch2</v>
      </c>
      <c r="E2526" t="str">
        <f>HYPERLINK("J:\Depot - mpkCCD Fractions\Main Web Page\Web Pages_old\proteomic_fractions_linear_files/Yang_linear_img/21553307.jpg","show blot")</f>
        <v>show blot</v>
      </c>
      <c r="G2526" t="s">
        <v>2501</v>
      </c>
      <c r="I2526" s="6">
        <v>4.8283122779311638</v>
      </c>
      <c r="K2526" s="8"/>
    </row>
    <row r="2527" spans="1:11" ht="15" x14ac:dyDescent="0.25">
      <c r="A2527" s="3" t="str">
        <f>HYPERLINK("proteomic_fractions_linear_files/Yang_linear_img/112807205.jpg", "112807205")</f>
        <v>112807205</v>
      </c>
      <c r="C2527" s="3" t="str">
        <f>HYPERLINK("http://www.ncbi.nlm.nih.gov/protein/112807205","Fmn1")</f>
        <v>Fmn1</v>
      </c>
      <c r="E2527" t="str">
        <f>HYPERLINK("J:\Depot - mpkCCD Fractions\Main Web Page\Web Pages_old\proteomic_fractions_linear_files/Yang_linear_img/112807205.jpg","show blot")</f>
        <v>show blot</v>
      </c>
      <c r="G2527" t="s">
        <v>2502</v>
      </c>
      <c r="I2527" s="6">
        <v>3.9810612743828391</v>
      </c>
      <c r="K2527" s="8"/>
    </row>
    <row r="2528" spans="1:11" ht="15" x14ac:dyDescent="0.25">
      <c r="A2528" s="3" t="str">
        <f>HYPERLINK("proteomic_fractions_linear_files/Yang_linear_img/112807211.jpg", "112807211")</f>
        <v>112807211</v>
      </c>
      <c r="C2528" s="3" t="str">
        <f>HYPERLINK("http://www.ncbi.nlm.nih.gov/protein/112807211","Fmn1")</f>
        <v>Fmn1</v>
      </c>
      <c r="E2528" t="str">
        <f>HYPERLINK("J:\Depot - mpkCCD Fractions\Main Web Page\Web Pages_old\proteomic_fractions_linear_files/Yang_linear_img/112807211.jpg","show blot")</f>
        <v>show blot</v>
      </c>
      <c r="G2528" t="s">
        <v>2503</v>
      </c>
      <c r="I2528" s="6">
        <v>3.9810612743828391</v>
      </c>
      <c r="K2528" s="8"/>
    </row>
    <row r="2529" spans="1:11" ht="15" x14ac:dyDescent="0.25">
      <c r="A2529" s="3" t="str">
        <f>HYPERLINK("proteomic_fractions_linear_files/Yang_linear_img/118136288.jpg", "118136288")</f>
        <v>118136288</v>
      </c>
      <c r="C2529" s="3" t="str">
        <f>HYPERLINK("http://www.ncbi.nlm.nih.gov/protein/118136288","Fmnl1")</f>
        <v>Fmnl1</v>
      </c>
      <c r="E2529" t="str">
        <f>HYPERLINK("J:\Depot - mpkCCD Fractions\Main Web Page\Web Pages_old\proteomic_fractions_linear_files/Yang_linear_img/118136288.jpg","show blot")</f>
        <v>show blot</v>
      </c>
      <c r="G2529" t="s">
        <v>2504</v>
      </c>
      <c r="I2529" s="6">
        <v>3.5738943775920253</v>
      </c>
      <c r="K2529" s="8"/>
    </row>
    <row r="2530" spans="1:11" ht="15" x14ac:dyDescent="0.25">
      <c r="A2530" s="3" t="str">
        <f>HYPERLINK("proteomic_fractions_linear_files/Yang_linear_img/118136290.jpg", "118136290")</f>
        <v>118136290</v>
      </c>
      <c r="C2530" s="3" t="str">
        <f>HYPERLINK("http://www.ncbi.nlm.nih.gov/protein/118136290","Fmnl1")</f>
        <v>Fmnl1</v>
      </c>
      <c r="E2530" t="str">
        <f>HYPERLINK("J:\Depot - mpkCCD Fractions\Main Web Page\Web Pages_old\proteomic_fractions_linear_files/Yang_linear_img/118136290.jpg","show blot")</f>
        <v>show blot</v>
      </c>
      <c r="G2530" t="s">
        <v>2505</v>
      </c>
      <c r="I2530" s="6">
        <v>3.5738943775920253</v>
      </c>
      <c r="K2530" s="8"/>
    </row>
    <row r="2531" spans="1:11" ht="15" x14ac:dyDescent="0.25">
      <c r="A2531" s="3" t="str">
        <f>HYPERLINK("proteomic_fractions_linear_files/Yang_linear_img/124378048.jpg", "124378048")</f>
        <v>124378048</v>
      </c>
      <c r="C2531" s="3" t="str">
        <f>HYPERLINK("http://www.ncbi.nlm.nih.gov/protein/124378048","Fmnl2")</f>
        <v>Fmnl2</v>
      </c>
      <c r="E2531" t="str">
        <f>HYPERLINK("J:\Depot - mpkCCD Fractions\Main Web Page\Web Pages_old\proteomic_fractions_linear_files/Yang_linear_img/124378048.jpg","show blot")</f>
        <v>show blot</v>
      </c>
      <c r="G2531" t="s">
        <v>2506</v>
      </c>
      <c r="I2531" s="6">
        <v>4.9243851224177657</v>
      </c>
      <c r="K2531" s="8"/>
    </row>
    <row r="2532" spans="1:11" ht="15" x14ac:dyDescent="0.25">
      <c r="A2532" s="3" t="str">
        <f>HYPERLINK("proteomic_fractions_linear_files/Yang_linear_img/38708163.jpg", "38708163")</f>
        <v>38708163</v>
      </c>
      <c r="C2532" s="3" t="str">
        <f>HYPERLINK("http://www.ncbi.nlm.nih.gov/protein/38708163","Fmnl3")</f>
        <v>Fmnl3</v>
      </c>
      <c r="E2532" t="str">
        <f>HYPERLINK("J:\Depot - mpkCCD Fractions\Main Web Page\Web Pages_old\proteomic_fractions_linear_files/Yang_linear_img/38708163.jpg","show blot")</f>
        <v>show blot</v>
      </c>
      <c r="G2532" t="s">
        <v>2507</v>
      </c>
      <c r="I2532" s="6">
        <v>5.1293596241274253</v>
      </c>
      <c r="K2532" s="8"/>
    </row>
    <row r="2533" spans="1:11" ht="15" x14ac:dyDescent="0.25">
      <c r="A2533" s="3" t="str">
        <f>HYPERLINK("proteomic_fractions_linear_files/Yang_linear_img/31542819.jpg", "31542819")</f>
        <v>31542819</v>
      </c>
      <c r="C2533" s="3" t="str">
        <f>HYPERLINK("http://www.ncbi.nlm.nih.gov/protein/31542819","Fmo2")</f>
        <v>Fmo2</v>
      </c>
      <c r="E2533" t="str">
        <f>HYPERLINK("J:\Depot - mpkCCD Fractions\Main Web Page\Web Pages_old\proteomic_fractions_linear_files/Yang_linear_img/31542819.jpg","show blot")</f>
        <v>show blot</v>
      </c>
      <c r="G2533" t="s">
        <v>2508</v>
      </c>
      <c r="I2533" s="6">
        <v>3.8757300445482241</v>
      </c>
      <c r="K2533" s="8"/>
    </row>
    <row r="2534" spans="1:11" ht="15" x14ac:dyDescent="0.25">
      <c r="A2534" s="3" t="str">
        <f>HYPERLINK("proteomic_fractions_linear_files/Yang_linear_img/51036613.jpg", "51036613")</f>
        <v>51036613</v>
      </c>
      <c r="C2534" s="3" t="str">
        <f>HYPERLINK("http://www.ncbi.nlm.nih.gov/protein/51036613","Fmr1")</f>
        <v>Fmr1</v>
      </c>
      <c r="E2534" t="str">
        <f>HYPERLINK("J:\Depot - mpkCCD Fractions\Main Web Page\Web Pages_old\proteomic_fractions_linear_files/Yang_linear_img/51036613.jpg","show blot")</f>
        <v>show blot</v>
      </c>
      <c r="G2534" t="s">
        <v>2509</v>
      </c>
      <c r="I2534" s="6">
        <v>5.2185493038920407</v>
      </c>
      <c r="K2534" s="8"/>
    </row>
    <row r="2535" spans="1:11" ht="15" x14ac:dyDescent="0.25">
      <c r="A2535" s="3" t="str">
        <f>HYPERLINK("proteomic_fractions_linear_files/Yang_linear_img/449083336.jpg", "449083336")</f>
        <v>449083336</v>
      </c>
      <c r="C2535" s="3" t="str">
        <f>HYPERLINK("http://www.ncbi.nlm.nih.gov/protein/449083336","Fn1")</f>
        <v>Fn1</v>
      </c>
      <c r="E2535" t="str">
        <f>HYPERLINK("J:\Depot - mpkCCD Fractions\Main Web Page\Web Pages_old\proteomic_fractions_linear_files/Yang_linear_img/449083336.jpg","show blot")</f>
        <v>show blot</v>
      </c>
      <c r="G2535" t="s">
        <v>2510</v>
      </c>
      <c r="I2535" s="6">
        <v>2.4137828884324719</v>
      </c>
      <c r="K2535" s="8"/>
    </row>
    <row r="2536" spans="1:11" ht="15" x14ac:dyDescent="0.25">
      <c r="A2536" s="3" t="str">
        <f>HYPERLINK("proteomic_fractions_linear_files/Yang_linear_img/449083339.jpg", "449083339")</f>
        <v>449083339</v>
      </c>
      <c r="C2536" s="3" t="str">
        <f>HYPERLINK("http://www.ncbi.nlm.nih.gov/protein/449083339","Fn1")</f>
        <v>Fn1</v>
      </c>
      <c r="E2536" t="str">
        <f>HYPERLINK("J:\Depot - mpkCCD Fractions\Main Web Page\Web Pages_old\proteomic_fractions_linear_files/Yang_linear_img/449083339.jpg","show blot")</f>
        <v>show blot</v>
      </c>
      <c r="G2536" t="s">
        <v>2511</v>
      </c>
      <c r="I2536" s="6">
        <v>2.4137828884324719</v>
      </c>
      <c r="K2536" s="8"/>
    </row>
    <row r="2537" spans="1:11" ht="15" x14ac:dyDescent="0.25">
      <c r="A2537" s="3" t="str">
        <f>HYPERLINK("proteomic_fractions_linear_files/Yang_linear_img/449083341.jpg", "449083341")</f>
        <v>449083341</v>
      </c>
      <c r="C2537" s="3" t="str">
        <f>HYPERLINK("http://www.ncbi.nlm.nih.gov/protein/449083341","Fn1")</f>
        <v>Fn1</v>
      </c>
      <c r="E2537" t="str">
        <f>HYPERLINK("J:\Depot - mpkCCD Fractions\Main Web Page\Web Pages_old\proteomic_fractions_linear_files/Yang_linear_img/449083341.jpg","show blot")</f>
        <v>show blot</v>
      </c>
      <c r="G2537" t="s">
        <v>2512</v>
      </c>
      <c r="I2537" s="6">
        <v>2.4137828884324719</v>
      </c>
      <c r="K2537" s="8"/>
    </row>
    <row r="2538" spans="1:11" ht="15" x14ac:dyDescent="0.25">
      <c r="A2538" s="3" t="str">
        <f>HYPERLINK("proteomic_fractions_linear_files/Yang_linear_img/449083343.jpg", "449083343")</f>
        <v>449083343</v>
      </c>
      <c r="C2538" s="3" t="str">
        <f>HYPERLINK("http://www.ncbi.nlm.nih.gov/protein/449083343","Fn1")</f>
        <v>Fn1</v>
      </c>
      <c r="E2538" t="str">
        <f>HYPERLINK("J:\Depot - mpkCCD Fractions\Main Web Page\Web Pages_old\proteomic_fractions_linear_files/Yang_linear_img/449083343.jpg","show blot")</f>
        <v>show blot</v>
      </c>
      <c r="G2538" t="s">
        <v>2513</v>
      </c>
      <c r="I2538" s="6">
        <v>2.4137828884324719</v>
      </c>
      <c r="K2538" s="8"/>
    </row>
    <row r="2539" spans="1:11" ht="15" x14ac:dyDescent="0.25">
      <c r="A2539" s="3" t="str">
        <f>HYPERLINK("proteomic_fractions_linear_files/Yang_linear_img/449083345.jpg", "449083345")</f>
        <v>449083345</v>
      </c>
      <c r="C2539" s="3" t="str">
        <f>HYPERLINK("http://www.ncbi.nlm.nih.gov/protein/449083345","Fn1")</f>
        <v>Fn1</v>
      </c>
      <c r="E2539" t="str">
        <f>HYPERLINK("J:\Depot - mpkCCD Fractions\Main Web Page\Web Pages_old\proteomic_fractions_linear_files/Yang_linear_img/449083345.jpg","show blot")</f>
        <v>show blot</v>
      </c>
      <c r="G2539" t="s">
        <v>2514</v>
      </c>
      <c r="I2539" s="6">
        <v>2.4137828884324719</v>
      </c>
      <c r="K2539" s="8"/>
    </row>
    <row r="2540" spans="1:11" ht="15" x14ac:dyDescent="0.25">
      <c r="A2540" s="3" t="str">
        <f>HYPERLINK("proteomic_fractions_linear_files/Yang_linear_img/449083347.jpg", "449083347")</f>
        <v>449083347</v>
      </c>
      <c r="C2540" s="3" t="str">
        <f>HYPERLINK("http://www.ncbi.nlm.nih.gov/protein/449083347","Fn1")</f>
        <v>Fn1</v>
      </c>
      <c r="E2540" t="str">
        <f>HYPERLINK("J:\Depot - mpkCCD Fractions\Main Web Page\Web Pages_old\proteomic_fractions_linear_files/Yang_linear_img/449083347.jpg","show blot")</f>
        <v>show blot</v>
      </c>
      <c r="G2540" t="s">
        <v>2515</v>
      </c>
      <c r="I2540" s="6">
        <v>2.4137828884324719</v>
      </c>
      <c r="K2540" s="8"/>
    </row>
    <row r="2541" spans="1:11" ht="15" x14ac:dyDescent="0.25">
      <c r="A2541" s="3" t="str">
        <f>HYPERLINK("proteomic_fractions_linear_files/Yang_linear_img/46849812.jpg", "46849812")</f>
        <v>46849812</v>
      </c>
      <c r="C2541" s="3" t="str">
        <f>HYPERLINK("http://www.ncbi.nlm.nih.gov/protein/46849812","Fn1")</f>
        <v>Fn1</v>
      </c>
      <c r="E2541" t="str">
        <f>HYPERLINK("J:\Depot - mpkCCD Fractions\Main Web Page\Web Pages_old\proteomic_fractions_linear_files/Yang_linear_img/46849812.jpg","show blot")</f>
        <v>show blot</v>
      </c>
      <c r="G2541" t="s">
        <v>2516</v>
      </c>
      <c r="I2541" s="6">
        <v>2.4137828884324719</v>
      </c>
      <c r="K2541" s="8"/>
    </row>
    <row r="2542" spans="1:11" ht="15" x14ac:dyDescent="0.25">
      <c r="A2542" s="3" t="str">
        <f>HYPERLINK("proteomic_fractions_linear_files/Yang_linear_img/11528496.jpg", "11528496")</f>
        <v>11528496</v>
      </c>
      <c r="C2542" s="3" t="str">
        <f>HYPERLINK("http://www.ncbi.nlm.nih.gov/protein/11528496","Fn3k")</f>
        <v>Fn3k</v>
      </c>
      <c r="E2542" t="str">
        <f>HYPERLINK("J:\Depot - mpkCCD Fractions\Main Web Page\Web Pages_old\proteomic_fractions_linear_files/Yang_linear_img/11528496.jpg","show blot")</f>
        <v>show blot</v>
      </c>
      <c r="G2542" t="s">
        <v>2517</v>
      </c>
      <c r="I2542" s="6">
        <v>2.4978985045819728</v>
      </c>
      <c r="K2542" s="8"/>
    </row>
    <row r="2543" spans="1:11" ht="15" x14ac:dyDescent="0.25">
      <c r="A2543" s="3" t="str">
        <f>HYPERLINK("proteomic_fractions_linear_files/Yang_linear_img/84662727.jpg", "84662727")</f>
        <v>84662727</v>
      </c>
      <c r="C2543" s="3" t="str">
        <f>HYPERLINK("http://www.ncbi.nlm.nih.gov/protein/84662727","Fn3k")</f>
        <v>Fn3k</v>
      </c>
      <c r="E2543" t="str">
        <f>HYPERLINK("J:\Depot - mpkCCD Fractions\Main Web Page\Web Pages_old\proteomic_fractions_linear_files/Yang_linear_img/84662727.jpg","show blot")</f>
        <v>show blot</v>
      </c>
      <c r="G2543" t="s">
        <v>2518</v>
      </c>
      <c r="I2543" s="6">
        <v>2.4978985045819728</v>
      </c>
      <c r="K2543" s="8"/>
    </row>
    <row r="2544" spans="1:11" ht="15" x14ac:dyDescent="0.25">
      <c r="A2544" s="3" t="str">
        <f>HYPERLINK("proteomic_fractions_linear_files/Yang_linear_img/253970463.jpg", "253970463")</f>
        <v>253970463</v>
      </c>
      <c r="C2544" s="3" t="str">
        <f>HYPERLINK("http://www.ncbi.nlm.nih.gov/protein/253970463","Fn3krp")</f>
        <v>Fn3krp</v>
      </c>
      <c r="E2544" t="str">
        <f>HYPERLINK("J:\Depot - mpkCCD Fractions\Main Web Page\Web Pages_old\proteomic_fractions_linear_files/Yang_linear_img/253970463.jpg","show blot")</f>
        <v>show blot</v>
      </c>
      <c r="G2544" t="s">
        <v>2519</v>
      </c>
      <c r="I2544" s="6">
        <v>4.0610771150942089</v>
      </c>
      <c r="K2544" s="8"/>
    </row>
    <row r="2545" spans="1:11" ht="15" x14ac:dyDescent="0.25">
      <c r="A2545" s="3" t="str">
        <f>HYPERLINK("proteomic_fractions_linear_files/Yang_linear_img/294997322.jpg", "294997322")</f>
        <v>294997322</v>
      </c>
      <c r="C2545" s="3" t="str">
        <f>HYPERLINK("http://www.ncbi.nlm.nih.gov/protein/294997322","Fnbp1")</f>
        <v>Fnbp1</v>
      </c>
      <c r="E2545" t="str">
        <f>HYPERLINK("J:\Depot - mpkCCD Fractions\Main Web Page\Web Pages_old\proteomic_fractions_linear_files/Yang_linear_img/294997322.jpg","show blot")</f>
        <v>show blot</v>
      </c>
      <c r="G2545" t="s">
        <v>2520</v>
      </c>
      <c r="I2545" s="6">
        <v>3.3340587862058721</v>
      </c>
      <c r="K2545" s="8"/>
    </row>
    <row r="2546" spans="1:11" ht="15" x14ac:dyDescent="0.25">
      <c r="A2546" s="3" t="str">
        <f>HYPERLINK("proteomic_fractions_linear_files/Yang_linear_img/294997326.jpg", "294997326")</f>
        <v>294997326</v>
      </c>
      <c r="C2546" s="3" t="str">
        <f>HYPERLINK("http://www.ncbi.nlm.nih.gov/protein/294997326","Fnbp1")</f>
        <v>Fnbp1</v>
      </c>
      <c r="E2546" t="str">
        <f>HYPERLINK("J:\Depot - mpkCCD Fractions\Main Web Page\Web Pages_old\proteomic_fractions_linear_files/Yang_linear_img/294997326.jpg","show blot")</f>
        <v>show blot</v>
      </c>
      <c r="G2546" t="s">
        <v>2521</v>
      </c>
      <c r="I2546" s="6">
        <v>3.3340587862058721</v>
      </c>
      <c r="K2546" s="8"/>
    </row>
    <row r="2547" spans="1:11" ht="15" x14ac:dyDescent="0.25">
      <c r="A2547" s="3" t="str">
        <f>HYPERLINK("proteomic_fractions_linear_files/Yang_linear_img/294997328.jpg", "294997328")</f>
        <v>294997328</v>
      </c>
      <c r="C2547" s="3" t="str">
        <f>HYPERLINK("http://www.ncbi.nlm.nih.gov/protein/294997328","Fnbp1")</f>
        <v>Fnbp1</v>
      </c>
      <c r="E2547" t="str">
        <f>HYPERLINK("J:\Depot - mpkCCD Fractions\Main Web Page\Web Pages_old\proteomic_fractions_linear_files/Yang_linear_img/294997328.jpg","show blot")</f>
        <v>show blot</v>
      </c>
      <c r="G2547" t="s">
        <v>2522</v>
      </c>
      <c r="I2547" s="6">
        <v>3.3340587862058721</v>
      </c>
      <c r="K2547" s="8"/>
    </row>
    <row r="2548" spans="1:11" ht="15" x14ac:dyDescent="0.25">
      <c r="A2548" s="3" t="str">
        <f>HYPERLINK("proteomic_fractions_linear_files/Yang_linear_img/84662770.jpg", "84662770")</f>
        <v>84662770</v>
      </c>
      <c r="C2548" s="3" t="str">
        <f>HYPERLINK("http://www.ncbi.nlm.nih.gov/protein/84662770","Fnbp1")</f>
        <v>Fnbp1</v>
      </c>
      <c r="E2548" t="str">
        <f>HYPERLINK("J:\Depot - mpkCCD Fractions\Main Web Page\Web Pages_old\proteomic_fractions_linear_files/Yang_linear_img/84662770.jpg","show blot")</f>
        <v>show blot</v>
      </c>
      <c r="G2548" t="s">
        <v>2523</v>
      </c>
      <c r="I2548" s="6">
        <v>3.3340587862058721</v>
      </c>
      <c r="K2548" s="8"/>
    </row>
    <row r="2549" spans="1:11" ht="15" x14ac:dyDescent="0.25">
      <c r="A2549" s="3" t="str">
        <f>HYPERLINK("proteomic_fractions_linear_files/Yang_linear_img/167900464.jpg", "167900464")</f>
        <v>167900464</v>
      </c>
      <c r="C2549" s="3" t="str">
        <f>HYPERLINK("http://www.ncbi.nlm.nih.gov/protein/167900464","Fnbp1l")</f>
        <v>Fnbp1l</v>
      </c>
      <c r="E2549" t="str">
        <f>HYPERLINK("J:\Depot - mpkCCD Fractions\Main Web Page\Web Pages_old\proteomic_fractions_linear_files/Yang_linear_img/167900464.jpg","show blot")</f>
        <v>show blot</v>
      </c>
      <c r="G2549" t="s">
        <v>2524</v>
      </c>
      <c r="I2549" s="6">
        <v>4.6767102248417602</v>
      </c>
      <c r="K2549" s="8"/>
    </row>
    <row r="2550" spans="1:11" ht="15" x14ac:dyDescent="0.25">
      <c r="A2550" s="3" t="str">
        <f>HYPERLINK("proteomic_fractions_linear_files/Yang_linear_img/167900466.jpg", "167900466")</f>
        <v>167900466</v>
      </c>
      <c r="C2550" s="3" t="str">
        <f>HYPERLINK("http://www.ncbi.nlm.nih.gov/protein/167900466","Fnbp1l")</f>
        <v>Fnbp1l</v>
      </c>
      <c r="E2550" t="str">
        <f>HYPERLINK("J:\Depot - mpkCCD Fractions\Main Web Page\Web Pages_old\proteomic_fractions_linear_files/Yang_linear_img/167900466.jpg","show blot")</f>
        <v>show blot</v>
      </c>
      <c r="G2550" t="s">
        <v>2525</v>
      </c>
      <c r="I2550" s="6">
        <v>4.6767102248417602</v>
      </c>
      <c r="K2550" s="8"/>
    </row>
    <row r="2551" spans="1:11" ht="15" x14ac:dyDescent="0.25">
      <c r="A2551" s="3" t="str">
        <f>HYPERLINK("proteomic_fractions_linear_files/Yang_linear_img/9055220.jpg", "9055220")</f>
        <v>9055220</v>
      </c>
      <c r="C2551" s="3" t="str">
        <f>HYPERLINK("http://www.ncbi.nlm.nih.gov/protein/9055220","Fnbp4")</f>
        <v>Fnbp4</v>
      </c>
      <c r="E2551" t="str">
        <f>HYPERLINK("J:\Depot - mpkCCD Fractions\Main Web Page\Web Pages_old\proteomic_fractions_linear_files/Yang_linear_img/9055220.jpg","show blot")</f>
        <v>show blot</v>
      </c>
      <c r="G2551" t="s">
        <v>2526</v>
      </c>
      <c r="I2551" s="6">
        <v>2.8100174724115661</v>
      </c>
      <c r="K2551" s="8"/>
    </row>
    <row r="2552" spans="1:11" ht="15" x14ac:dyDescent="0.25">
      <c r="A2552" s="3" t="str">
        <f>HYPERLINK("proteomic_fractions_linear_files/Yang_linear_img/170932548.jpg", "170932548")</f>
        <v>170932548</v>
      </c>
      <c r="C2552" s="3" t="str">
        <f>HYPERLINK("http://www.ncbi.nlm.nih.gov/protein/170932548","Fndc3b")</f>
        <v>Fndc3b</v>
      </c>
      <c r="E2552" t="str">
        <f>HYPERLINK("J:\Depot - mpkCCD Fractions\Main Web Page\Web Pages_old\proteomic_fractions_linear_files/Yang_linear_img/170932548.jpg","show blot")</f>
        <v>show blot</v>
      </c>
      <c r="G2552" t="s">
        <v>2527</v>
      </c>
      <c r="I2552" s="6">
        <v>2.7785178872448868</v>
      </c>
      <c r="K2552" s="8"/>
    </row>
    <row r="2553" spans="1:11" ht="15" x14ac:dyDescent="0.25">
      <c r="A2553" s="3" t="str">
        <f>HYPERLINK("proteomic_fractions_linear_files/Yang_linear_img/6679821.jpg", "6679821")</f>
        <v>6679821</v>
      </c>
      <c r="C2553" s="3" t="str">
        <f>HYPERLINK("http://www.ncbi.nlm.nih.gov/protein/6679821","Fnta")</f>
        <v>Fnta</v>
      </c>
      <c r="E2553" t="str">
        <f>HYPERLINK("J:\Depot - mpkCCD Fractions\Main Web Page\Web Pages_old\proteomic_fractions_linear_files/Yang_linear_img/6679821.jpg","show blot")</f>
        <v>show blot</v>
      </c>
      <c r="G2553" t="s">
        <v>2528</v>
      </c>
      <c r="I2553" s="6">
        <v>4.8624634220892311</v>
      </c>
      <c r="K2553" s="8"/>
    </row>
    <row r="2554" spans="1:11" ht="15" x14ac:dyDescent="0.25">
      <c r="A2554" s="3" t="str">
        <f>HYPERLINK("proteomic_fractions_linear_files/Yang_linear_img/22122343.jpg", "22122343")</f>
        <v>22122343</v>
      </c>
      <c r="C2554" s="3" t="str">
        <f>HYPERLINK("http://www.ncbi.nlm.nih.gov/protein/22122343","Fntb")</f>
        <v>Fntb</v>
      </c>
      <c r="E2554" t="str">
        <f>HYPERLINK("J:\Depot - mpkCCD Fractions\Main Web Page\Web Pages_old\proteomic_fractions_linear_files/Yang_linear_img/22122343.jpg","show blot")</f>
        <v>show blot</v>
      </c>
      <c r="G2554" t="s">
        <v>2529</v>
      </c>
      <c r="I2554" s="6">
        <v>4.9412564712023324</v>
      </c>
      <c r="K2554" s="8"/>
    </row>
    <row r="2555" spans="1:11" ht="15" x14ac:dyDescent="0.25">
      <c r="A2555" s="3" t="str">
        <f>HYPERLINK("proteomic_fractions_linear_files/Yang_linear_img/124487123.jpg", "124487123")</f>
        <v>124487123</v>
      </c>
      <c r="C2555" s="3" t="str">
        <f>HYPERLINK("http://www.ncbi.nlm.nih.gov/protein/124487123","Focad")</f>
        <v>Focad</v>
      </c>
      <c r="E2555" t="str">
        <f>HYPERLINK("J:\Depot - mpkCCD Fractions\Main Web Page\Web Pages_old\proteomic_fractions_linear_files/Yang_linear_img/124487123.jpg","show blot")</f>
        <v>show blot</v>
      </c>
      <c r="G2555" t="s">
        <v>2530</v>
      </c>
      <c r="I2555" s="6">
        <v>3.4079296426332304</v>
      </c>
      <c r="K2555" s="8"/>
    </row>
    <row r="2556" spans="1:11" ht="15" x14ac:dyDescent="0.25">
      <c r="A2556" s="3" t="str">
        <f>HYPERLINK("proteomic_fractions_linear_files/Yang_linear_img/21313614.jpg", "21313614")</f>
        <v>21313614</v>
      </c>
      <c r="C2556" s="3" t="str">
        <f>HYPERLINK("http://www.ncbi.nlm.nih.gov/protein/21313614","Fopnl")</f>
        <v>Fopnl</v>
      </c>
      <c r="E2556" t="str">
        <f>HYPERLINK("J:\Depot - mpkCCD Fractions\Main Web Page\Web Pages_old\proteomic_fractions_linear_files/Yang_linear_img/21313614.jpg","show blot")</f>
        <v>show blot</v>
      </c>
      <c r="G2556" t="s">
        <v>2531</v>
      </c>
      <c r="I2556" s="6">
        <v>3.6754350045118347</v>
      </c>
      <c r="K2556" s="8"/>
    </row>
    <row r="2557" spans="1:11" ht="15" x14ac:dyDescent="0.25">
      <c r="A2557" s="3" t="str">
        <f>HYPERLINK("proteomic_fractions_linear_files/Yang_linear_img/34304111.jpg", "34304111")</f>
        <v>34304111</v>
      </c>
      <c r="C2557" s="3" t="str">
        <f>HYPERLINK("http://www.ncbi.nlm.nih.gov/protein/34304111","Foxe1")</f>
        <v>Foxe1</v>
      </c>
      <c r="E2557" t="str">
        <f>HYPERLINK("J:\Depot - mpkCCD Fractions\Main Web Page\Web Pages_old\proteomic_fractions_linear_files/Yang_linear_img/34304111.jpg","show blot")</f>
        <v>show blot</v>
      </c>
      <c r="G2557" t="s">
        <v>2532</v>
      </c>
      <c r="I2557" s="6">
        <v>4.2187538756336176</v>
      </c>
      <c r="K2557" s="8"/>
    </row>
    <row r="2558" spans="1:11" ht="15" x14ac:dyDescent="0.25">
      <c r="A2558" s="3" t="str">
        <f>HYPERLINK("proteomic_fractions_linear_files/Yang_linear_img/172088163.jpg", "172088163")</f>
        <v>172088163</v>
      </c>
      <c r="C2558" s="3" t="str">
        <f>HYPERLINK("http://www.ncbi.nlm.nih.gov/protein/172088163","Fpgs")</f>
        <v>Fpgs</v>
      </c>
      <c r="E2558" t="str">
        <f>HYPERLINK("J:\Depot - mpkCCD Fractions\Main Web Page\Web Pages_old\proteomic_fractions_linear_files/Yang_linear_img/172088163.jpg","show blot")</f>
        <v>show blot</v>
      </c>
      <c r="G2558" t="s">
        <v>2533</v>
      </c>
      <c r="I2558" s="6">
        <v>1.8475267489832894</v>
      </c>
      <c r="K2558" s="8"/>
    </row>
    <row r="2559" spans="1:11" ht="15" x14ac:dyDescent="0.25">
      <c r="A2559" s="3" t="str">
        <f>HYPERLINK("proteomic_fractions_linear_files/Yang_linear_img/126157515.jpg", "126157515")</f>
        <v>126157515</v>
      </c>
      <c r="C2559" s="3" t="str">
        <f>HYPERLINK("http://www.ncbi.nlm.nih.gov/protein/126157515","Fras1")</f>
        <v>Fras1</v>
      </c>
      <c r="E2559" t="str">
        <f>HYPERLINK("J:\Depot - mpkCCD Fractions\Main Web Page\Web Pages_old\proteomic_fractions_linear_files/Yang_linear_img/126157515.jpg","show blot")</f>
        <v>show blot</v>
      </c>
      <c r="G2559" t="s">
        <v>2534</v>
      </c>
      <c r="I2559" s="6">
        <v>1.5669410607410903</v>
      </c>
      <c r="K2559" s="8"/>
    </row>
    <row r="2560" spans="1:11" ht="15" x14ac:dyDescent="0.25">
      <c r="A2560" s="3" t="str">
        <f>HYPERLINK("proteomic_fractions_linear_files/Yang_linear_img/71051607.jpg", "71051607")</f>
        <v>71051607</v>
      </c>
      <c r="C2560" s="3" t="str">
        <f>HYPERLINK("http://www.ncbi.nlm.nih.gov/protein/71051607","Frem2")</f>
        <v>Frem2</v>
      </c>
      <c r="E2560" t="str">
        <f>HYPERLINK("J:\Depot - mpkCCD Fractions\Main Web Page\Web Pages_old\proteomic_fractions_linear_files/Yang_linear_img/71051607.jpg","show blot")</f>
        <v>show blot</v>
      </c>
      <c r="G2560" t="s">
        <v>2535</v>
      </c>
      <c r="I2560" s="6">
        <v>4.4528782033891963</v>
      </c>
      <c r="K2560" s="8"/>
    </row>
    <row r="2561" spans="1:11" ht="15" x14ac:dyDescent="0.25">
      <c r="A2561" s="3" t="str">
        <f>HYPERLINK("proteomic_fractions_linear_files/Yang_linear_img/225543552.jpg", "225543552")</f>
        <v>225543552</v>
      </c>
      <c r="C2561" s="3" t="str">
        <f>HYPERLINK("http://www.ncbi.nlm.nih.gov/protein/225543552","Frg1")</f>
        <v>Frg1</v>
      </c>
      <c r="E2561" t="str">
        <f>HYPERLINK("J:\Depot - mpkCCD Fractions\Main Web Page\Web Pages_old\proteomic_fractions_linear_files/Yang_linear_img/225543552.jpg","show blot")</f>
        <v>show blot</v>
      </c>
      <c r="G2561" t="s">
        <v>2536</v>
      </c>
      <c r="I2561" s="6">
        <v>5.083488606344658</v>
      </c>
      <c r="K2561" s="8"/>
    </row>
    <row r="2562" spans="1:11" ht="15" x14ac:dyDescent="0.25">
      <c r="A2562" s="3" t="str">
        <f>HYPERLINK("proteomic_fractions_linear_files/Yang_linear_img/31542823.jpg", "31542823")</f>
        <v>31542823</v>
      </c>
      <c r="C2562" s="3" t="str">
        <f>HYPERLINK("http://www.ncbi.nlm.nih.gov/protein/31542823","Frk")</f>
        <v>Frk</v>
      </c>
      <c r="E2562" t="str">
        <f>HYPERLINK("J:\Depot - mpkCCD Fractions\Main Web Page\Web Pages_old\proteomic_fractions_linear_files/Yang_linear_img/31542823.jpg","show blot")</f>
        <v>show blot</v>
      </c>
      <c r="G2562" t="s">
        <v>2537</v>
      </c>
      <c r="I2562" s="6">
        <v>5.5911090475974143</v>
      </c>
      <c r="K2562" s="8"/>
    </row>
    <row r="2563" spans="1:11" ht="15" x14ac:dyDescent="0.25">
      <c r="A2563" s="3" t="str">
        <f>HYPERLINK("proteomic_fractions_linear_files/Yang_linear_img/13385676.jpg", "13385676")</f>
        <v>13385676</v>
      </c>
      <c r="C2563" s="3" t="str">
        <f>HYPERLINK("http://www.ncbi.nlm.nih.gov/protein/13385676","Frmd8")</f>
        <v>Frmd8</v>
      </c>
      <c r="E2563" t="str">
        <f>HYPERLINK("J:\Depot - mpkCCD Fractions\Main Web Page\Web Pages_old\proteomic_fractions_linear_files/Yang_linear_img/13385676.jpg","show blot")</f>
        <v>show blot</v>
      </c>
      <c r="G2563" t="s">
        <v>2538</v>
      </c>
      <c r="I2563" s="6">
        <v>4.6572833101099453</v>
      </c>
      <c r="K2563" s="8"/>
    </row>
    <row r="2564" spans="1:11" ht="15" x14ac:dyDescent="0.25">
      <c r="A2564" s="3" t="str">
        <f>HYPERLINK("proteomic_fractions_linear_files/Yang_linear_img/124487185.jpg", "124487185")</f>
        <v>124487185</v>
      </c>
      <c r="C2564" s="3" t="str">
        <f>HYPERLINK("http://www.ncbi.nlm.nih.gov/protein/124487185","Frmpd1")</f>
        <v>Frmpd1</v>
      </c>
      <c r="E2564" t="str">
        <f>HYPERLINK("J:\Depot - mpkCCD Fractions\Main Web Page\Web Pages_old\proteomic_fractions_linear_files/Yang_linear_img/124487185.jpg","show blot")</f>
        <v>show blot</v>
      </c>
      <c r="G2564" t="s">
        <v>2539</v>
      </c>
      <c r="I2564" s="6">
        <v>3.7224156854030643</v>
      </c>
      <c r="K2564" s="8"/>
    </row>
    <row r="2565" spans="1:11" ht="15" x14ac:dyDescent="0.25">
      <c r="A2565" s="3" t="str">
        <f>HYPERLINK("proteomic_fractions_linear_files/Yang_linear_img/85362701.jpg", "85362701")</f>
        <v>85362701</v>
      </c>
      <c r="C2565" s="3" t="str">
        <f>HYPERLINK("http://www.ncbi.nlm.nih.gov/protein/85362701","Frmpd4")</f>
        <v>Frmpd4</v>
      </c>
      <c r="E2565" t="str">
        <f>HYPERLINK("J:\Depot - mpkCCD Fractions\Main Web Page\Web Pages_old\proteomic_fractions_linear_files/Yang_linear_img/85362701.jpg","show blot")</f>
        <v>show blot</v>
      </c>
      <c r="G2565" t="s">
        <v>2540</v>
      </c>
      <c r="I2565" s="6">
        <v>3.4701913615087534</v>
      </c>
      <c r="K2565" s="8"/>
    </row>
    <row r="2566" spans="1:11" ht="15" x14ac:dyDescent="0.25">
      <c r="A2566" s="3" t="str">
        <f>HYPERLINK("proteomic_fractions_linear_files/Yang_linear_img/164698442.jpg", "164698442")</f>
        <v>164698442</v>
      </c>
      <c r="C2566" s="3" t="str">
        <f>HYPERLINK("http://www.ncbi.nlm.nih.gov/protein/164698442","Frrs1")</f>
        <v>Frrs1</v>
      </c>
      <c r="E2566" t="str">
        <f>HYPERLINK("J:\Depot - mpkCCD Fractions\Main Web Page\Web Pages_old\proteomic_fractions_linear_files/Yang_linear_img/164698442.jpg","show blot")</f>
        <v>show blot</v>
      </c>
      <c r="G2566" t="s">
        <v>2541</v>
      </c>
      <c r="I2566" s="6">
        <v>3.9763881087203643</v>
      </c>
      <c r="K2566" s="8"/>
    </row>
    <row r="2567" spans="1:11" ht="15" x14ac:dyDescent="0.25">
      <c r="A2567" s="3" t="str">
        <f>HYPERLINK("proteomic_fractions_linear_files/Yang_linear_img/29244340.jpg", "29244340")</f>
        <v>29244340</v>
      </c>
      <c r="C2567" s="3" t="str">
        <f>HYPERLINK("http://www.ncbi.nlm.nih.gov/protein/29244340","Frs2")</f>
        <v>Frs2</v>
      </c>
      <c r="E2567" t="str">
        <f>HYPERLINK("J:\Depot - mpkCCD Fractions\Main Web Page\Web Pages_old\proteomic_fractions_linear_files/Yang_linear_img/29244340.jpg","show blot")</f>
        <v>show blot</v>
      </c>
      <c r="G2567" t="s">
        <v>2542</v>
      </c>
      <c r="I2567" s="6">
        <v>2.5552005526275883</v>
      </c>
      <c r="K2567" s="8"/>
    </row>
    <row r="2568" spans="1:11" ht="15" x14ac:dyDescent="0.25">
      <c r="A2568" s="3" t="str">
        <f>HYPERLINK("proteomic_fractions_linear_files/Yang_linear_img/119964716.jpg", "119964716")</f>
        <v>119964716</v>
      </c>
      <c r="C2568" s="3" t="str">
        <f>HYPERLINK("http://www.ncbi.nlm.nih.gov/protein/119964716","Fryl")</f>
        <v>Fryl</v>
      </c>
      <c r="E2568" t="str">
        <f>HYPERLINK("J:\Depot - mpkCCD Fractions\Main Web Page\Web Pages_old\proteomic_fractions_linear_files/Yang_linear_img/119964716.jpg","show blot")</f>
        <v>show blot</v>
      </c>
      <c r="G2568" t="s">
        <v>2543</v>
      </c>
      <c r="I2568" s="6">
        <v>2.491053577921682</v>
      </c>
      <c r="K2568" s="8"/>
    </row>
    <row r="2569" spans="1:11" ht="15" x14ac:dyDescent="0.25">
      <c r="A2569" s="3" t="str">
        <f>HYPERLINK("proteomic_fractions_linear_files/Yang_linear_img/309264486.jpg", "309264486")</f>
        <v>309264486</v>
      </c>
      <c r="C2569" s="3" t="str">
        <f>HYPERLINK("http://www.ncbi.nlm.nih.gov/protein/309264486","Fsip2")</f>
        <v>Fsip2</v>
      </c>
      <c r="E2569" t="str">
        <f>HYPERLINK("J:\Depot - mpkCCD Fractions\Main Web Page\Web Pages_old\proteomic_fractions_linear_files/Yang_linear_img/309264486.jpg","show blot")</f>
        <v>show blot</v>
      </c>
      <c r="G2569" t="s">
        <v>2544</v>
      </c>
      <c r="I2569" s="6">
        <v>2.5055528855987266</v>
      </c>
      <c r="K2569" s="8"/>
    </row>
    <row r="2570" spans="1:11" ht="15" x14ac:dyDescent="0.25">
      <c r="A2570" s="3" t="str">
        <f>HYPERLINK("proteomic_fractions_linear_files/Yang_linear_img/31560699.jpg", "31560699")</f>
        <v>31560699</v>
      </c>
      <c r="C2570" s="3" t="str">
        <f>HYPERLINK("http://www.ncbi.nlm.nih.gov/protein/31560699","Fstl1")</f>
        <v>Fstl1</v>
      </c>
      <c r="E2570" t="str">
        <f>HYPERLINK("J:\Depot - mpkCCD Fractions\Main Web Page\Web Pages_old\proteomic_fractions_linear_files/Yang_linear_img/31560699.jpg","show blot")</f>
        <v>show blot</v>
      </c>
      <c r="G2570" t="s">
        <v>2545</v>
      </c>
      <c r="I2570" s="6">
        <v>5.7664984129300176</v>
      </c>
      <c r="K2570" s="8"/>
    </row>
    <row r="2571" spans="1:11" ht="15" x14ac:dyDescent="0.25">
      <c r="A2571" s="3" t="str">
        <f>HYPERLINK("proteomic_fractions_linear_files/Yang_linear_img/18252784.jpg", "18252784")</f>
        <v>18252784</v>
      </c>
      <c r="C2571" s="3" t="str">
        <f>HYPERLINK("http://www.ncbi.nlm.nih.gov/protein/18252784","Ftcd")</f>
        <v>Ftcd</v>
      </c>
      <c r="E2571" t="str">
        <f>HYPERLINK("J:\Depot - mpkCCD Fractions\Main Web Page\Web Pages_old\proteomic_fractions_linear_files/Yang_linear_img/18252784.jpg","show blot")</f>
        <v>show blot</v>
      </c>
      <c r="G2571" t="s">
        <v>2546</v>
      </c>
      <c r="I2571" s="6">
        <v>4.1121251229724356</v>
      </c>
      <c r="K2571" s="8"/>
    </row>
    <row r="2572" spans="1:11" ht="15" x14ac:dyDescent="0.25">
      <c r="A2572" s="3" t="str">
        <f>HYPERLINK("proteomic_fractions_linear_files/Yang_linear_img/6753912.jpg", "6753912")</f>
        <v>6753912</v>
      </c>
      <c r="C2572" s="3" t="str">
        <f>HYPERLINK("http://www.ncbi.nlm.nih.gov/protein/6753912","Fth1")</f>
        <v>Fth1</v>
      </c>
      <c r="E2572" t="str">
        <f>HYPERLINK("J:\Depot - mpkCCD Fractions\Main Web Page\Web Pages_old\proteomic_fractions_linear_files/Yang_linear_img/6753912.jpg","show blot")</f>
        <v>show blot</v>
      </c>
      <c r="G2572" t="s">
        <v>2547</v>
      </c>
      <c r="I2572" s="6">
        <v>6.6254988093480884</v>
      </c>
      <c r="K2572" s="8"/>
    </row>
    <row r="2573" spans="1:11" ht="15" x14ac:dyDescent="0.25">
      <c r="A2573" s="3" t="str">
        <f>HYPERLINK("proteomic_fractions_linear_files/Yang_linear_img/166851822.jpg", "166851822")</f>
        <v>166851822</v>
      </c>
      <c r="C2573" s="3" t="str">
        <f>HYPERLINK("http://www.ncbi.nlm.nih.gov/protein/166851822","Fto")</f>
        <v>Fto</v>
      </c>
      <c r="E2573" t="str">
        <f>HYPERLINK("J:\Depot - mpkCCD Fractions\Main Web Page\Web Pages_old\proteomic_fractions_linear_files/Yang_linear_img/166851822.jpg","show blot")</f>
        <v>show blot</v>
      </c>
      <c r="G2573" t="s">
        <v>2548</v>
      </c>
      <c r="I2573" s="6">
        <v>5.0889199718434446</v>
      </c>
      <c r="K2573" s="8"/>
    </row>
    <row r="2574" spans="1:11" ht="15" x14ac:dyDescent="0.25">
      <c r="A2574" s="3" t="str">
        <f>HYPERLINK("proteomic_fractions_linear_files/Yang_linear_img/46877062.jpg", "46877062")</f>
        <v>46877062</v>
      </c>
      <c r="C2574" s="3" t="str">
        <f>HYPERLINK("http://www.ncbi.nlm.nih.gov/protein/46877062","Ftsj1")</f>
        <v>Ftsj1</v>
      </c>
      <c r="E2574" t="str">
        <f>HYPERLINK("J:\Depot - mpkCCD Fractions\Main Web Page\Web Pages_old\proteomic_fractions_linear_files/Yang_linear_img/46877062.jpg","show blot")</f>
        <v>show blot</v>
      </c>
      <c r="G2574" t="s">
        <v>2549</v>
      </c>
      <c r="I2574" s="6">
        <v>3.1593289529732407</v>
      </c>
      <c r="K2574" s="8"/>
    </row>
    <row r="2575" spans="1:11" ht="15" x14ac:dyDescent="0.25">
      <c r="A2575" s="3" t="str">
        <f>HYPERLINK("proteomic_fractions_linear_files/Yang_linear_img/84662730.jpg", "84662730")</f>
        <v>84662730</v>
      </c>
      <c r="C2575" s="3" t="str">
        <f>HYPERLINK("http://www.ncbi.nlm.nih.gov/protein/84662730","Fubp1")</f>
        <v>Fubp1</v>
      </c>
      <c r="E2575" t="str">
        <f>HYPERLINK("J:\Depot - mpkCCD Fractions\Main Web Page\Web Pages_old\proteomic_fractions_linear_files/Yang_linear_img/84662730.jpg","show blot")</f>
        <v>show blot</v>
      </c>
      <c r="G2575" t="s">
        <v>2550</v>
      </c>
      <c r="I2575" s="6">
        <v>5.4399661977822866</v>
      </c>
      <c r="K2575" s="8"/>
    </row>
    <row r="2576" spans="1:11" ht="15" x14ac:dyDescent="0.25">
      <c r="A2576" s="3" t="str">
        <f>HYPERLINK("proteomic_fractions_linear_files/Yang_linear_img/224922832.jpg", "224922832")</f>
        <v>224922832</v>
      </c>
      <c r="C2576" s="3" t="str">
        <f>HYPERLINK("http://www.ncbi.nlm.nih.gov/protein/224922832","Fubp3")</f>
        <v>Fubp3</v>
      </c>
      <c r="E2576" t="str">
        <f>HYPERLINK("J:\Depot - mpkCCD Fractions\Main Web Page\Web Pages_old\proteomic_fractions_linear_files/Yang_linear_img/224922832.jpg","show blot")</f>
        <v>show blot</v>
      </c>
      <c r="G2576" t="s">
        <v>2551</v>
      </c>
      <c r="I2576" s="6">
        <v>5.0650205022316435</v>
      </c>
      <c r="K2576" s="8"/>
    </row>
    <row r="2577" spans="1:11" ht="15" x14ac:dyDescent="0.25">
      <c r="A2577" s="3" t="str">
        <f>HYPERLINK("proteomic_fractions_linear_files/Yang_linear_img/169808427.jpg", "169808427")</f>
        <v>169808427</v>
      </c>
      <c r="C2577" s="3" t="str">
        <f>HYPERLINK("http://www.ncbi.nlm.nih.gov/protein/169808427","Fuca1")</f>
        <v>Fuca1</v>
      </c>
      <c r="E2577" t="str">
        <f>HYPERLINK("J:\Depot - mpkCCD Fractions\Main Web Page\Web Pages_old\proteomic_fractions_linear_files/Yang_linear_img/169808427.jpg","show blot")</f>
        <v>show blot</v>
      </c>
      <c r="G2577" t="s">
        <v>2552</v>
      </c>
      <c r="I2577" s="6">
        <v>3.8489957584605876</v>
      </c>
      <c r="K2577" s="8"/>
    </row>
    <row r="2578" spans="1:11" ht="15" x14ac:dyDescent="0.25">
      <c r="A2578" s="3" t="str">
        <f>HYPERLINK("proteomic_fractions_linear_files/Yang_linear_img/31541791.jpg", "31541791")</f>
        <v>31541791</v>
      </c>
      <c r="C2578" s="3" t="str">
        <f>HYPERLINK("http://www.ncbi.nlm.nih.gov/protein/31541791","Fuca2")</f>
        <v>Fuca2</v>
      </c>
      <c r="E2578" t="str">
        <f>HYPERLINK("J:\Depot - mpkCCD Fractions\Main Web Page\Web Pages_old\proteomic_fractions_linear_files/Yang_linear_img/31541791.jpg","show blot")</f>
        <v>show blot</v>
      </c>
      <c r="G2578" t="s">
        <v>2553</v>
      </c>
      <c r="I2578" s="6">
        <v>4.1456947286458581</v>
      </c>
      <c r="K2578" s="8"/>
    </row>
    <row r="2579" spans="1:11" ht="15" x14ac:dyDescent="0.25">
      <c r="A2579" s="3" t="str">
        <f>HYPERLINK("proteomic_fractions_linear_files/Yang_linear_img/31981686.jpg", "31981686")</f>
        <v>31981686</v>
      </c>
      <c r="C2579" s="3" t="str">
        <f>HYPERLINK("http://www.ncbi.nlm.nih.gov/protein/31981686","Fuk")</f>
        <v>Fuk</v>
      </c>
      <c r="E2579" t="str">
        <f>HYPERLINK("J:\Depot - mpkCCD Fractions\Main Web Page\Web Pages_old\proteomic_fractions_linear_files/Yang_linear_img/31981686.jpg","show blot")</f>
        <v>show blot</v>
      </c>
      <c r="G2579" t="s">
        <v>2554</v>
      </c>
      <c r="I2579" s="6">
        <v>5.09445568107623</v>
      </c>
      <c r="K2579" s="8"/>
    </row>
    <row r="2580" spans="1:11" ht="15" x14ac:dyDescent="0.25">
      <c r="A2580" s="3" t="str">
        <f>HYPERLINK("proteomic_fractions_linear_files/Yang_linear_img/262050556.jpg", "262050556")</f>
        <v>262050556</v>
      </c>
      <c r="C2580" s="3" t="str">
        <f>HYPERLINK("http://www.ncbi.nlm.nih.gov/protein/262050556","Fundc2")</f>
        <v>Fundc2</v>
      </c>
      <c r="E2580" t="str">
        <f>HYPERLINK("J:\Depot - mpkCCD Fractions\Main Web Page\Web Pages_old\proteomic_fractions_linear_files/Yang_linear_img/262050556.jpg","show blot")</f>
        <v>show blot</v>
      </c>
      <c r="G2580" t="s">
        <v>2555</v>
      </c>
      <c r="I2580" s="6">
        <v>5.2571454189964841</v>
      </c>
      <c r="K2580" s="8"/>
    </row>
    <row r="2581" spans="1:11" ht="15" x14ac:dyDescent="0.25">
      <c r="A2581" s="3" t="str">
        <f>HYPERLINK("proteomic_fractions_linear_files/Yang_linear_img/124377998.jpg", "124377998")</f>
        <v>124377998</v>
      </c>
      <c r="C2581" s="3" t="str">
        <f>HYPERLINK("http://www.ncbi.nlm.nih.gov/protein/124377998","Fuom")</f>
        <v>Fuom</v>
      </c>
      <c r="E2581" t="str">
        <f>HYPERLINK("J:\Depot - mpkCCD Fractions\Main Web Page\Web Pages_old\proteomic_fractions_linear_files/Yang_linear_img/124377998.jpg","show blot")</f>
        <v>show blot</v>
      </c>
      <c r="G2581" t="s">
        <v>2556</v>
      </c>
      <c r="I2581" s="6">
        <v>3.7739780716092235</v>
      </c>
      <c r="K2581" s="8"/>
    </row>
    <row r="2582" spans="1:11" ht="15" x14ac:dyDescent="0.25">
      <c r="A2582" s="3" t="str">
        <f>HYPERLINK("proteomic_fractions_linear_files/Yang_linear_img/20982845.jpg", "20982845")</f>
        <v>20982845</v>
      </c>
      <c r="C2582" s="3" t="str">
        <f>HYPERLINK("http://www.ncbi.nlm.nih.gov/protein/20982845","Fus")</f>
        <v>Fus</v>
      </c>
      <c r="E2582" t="str">
        <f>HYPERLINK("J:\Depot - mpkCCD Fractions\Main Web Page\Web Pages_old\proteomic_fractions_linear_files/Yang_linear_img/20982845.jpg","show blot")</f>
        <v>show blot</v>
      </c>
      <c r="G2582" t="s">
        <v>2557</v>
      </c>
      <c r="I2582" s="6">
        <v>5.6897232229399473</v>
      </c>
      <c r="K2582" s="8"/>
    </row>
    <row r="2583" spans="1:11" ht="15" x14ac:dyDescent="0.25">
      <c r="A2583" s="3" t="str">
        <f>HYPERLINK("proteomic_fractions_linear_files/Yang_linear_img/31560444.jpg", "31560444")</f>
        <v>31560444</v>
      </c>
      <c r="C2583" s="3" t="str">
        <f>HYPERLINK("http://www.ncbi.nlm.nih.gov/protein/31560444","Fut8")</f>
        <v>Fut8</v>
      </c>
      <c r="E2583" t="str">
        <f>HYPERLINK("J:\Depot - mpkCCD Fractions\Main Web Page\Web Pages_old\proteomic_fractions_linear_files/Yang_linear_img/31560444.jpg","show blot")</f>
        <v>show blot</v>
      </c>
      <c r="G2583" t="s">
        <v>2558</v>
      </c>
      <c r="I2583" s="6">
        <v>2.5884414857662676</v>
      </c>
      <c r="K2583" s="8"/>
    </row>
    <row r="2584" spans="1:11" ht="15" x14ac:dyDescent="0.25">
      <c r="A2584" s="3" t="str">
        <f>HYPERLINK("proteomic_fractions_linear_files/Yang_linear_img/6679863.jpg", "6679863")</f>
        <v>6679863</v>
      </c>
      <c r="C2584" s="3" t="str">
        <f>HYPERLINK("http://www.ncbi.nlm.nih.gov/protein/6679863","Fxn")</f>
        <v>Fxn</v>
      </c>
      <c r="E2584" t="str">
        <f>HYPERLINK("J:\Depot - mpkCCD Fractions\Main Web Page\Web Pages_old\proteomic_fractions_linear_files/Yang_linear_img/6679863.jpg","show blot")</f>
        <v>show blot</v>
      </c>
      <c r="G2584" t="s">
        <v>2559</v>
      </c>
      <c r="I2584" s="6">
        <v>4.6870092312820972</v>
      </c>
      <c r="K2584" s="8"/>
    </row>
    <row r="2585" spans="1:11" ht="15" x14ac:dyDescent="0.25">
      <c r="A2585" s="3" t="str">
        <f>HYPERLINK("proteomic_fractions_linear_files/Yang_linear_img/17998694.jpg", "17998694")</f>
        <v>17998694</v>
      </c>
      <c r="C2585" s="3" t="str">
        <f>HYPERLINK("http://www.ncbi.nlm.nih.gov/protein/17998694","Fxr1")</f>
        <v>Fxr1</v>
      </c>
      <c r="E2585" t="str">
        <f>HYPERLINK("J:\Depot - mpkCCD Fractions\Main Web Page\Web Pages_old\proteomic_fractions_linear_files/Yang_linear_img/17998694.jpg","show blot")</f>
        <v>show blot</v>
      </c>
      <c r="G2585" t="s">
        <v>2560</v>
      </c>
      <c r="I2585" s="6">
        <v>5.6473240460093113</v>
      </c>
      <c r="K2585" s="8"/>
    </row>
    <row r="2586" spans="1:11" ht="15" x14ac:dyDescent="0.25">
      <c r="A2586" s="3" t="str">
        <f>HYPERLINK("proteomic_fractions_linear_files/Yang_linear_img/163954941.jpg", "163954941")</f>
        <v>163954941</v>
      </c>
      <c r="C2586" s="3" t="str">
        <f>HYPERLINK("http://www.ncbi.nlm.nih.gov/protein/163954941","Fxr1")</f>
        <v>Fxr1</v>
      </c>
      <c r="E2586" t="str">
        <f>HYPERLINK("J:\Depot - mpkCCD Fractions\Main Web Page\Web Pages_old\proteomic_fractions_linear_files/Yang_linear_img/163954941.jpg","show blot")</f>
        <v>show blot</v>
      </c>
      <c r="G2586" t="s">
        <v>2561</v>
      </c>
      <c r="I2586" s="6">
        <v>5.6473240460093113</v>
      </c>
      <c r="K2586" s="8"/>
    </row>
    <row r="2587" spans="1:11" ht="15" x14ac:dyDescent="0.25">
      <c r="A2587" s="3" t="str">
        <f>HYPERLINK("proteomic_fractions_linear_files/Yang_linear_img/163954943.jpg", "163954943")</f>
        <v>163954943</v>
      </c>
      <c r="C2587" s="3" t="str">
        <f>HYPERLINK("http://www.ncbi.nlm.nih.gov/protein/163954943","Fxr1")</f>
        <v>Fxr1</v>
      </c>
      <c r="E2587" t="str">
        <f>HYPERLINK("J:\Depot - mpkCCD Fractions\Main Web Page\Web Pages_old\proteomic_fractions_linear_files/Yang_linear_img/163954943.jpg","show blot")</f>
        <v>show blot</v>
      </c>
      <c r="G2587" t="s">
        <v>2562</v>
      </c>
      <c r="I2587" s="6">
        <v>5.6473240460093113</v>
      </c>
      <c r="K2587" s="8"/>
    </row>
    <row r="2588" spans="1:11" ht="15" x14ac:dyDescent="0.25">
      <c r="A2588" s="3" t="str">
        <f>HYPERLINK("proteomic_fractions_linear_files/Yang_linear_img/83921589.jpg", "83921589")</f>
        <v>83921589</v>
      </c>
      <c r="C2588" s="3" t="str">
        <f>HYPERLINK("http://www.ncbi.nlm.nih.gov/protein/83921589","Fxr2")</f>
        <v>Fxr2</v>
      </c>
      <c r="E2588" t="str">
        <f>HYPERLINK("J:\Depot - mpkCCD Fractions\Main Web Page\Web Pages_old\proteomic_fractions_linear_files/Yang_linear_img/83921589.jpg","show blot")</f>
        <v>show blot</v>
      </c>
      <c r="G2588" t="s">
        <v>2563</v>
      </c>
      <c r="I2588" s="6">
        <v>5.2128328891000013</v>
      </c>
      <c r="K2588" s="8"/>
    </row>
    <row r="2589" spans="1:11" ht="15" x14ac:dyDescent="0.25">
      <c r="A2589" s="3" t="str">
        <f>HYPERLINK("proteomic_fractions_linear_files/Yang_linear_img/16554570.jpg", "16554570")</f>
        <v>16554570</v>
      </c>
      <c r="C2589" s="3" t="str">
        <f>HYPERLINK("http://www.ncbi.nlm.nih.gov/protein/16554570","Fxyd2")</f>
        <v>Fxyd2</v>
      </c>
      <c r="E2589" t="str">
        <f>HYPERLINK("J:\Depot - mpkCCD Fractions\Main Web Page\Web Pages_old\proteomic_fractions_linear_files/Yang_linear_img/16554570.jpg","show blot")</f>
        <v>show blot</v>
      </c>
      <c r="G2589" t="s">
        <v>2564</v>
      </c>
      <c r="I2589" s="6">
        <v>5.1033440517024369</v>
      </c>
      <c r="K2589" s="8"/>
    </row>
    <row r="2590" spans="1:11" ht="15" x14ac:dyDescent="0.25">
      <c r="A2590" s="3" t="str">
        <f>HYPERLINK("proteomic_fractions_linear_files/Yang_linear_img/16554572.jpg", "16554572")</f>
        <v>16554572</v>
      </c>
      <c r="C2590" s="3" t="str">
        <f>HYPERLINK("http://www.ncbi.nlm.nih.gov/protein/16554572","Fxyd2")</f>
        <v>Fxyd2</v>
      </c>
      <c r="E2590" t="str">
        <f>HYPERLINK("J:\Depot - mpkCCD Fractions\Main Web Page\Web Pages_old\proteomic_fractions_linear_files/Yang_linear_img/16554572.jpg","show blot")</f>
        <v>show blot</v>
      </c>
      <c r="G2590" t="s">
        <v>2565</v>
      </c>
      <c r="I2590" s="6">
        <v>5.1033440517024369</v>
      </c>
      <c r="K2590" s="8"/>
    </row>
    <row r="2591" spans="1:11" ht="15" x14ac:dyDescent="0.25">
      <c r="A2591" s="3" t="str">
        <f>HYPERLINK("proteomic_fractions_linear_files/Yang_linear_img/16258807.jpg", "16258807")</f>
        <v>16258807</v>
      </c>
      <c r="C2591" s="3" t="str">
        <f>HYPERLINK("http://www.ncbi.nlm.nih.gov/protein/16258807","Fxyd4")</f>
        <v>Fxyd4</v>
      </c>
      <c r="E2591" t="str">
        <f>HYPERLINK("J:\Depot - mpkCCD Fractions\Main Web Page\Web Pages_old\proteomic_fractions_linear_files/Yang_linear_img/16258807.jpg","show blot")</f>
        <v>show blot</v>
      </c>
      <c r="G2591" t="s">
        <v>2566</v>
      </c>
      <c r="I2591" s="6">
        <v>4.2747910054388631</v>
      </c>
      <c r="K2591" s="8"/>
    </row>
    <row r="2592" spans="1:11" ht="15" x14ac:dyDescent="0.25">
      <c r="A2592" s="3" t="str">
        <f>HYPERLINK("proteomic_fractions_linear_files/Yang_linear_img/159131876.jpg", "159131876")</f>
        <v>159131876</v>
      </c>
      <c r="C2592" s="3" t="str">
        <f>HYPERLINK("http://www.ncbi.nlm.nih.gov/protein/159131876","Fyco1")</f>
        <v>Fyco1</v>
      </c>
      <c r="E2592" t="str">
        <f>HYPERLINK("J:\Depot - mpkCCD Fractions\Main Web Page\Web Pages_old\proteomic_fractions_linear_files/Yang_linear_img/159131876.jpg","show blot")</f>
        <v>show blot</v>
      </c>
      <c r="G2592" t="s">
        <v>2567</v>
      </c>
      <c r="I2592" s="6">
        <v>4.7217692273216807</v>
      </c>
      <c r="K2592" s="8"/>
    </row>
    <row r="2593" spans="1:11" ht="15" x14ac:dyDescent="0.25">
      <c r="A2593" s="3" t="str">
        <f>HYPERLINK("proteomic_fractions_linear_files/Yang_linear_img/171543837.jpg", "171543837")</f>
        <v>171543837</v>
      </c>
      <c r="C2593" s="3" t="str">
        <f>HYPERLINK("http://www.ncbi.nlm.nih.gov/protein/171543837","Fyn")</f>
        <v>Fyn</v>
      </c>
      <c r="E2593" t="str">
        <f>HYPERLINK("J:\Depot - mpkCCD Fractions\Main Web Page\Web Pages_old\proteomic_fractions_linear_files/Yang_linear_img/171543837.jpg","show blot")</f>
        <v>show blot</v>
      </c>
      <c r="G2593" t="s">
        <v>2568</v>
      </c>
      <c r="I2593" s="6">
        <v>5.3976148482000861</v>
      </c>
      <c r="K2593" s="8"/>
    </row>
    <row r="2594" spans="1:11" ht="15" x14ac:dyDescent="0.25">
      <c r="A2594" s="3" t="str">
        <f>HYPERLINK("proteomic_fractions_linear_files/Yang_linear_img/171543841.jpg", "171543841")</f>
        <v>171543841</v>
      </c>
      <c r="C2594" s="3" t="str">
        <f>HYPERLINK("http://www.ncbi.nlm.nih.gov/protein/171543841","Fyn")</f>
        <v>Fyn</v>
      </c>
      <c r="E2594" t="str">
        <f>HYPERLINK("J:\Depot - mpkCCD Fractions\Main Web Page\Web Pages_old\proteomic_fractions_linear_files/Yang_linear_img/171543841.jpg","show blot")</f>
        <v>show blot</v>
      </c>
      <c r="G2594" t="s">
        <v>2569</v>
      </c>
      <c r="I2594" s="6">
        <v>5.3976148482000861</v>
      </c>
      <c r="K2594" s="8"/>
    </row>
    <row r="2595" spans="1:11" ht="15" x14ac:dyDescent="0.25">
      <c r="A2595" s="3" t="str">
        <f>HYPERLINK("proteomic_fractions_linear_files/Yang_linear_img/226823218.jpg", "226823218")</f>
        <v>226823218</v>
      </c>
      <c r="C2595" s="3" t="str">
        <f>HYPERLINK("http://www.ncbi.nlm.nih.gov/protein/226823218","Fyttd1")</f>
        <v>Fyttd1</v>
      </c>
      <c r="E2595" t="str">
        <f>HYPERLINK("J:\Depot - mpkCCD Fractions\Main Web Page\Web Pages_old\proteomic_fractions_linear_files/Yang_linear_img/226823218.jpg","show blot")</f>
        <v>show blot</v>
      </c>
      <c r="G2595" t="s">
        <v>2570</v>
      </c>
      <c r="I2595" s="6">
        <v>3.4323988588005316</v>
      </c>
      <c r="K2595" s="8"/>
    </row>
    <row r="2596" spans="1:11" ht="15" x14ac:dyDescent="0.25">
      <c r="A2596" s="3" t="str">
        <f>HYPERLINK("proteomic_fractions_linear_files/Yang_linear_img/31541947.jpg", "31541947")</f>
        <v>31541947</v>
      </c>
      <c r="C2596" s="3" t="str">
        <f>HYPERLINK("http://www.ncbi.nlm.nih.gov/protein/31541947","Fyttd1")</f>
        <v>Fyttd1</v>
      </c>
      <c r="E2596" t="str">
        <f>HYPERLINK("J:\Depot - mpkCCD Fractions\Main Web Page\Web Pages_old\proteomic_fractions_linear_files/Yang_linear_img/31541947.jpg","show blot")</f>
        <v>show blot</v>
      </c>
      <c r="G2596" t="s">
        <v>2571</v>
      </c>
      <c r="I2596" s="6">
        <v>3.4323988588005316</v>
      </c>
      <c r="K2596" s="8"/>
    </row>
    <row r="2597" spans="1:11" ht="15" x14ac:dyDescent="0.25">
      <c r="A2597" s="3" t="str">
        <f>HYPERLINK("proteomic_fractions_linear_files/Yang_linear_img/7305075.jpg", "7305075")</f>
        <v>7305075</v>
      </c>
      <c r="C2597" s="3" t="str">
        <f>HYPERLINK("http://www.ncbi.nlm.nih.gov/protein/7305075","G3bp1")</f>
        <v>G3bp1</v>
      </c>
      <c r="E2597" t="str">
        <f>HYPERLINK("J:\Depot - mpkCCD Fractions\Main Web Page\Web Pages_old\proteomic_fractions_linear_files/Yang_linear_img/7305075.jpg","show blot")</f>
        <v>show blot</v>
      </c>
      <c r="G2597" t="s">
        <v>2572</v>
      </c>
      <c r="I2597" s="6">
        <v>6.0444879030397871</v>
      </c>
      <c r="K2597" s="8"/>
    </row>
    <row r="2598" spans="1:11" ht="15" x14ac:dyDescent="0.25">
      <c r="A2598" s="3" t="str">
        <f>HYPERLINK("proteomic_fractions_linear_files/Yang_linear_img/124248570.jpg", "124248570")</f>
        <v>124248570</v>
      </c>
      <c r="C2598" s="3" t="str">
        <f>HYPERLINK("http://www.ncbi.nlm.nih.gov/protein/124248570","G3bp2")</f>
        <v>G3bp2</v>
      </c>
      <c r="E2598" t="str">
        <f>HYPERLINK("J:\Depot - mpkCCD Fractions\Main Web Page\Web Pages_old\proteomic_fractions_linear_files/Yang_linear_img/124248570.jpg","show blot")</f>
        <v>show blot</v>
      </c>
      <c r="G2598" t="s">
        <v>2573</v>
      </c>
      <c r="I2598" s="6">
        <v>5.6690724289092325</v>
      </c>
      <c r="K2598" s="8"/>
    </row>
    <row r="2599" spans="1:11" ht="15" x14ac:dyDescent="0.25">
      <c r="A2599" s="3" t="str">
        <f>HYPERLINK("proteomic_fractions_linear_files/Yang_linear_img/31982757.jpg", "31982757")</f>
        <v>31982757</v>
      </c>
      <c r="C2599" s="3" t="str">
        <f>HYPERLINK("http://www.ncbi.nlm.nih.gov/protein/31982757","G3bp2")</f>
        <v>G3bp2</v>
      </c>
      <c r="E2599" t="str">
        <f>HYPERLINK("J:\Depot - mpkCCD Fractions\Main Web Page\Web Pages_old\proteomic_fractions_linear_files/Yang_linear_img/31982757.jpg","show blot")</f>
        <v>show blot</v>
      </c>
      <c r="G2599" t="s">
        <v>2574</v>
      </c>
      <c r="I2599" s="6">
        <v>5.6690724289092325</v>
      </c>
      <c r="K2599" s="8"/>
    </row>
    <row r="2600" spans="1:11" ht="15" x14ac:dyDescent="0.25">
      <c r="A2600" s="3" t="str">
        <f>HYPERLINK("proteomic_fractions_linear_files/Yang_linear_img/227330582.jpg", "227330582")</f>
        <v>227330582</v>
      </c>
      <c r="C2600" s="3" t="str">
        <f>HYPERLINK("http://www.ncbi.nlm.nih.gov/protein/227330582","G6pd2")</f>
        <v>G6pd2</v>
      </c>
      <c r="E2600" t="str">
        <f>HYPERLINK("J:\Depot - mpkCCD Fractions\Main Web Page\Web Pages_old\proteomic_fractions_linear_files/Yang_linear_img/227330582.jpg","show blot")</f>
        <v>show blot</v>
      </c>
      <c r="G2600" t="s">
        <v>2575</v>
      </c>
      <c r="I2600" s="6">
        <v>5.3634615098012643</v>
      </c>
      <c r="K2600" s="8"/>
    </row>
    <row r="2601" spans="1:11" ht="15" x14ac:dyDescent="0.25">
      <c r="A2601" s="3" t="str">
        <f>HYPERLINK("proteomic_fractions_linear_files/Yang_linear_img/6996917.jpg", "6996917")</f>
        <v>6996917</v>
      </c>
      <c r="C2601" s="3" t="str">
        <f>HYPERLINK("http://www.ncbi.nlm.nih.gov/protein/6996917","G6pdx")</f>
        <v>G6pdx</v>
      </c>
      <c r="E2601" t="str">
        <f>HYPERLINK("J:\Depot - mpkCCD Fractions\Main Web Page\Web Pages_old\proteomic_fractions_linear_files/Yang_linear_img/6996917.jpg","show blot")</f>
        <v>show blot</v>
      </c>
      <c r="G2601" t="s">
        <v>2576</v>
      </c>
      <c r="I2601" s="6">
        <v>5.825990552073895</v>
      </c>
      <c r="K2601" s="8"/>
    </row>
    <row r="2602" spans="1:11" ht="15" x14ac:dyDescent="0.25">
      <c r="A2602" s="3" t="str">
        <f>HYPERLINK("proteomic_fractions_linear_files/Yang_linear_img/226693367.jpg", "226693367")</f>
        <v>226693367</v>
      </c>
      <c r="C2602" s="3" t="str">
        <f>HYPERLINK("http://www.ncbi.nlm.nih.gov/protein/226693367","Gaa")</f>
        <v>Gaa</v>
      </c>
      <c r="E2602" t="str">
        <f>HYPERLINK("J:\Depot - mpkCCD Fractions\Main Web Page\Web Pages_old\proteomic_fractions_linear_files/Yang_linear_img/226693367.jpg","show blot")</f>
        <v>show blot</v>
      </c>
      <c r="G2602" t="s">
        <v>2577</v>
      </c>
      <c r="I2602" s="6">
        <v>4.6160001252865879</v>
      </c>
      <c r="K2602" s="8"/>
    </row>
    <row r="2603" spans="1:11" ht="15" x14ac:dyDescent="0.25">
      <c r="A2603" s="3" t="str">
        <f>HYPERLINK("proteomic_fractions_linear_files/Yang_linear_img/31542871.jpg", "31542871")</f>
        <v>31542871</v>
      </c>
      <c r="C2603" s="3" t="str">
        <f>HYPERLINK("http://www.ncbi.nlm.nih.gov/protein/31542871","Gab1")</f>
        <v>Gab1</v>
      </c>
      <c r="E2603" t="str">
        <f>HYPERLINK("J:\Depot - mpkCCD Fractions\Main Web Page\Web Pages_old\proteomic_fractions_linear_files/Yang_linear_img/31542871.jpg","show blot")</f>
        <v>show blot</v>
      </c>
      <c r="G2603" t="s">
        <v>2578</v>
      </c>
      <c r="I2603" s="6">
        <v>3.9520501569701962</v>
      </c>
      <c r="K2603" s="8"/>
    </row>
    <row r="2604" spans="1:11" ht="15" x14ac:dyDescent="0.25">
      <c r="A2604" s="3" t="str">
        <f>HYPERLINK("proteomic_fractions_linear_files/Yang_linear_img/9789961.jpg", "9789961")</f>
        <v>9789961</v>
      </c>
      <c r="C2604" s="3" t="str">
        <f>HYPERLINK("http://www.ncbi.nlm.nih.gov/protein/9789961","Gabarap")</f>
        <v>Gabarap</v>
      </c>
      <c r="E2604" t="str">
        <f>HYPERLINK("J:\Depot - mpkCCD Fractions\Main Web Page\Web Pages_old\proteomic_fractions_linear_files/Yang_linear_img/9789961.jpg","show blot")</f>
        <v>show blot</v>
      </c>
      <c r="G2604" t="s">
        <v>2579</v>
      </c>
      <c r="I2604" s="6">
        <v>4.9244097659465478</v>
      </c>
      <c r="K2604" s="8"/>
    </row>
    <row r="2605" spans="1:11" ht="15" x14ac:dyDescent="0.25">
      <c r="A2605" s="3" t="str">
        <f>HYPERLINK("proteomic_fractions_linear_files/Yang_linear_img/10181206.jpg", "10181206")</f>
        <v>10181206</v>
      </c>
      <c r="C2605" s="3" t="str">
        <f>HYPERLINK("http://www.ncbi.nlm.nih.gov/protein/10181206","Gabarapl1")</f>
        <v>Gabarapl1</v>
      </c>
      <c r="E2605" t="str">
        <f>HYPERLINK("J:\Depot - mpkCCD Fractions\Main Web Page\Web Pages_old\proteomic_fractions_linear_files/Yang_linear_img/10181206.jpg","show blot")</f>
        <v>show blot</v>
      </c>
      <c r="G2605" t="s">
        <v>2580</v>
      </c>
      <c r="I2605" s="6">
        <v>4.9250760065437236</v>
      </c>
      <c r="K2605" s="8"/>
    </row>
    <row r="2606" spans="1:11" ht="15" x14ac:dyDescent="0.25">
      <c r="A2606" s="3" t="str">
        <f>HYPERLINK("proteomic_fractions_linear_files/Yang_linear_img/31542873.jpg", "31542873")</f>
        <v>31542873</v>
      </c>
      <c r="C2606" s="3" t="str">
        <f>HYPERLINK("http://www.ncbi.nlm.nih.gov/protein/31542873","Gabarapl2")</f>
        <v>Gabarapl2</v>
      </c>
      <c r="E2606" t="str">
        <f>HYPERLINK("J:\Depot - mpkCCD Fractions\Main Web Page\Web Pages_old\proteomic_fractions_linear_files/Yang_linear_img/31542873.jpg","show blot")</f>
        <v>show blot</v>
      </c>
      <c r="G2606" t="s">
        <v>2581</v>
      </c>
      <c r="I2606" s="6">
        <v>5.1953293622830943</v>
      </c>
      <c r="K2606" s="8"/>
    </row>
    <row r="2607" spans="1:11" ht="15" x14ac:dyDescent="0.25">
      <c r="A2607" s="3" t="str">
        <f>HYPERLINK("proteomic_fractions_linear_files/Yang_linear_img/34328119.jpg", "34328119")</f>
        <v>34328119</v>
      </c>
      <c r="C2607" s="3" t="str">
        <f>HYPERLINK("http://www.ncbi.nlm.nih.gov/protein/34328119","Gabpa")</f>
        <v>Gabpa</v>
      </c>
      <c r="E2607" t="str">
        <f>HYPERLINK("J:\Depot - mpkCCD Fractions\Main Web Page\Web Pages_old\proteomic_fractions_linear_files/Yang_linear_img/34328119.jpg","show blot")</f>
        <v>show blot</v>
      </c>
      <c r="G2607" t="s">
        <v>2582</v>
      </c>
      <c r="I2607" s="6">
        <v>4.9821772627647549</v>
      </c>
      <c r="K2607" s="8"/>
    </row>
    <row r="2608" spans="1:11" ht="15" x14ac:dyDescent="0.25">
      <c r="A2608" s="3" t="str">
        <f>HYPERLINK("proteomic_fractions_linear_files/Yang_linear_img/407728605.jpg", "407728605")</f>
        <v>407728605</v>
      </c>
      <c r="C2608" s="3" t="str">
        <f>HYPERLINK("http://www.ncbi.nlm.nih.gov/protein/407728605","Gabpb1")</f>
        <v>Gabpb1</v>
      </c>
      <c r="E2608" t="str">
        <f>HYPERLINK("J:\Depot - mpkCCD Fractions\Main Web Page\Web Pages_old\proteomic_fractions_linear_files/Yang_linear_img/407728605.jpg","show blot")</f>
        <v>show blot</v>
      </c>
      <c r="G2608" t="s">
        <v>2583</v>
      </c>
      <c r="I2608" s="6">
        <v>3.6746953600266625</v>
      </c>
      <c r="K2608" s="8"/>
    </row>
    <row r="2609" spans="1:11" ht="15" x14ac:dyDescent="0.25">
      <c r="A2609" s="3" t="str">
        <f>HYPERLINK("proteomic_fractions_linear_files/Yang_linear_img/46575942.jpg", "46575942")</f>
        <v>46575942</v>
      </c>
      <c r="C2609" s="3" t="str">
        <f>HYPERLINK("http://www.ncbi.nlm.nih.gov/protein/46575942","Gabpb1")</f>
        <v>Gabpb1</v>
      </c>
      <c r="E2609" t="str">
        <f>HYPERLINK("J:\Depot - mpkCCD Fractions\Main Web Page\Web Pages_old\proteomic_fractions_linear_files/Yang_linear_img/46575942.jpg","show blot")</f>
        <v>show blot</v>
      </c>
      <c r="G2609" t="s">
        <v>2584</v>
      </c>
      <c r="I2609" s="6">
        <v>3.6746953600266625</v>
      </c>
      <c r="K2609" s="8"/>
    </row>
    <row r="2610" spans="1:11" ht="15" x14ac:dyDescent="0.25">
      <c r="A2610" s="3" t="str">
        <f>HYPERLINK("proteomic_fractions_linear_files/Yang_linear_img/6678980.jpg", "6678980")</f>
        <v>6678980</v>
      </c>
      <c r="C2610" s="3" t="str">
        <f>HYPERLINK("http://www.ncbi.nlm.nih.gov/protein/6678980","Gadd45b")</f>
        <v>Gadd45b</v>
      </c>
      <c r="E2610" t="str">
        <f>HYPERLINK("J:\Depot - mpkCCD Fractions\Main Web Page\Web Pages_old\proteomic_fractions_linear_files/Yang_linear_img/6678980.jpg","show blot")</f>
        <v>show blot</v>
      </c>
      <c r="G2610" t="s">
        <v>2585</v>
      </c>
      <c r="I2610" s="6">
        <v>3.3096538211652855</v>
      </c>
      <c r="K2610" s="8"/>
    </row>
    <row r="2611" spans="1:11" ht="15" x14ac:dyDescent="0.25">
      <c r="A2611" s="3" t="str">
        <f>HYPERLINK("proteomic_fractions_linear_files/Yang_linear_img/269315840.jpg", "269315840")</f>
        <v>269315840</v>
      </c>
      <c r="C2611" s="3" t="str">
        <f>HYPERLINK("http://www.ncbi.nlm.nih.gov/protein/269315840","Gadd45gip1")</f>
        <v>Gadd45gip1</v>
      </c>
      <c r="E2611" t="str">
        <f>HYPERLINK("J:\Depot - mpkCCD Fractions\Main Web Page\Web Pages_old\proteomic_fractions_linear_files/Yang_linear_img/269315840.jpg","show blot")</f>
        <v>show blot</v>
      </c>
      <c r="G2611" t="s">
        <v>2586</v>
      </c>
      <c r="I2611" s="6">
        <v>4.2404076974328921</v>
      </c>
      <c r="K2611" s="8"/>
    </row>
    <row r="2612" spans="1:11" ht="15" x14ac:dyDescent="0.25">
      <c r="A2612" s="3" t="str">
        <f>HYPERLINK("proteomic_fractions_linear_files/Yang_linear_img/51317387.jpg", "51317387")</f>
        <v>51317387</v>
      </c>
      <c r="C2612" s="3" t="str">
        <f>HYPERLINK("http://www.ncbi.nlm.nih.gov/protein/51317387","Gak")</f>
        <v>Gak</v>
      </c>
      <c r="E2612" t="str">
        <f>HYPERLINK("J:\Depot - mpkCCD Fractions\Main Web Page\Web Pages_old\proteomic_fractions_linear_files/Yang_linear_img/51317387.jpg","show blot")</f>
        <v>show blot</v>
      </c>
      <c r="G2612" t="s">
        <v>2587</v>
      </c>
      <c r="I2612" s="6">
        <v>3.8951463095853467</v>
      </c>
      <c r="K2612" s="8"/>
    </row>
    <row r="2613" spans="1:11" ht="15" x14ac:dyDescent="0.25">
      <c r="A2613" s="3" t="str">
        <f>HYPERLINK("proteomic_fractions_linear_files/Yang_linear_img/93102411.jpg", "93102411")</f>
        <v>93102411</v>
      </c>
      <c r="C2613" s="3" t="str">
        <f>HYPERLINK("http://www.ncbi.nlm.nih.gov/protein/93102411","Galc")</f>
        <v>Galc</v>
      </c>
      <c r="E2613" t="str">
        <f>HYPERLINK("J:\Depot - mpkCCD Fractions\Main Web Page\Web Pages_old\proteomic_fractions_linear_files/Yang_linear_img/93102411.jpg","show blot")</f>
        <v>show blot</v>
      </c>
      <c r="G2613" t="s">
        <v>2588</v>
      </c>
      <c r="I2613" s="6">
        <v>4.939789304461458</v>
      </c>
      <c r="K2613" s="8"/>
    </row>
    <row r="2614" spans="1:11" ht="15" x14ac:dyDescent="0.25">
      <c r="A2614" s="3" t="str">
        <f>HYPERLINK("proteomic_fractions_linear_files/Yang_linear_img/30409988.jpg", "30409988")</f>
        <v>30409988</v>
      </c>
      <c r="C2614" s="3" t="str">
        <f>HYPERLINK("http://www.ncbi.nlm.nih.gov/protein/30409988","Gale")</f>
        <v>Gale</v>
      </c>
      <c r="E2614" t="str">
        <f>HYPERLINK("J:\Depot - mpkCCD Fractions\Main Web Page\Web Pages_old\proteomic_fractions_linear_files/Yang_linear_img/30409988.jpg","show blot")</f>
        <v>show blot</v>
      </c>
      <c r="G2614" t="s">
        <v>2589</v>
      </c>
      <c r="I2614" s="6">
        <v>4.916112544373167</v>
      </c>
      <c r="K2614" s="8"/>
    </row>
    <row r="2615" spans="1:11" ht="15" x14ac:dyDescent="0.25">
      <c r="A2615" s="3" t="str">
        <f>HYPERLINK("proteomic_fractions_linear_files/Yang_linear_img/93102413.jpg", "93102413")</f>
        <v>93102413</v>
      </c>
      <c r="C2615" s="3" t="str">
        <f>HYPERLINK("http://www.ncbi.nlm.nih.gov/protein/93102413","Galk1")</f>
        <v>Galk1</v>
      </c>
      <c r="E2615" t="str">
        <f>HYPERLINK("J:\Depot - mpkCCD Fractions\Main Web Page\Web Pages_old\proteomic_fractions_linear_files/Yang_linear_img/93102413.jpg","show blot")</f>
        <v>show blot</v>
      </c>
      <c r="G2615" t="s">
        <v>2590</v>
      </c>
      <c r="I2615" s="6">
        <v>6.1071227566046762</v>
      </c>
      <c r="K2615" s="8"/>
    </row>
    <row r="2616" spans="1:11" ht="15" x14ac:dyDescent="0.25">
      <c r="A2616" s="3" t="str">
        <f>HYPERLINK("proteomic_fractions_linear_files/Yang_linear_img/30424748.jpg", "30424748")</f>
        <v>30424748</v>
      </c>
      <c r="C2616" s="3" t="str">
        <f>HYPERLINK("http://www.ncbi.nlm.nih.gov/protein/30424748","Galk2")</f>
        <v>Galk2</v>
      </c>
      <c r="E2616" t="str">
        <f>HYPERLINK("J:\Depot - mpkCCD Fractions\Main Web Page\Web Pages_old\proteomic_fractions_linear_files/Yang_linear_img/30424748.jpg","show blot")</f>
        <v>show blot</v>
      </c>
      <c r="G2616" t="s">
        <v>2591</v>
      </c>
      <c r="I2616" s="6">
        <v>4.6131914282072417</v>
      </c>
      <c r="K2616" s="8"/>
    </row>
    <row r="2617" spans="1:11" ht="15" x14ac:dyDescent="0.25">
      <c r="A2617" s="3" t="str">
        <f>HYPERLINK("proteomic_fractions_linear_files/Yang_linear_img/28892785.jpg", "28892785")</f>
        <v>28892785</v>
      </c>
      <c r="C2617" s="3" t="str">
        <f>HYPERLINK("http://www.ncbi.nlm.nih.gov/protein/28892785","Galm")</f>
        <v>Galm</v>
      </c>
      <c r="E2617" t="str">
        <f>HYPERLINK("J:\Depot - mpkCCD Fractions\Main Web Page\Web Pages_old\proteomic_fractions_linear_files/Yang_linear_img/28892785.jpg","show blot")</f>
        <v>show blot</v>
      </c>
      <c r="G2617" t="s">
        <v>2592</v>
      </c>
      <c r="I2617" s="6">
        <v>5.0612162057576402</v>
      </c>
      <c r="K2617" s="8"/>
    </row>
    <row r="2618" spans="1:11" ht="15" x14ac:dyDescent="0.25">
      <c r="A2618" s="3" t="str">
        <f>HYPERLINK("proteomic_fractions_linear_files/Yang_linear_img/302370951.jpg", "302370951")</f>
        <v>302370951</v>
      </c>
      <c r="C2618" s="3" t="str">
        <f>HYPERLINK("http://www.ncbi.nlm.nih.gov/protein/302370951","Galns")</f>
        <v>Galns</v>
      </c>
      <c r="E2618" t="str">
        <f>HYPERLINK("J:\Depot - mpkCCD Fractions\Main Web Page\Web Pages_old\proteomic_fractions_linear_files/Yang_linear_img/302370951.jpg","show blot")</f>
        <v>show blot</v>
      </c>
      <c r="G2618" t="s">
        <v>2593</v>
      </c>
      <c r="I2618" s="6">
        <v>4.3803716048902821</v>
      </c>
      <c r="K2618" s="8"/>
    </row>
    <row r="2619" spans="1:11" ht="15" x14ac:dyDescent="0.25">
      <c r="A2619" s="3" t="str">
        <f>HYPERLINK("proteomic_fractions_linear_files/Yang_linear_img/171184398.jpg", "171184398")</f>
        <v>171184398</v>
      </c>
      <c r="C2619" s="3" t="str">
        <f>HYPERLINK("http://www.ncbi.nlm.nih.gov/protein/171184398","Galns")</f>
        <v>Galns</v>
      </c>
      <c r="E2619" t="str">
        <f>HYPERLINK("J:\Depot - mpkCCD Fractions\Main Web Page\Web Pages_old\proteomic_fractions_linear_files/Yang_linear_img/171184398.jpg","show blot")</f>
        <v>show blot</v>
      </c>
      <c r="G2619" t="s">
        <v>2594</v>
      </c>
      <c r="I2619" s="6">
        <v>4.3803716048902821</v>
      </c>
      <c r="K2619" s="8"/>
    </row>
    <row r="2620" spans="1:11" ht="15" x14ac:dyDescent="0.25">
      <c r="A2620" s="3" t="str">
        <f>HYPERLINK("proteomic_fractions_linear_files/Yang_linear_img/237874259.jpg", "237874259")</f>
        <v>237874259</v>
      </c>
      <c r="C2620" s="3" t="str">
        <f>HYPERLINK("http://www.ncbi.nlm.nih.gov/protein/237874259","Galnt1")</f>
        <v>Galnt1</v>
      </c>
      <c r="E2620" t="str">
        <f>HYPERLINK("J:\Depot - mpkCCD Fractions\Main Web Page\Web Pages_old\proteomic_fractions_linear_files/Yang_linear_img/237874259.jpg","show blot")</f>
        <v>show blot</v>
      </c>
      <c r="G2620" t="s">
        <v>2595</v>
      </c>
      <c r="I2620" s="6">
        <v>3.7166590834074573</v>
      </c>
      <c r="K2620" s="8"/>
    </row>
    <row r="2621" spans="1:11" ht="15" x14ac:dyDescent="0.25">
      <c r="A2621" s="3" t="str">
        <f>HYPERLINK("proteomic_fractions_linear_files/Yang_linear_img/76677928.jpg", "76677928")</f>
        <v>76677928</v>
      </c>
      <c r="C2621" s="3" t="str">
        <f>HYPERLINK("http://www.ncbi.nlm.nih.gov/protein/76677928","Galnt13")</f>
        <v>Galnt13</v>
      </c>
      <c r="E2621" t="str">
        <f>HYPERLINK("J:\Depot - mpkCCD Fractions\Main Web Page\Web Pages_old\proteomic_fractions_linear_files/Yang_linear_img/76677928.jpg","show blot")</f>
        <v>show blot</v>
      </c>
      <c r="G2621" t="s">
        <v>2596</v>
      </c>
      <c r="I2621" s="6">
        <v>3.7103380451637866</v>
      </c>
      <c r="K2621" s="8"/>
    </row>
    <row r="2622" spans="1:11" ht="15" x14ac:dyDescent="0.25">
      <c r="A2622" s="3" t="str">
        <f>HYPERLINK("proteomic_fractions_linear_files/Yang_linear_img/46877109.jpg", "46877109")</f>
        <v>46877109</v>
      </c>
      <c r="C2622" s="3" t="str">
        <f>HYPERLINK("http://www.ncbi.nlm.nih.gov/protein/46877109","Galnt2")</f>
        <v>Galnt2</v>
      </c>
      <c r="E2622" t="str">
        <f>HYPERLINK("J:\Depot - mpkCCD Fractions\Main Web Page\Web Pages_old\proteomic_fractions_linear_files/Yang_linear_img/46877109.jpg","show blot")</f>
        <v>show blot</v>
      </c>
      <c r="G2622" t="s">
        <v>2597</v>
      </c>
      <c r="I2622" s="6">
        <v>4.3408903555110134</v>
      </c>
      <c r="K2622" s="8"/>
    </row>
    <row r="2623" spans="1:11" ht="15" x14ac:dyDescent="0.25">
      <c r="A2623" s="3" t="str">
        <f>HYPERLINK("proteomic_fractions_linear_files/Yang_linear_img/162951828.jpg", "162951828")</f>
        <v>162951828</v>
      </c>
      <c r="C2623" s="3" t="str">
        <f>HYPERLINK("http://www.ncbi.nlm.nih.gov/protein/162951828","Galnt3")</f>
        <v>Galnt3</v>
      </c>
      <c r="E2623" t="str">
        <f>HYPERLINK("J:\Depot - mpkCCD Fractions\Main Web Page\Web Pages_old\proteomic_fractions_linear_files/Yang_linear_img/162951828.jpg","show blot")</f>
        <v>show blot</v>
      </c>
      <c r="G2623" t="s">
        <v>2598</v>
      </c>
      <c r="I2623" s="6">
        <v>5.1182966413420159</v>
      </c>
      <c r="K2623" s="8"/>
    </row>
    <row r="2624" spans="1:11" ht="15" x14ac:dyDescent="0.25">
      <c r="A2624" s="3" t="str">
        <f>HYPERLINK("proteomic_fractions_linear_files/Yang_linear_img/7657112.jpg", "7657112")</f>
        <v>7657112</v>
      </c>
      <c r="C2624" s="3" t="str">
        <f>HYPERLINK("http://www.ncbi.nlm.nih.gov/protein/7657112","Galnt4")</f>
        <v>Galnt4</v>
      </c>
      <c r="E2624" t="str">
        <f>HYPERLINK("J:\Depot - mpkCCD Fractions\Main Web Page\Web Pages_old\proteomic_fractions_linear_files/Yang_linear_img/7657112.jpg","show blot")</f>
        <v>show blot</v>
      </c>
      <c r="G2624" t="s">
        <v>2599</v>
      </c>
      <c r="I2624" s="6">
        <v>2.6132650694912996</v>
      </c>
      <c r="K2624" s="8"/>
    </row>
    <row r="2625" spans="1:11" ht="15" x14ac:dyDescent="0.25">
      <c r="A2625" s="3" t="str">
        <f>HYPERLINK("proteomic_fractions_linear_files/Yang_linear_img/269784707.jpg", "269784707")</f>
        <v>269784707</v>
      </c>
      <c r="C2625" s="3" t="str">
        <f>HYPERLINK("http://www.ncbi.nlm.nih.gov/protein/269784707","Galnt7")</f>
        <v>Galnt7</v>
      </c>
      <c r="E2625" t="str">
        <f>HYPERLINK("J:\Depot - mpkCCD Fractions\Main Web Page\Web Pages_old\proteomic_fractions_linear_files/Yang_linear_img/269784707.jpg","show blot")</f>
        <v>show blot</v>
      </c>
      <c r="G2625" t="s">
        <v>2600</v>
      </c>
      <c r="I2625" s="6">
        <v>2.9481270187726478</v>
      </c>
      <c r="K2625" s="8"/>
    </row>
    <row r="2626" spans="1:11" ht="15" x14ac:dyDescent="0.25">
      <c r="A2626" s="3" t="str">
        <f>HYPERLINK("proteomic_fractions_linear_files/Yang_linear_img/269784709.jpg", "269784709")</f>
        <v>269784709</v>
      </c>
      <c r="C2626" s="3" t="str">
        <f>HYPERLINK("http://www.ncbi.nlm.nih.gov/protein/269784709","Galnt7")</f>
        <v>Galnt7</v>
      </c>
      <c r="E2626" t="str">
        <f>HYPERLINK("J:\Depot - mpkCCD Fractions\Main Web Page\Web Pages_old\proteomic_fractions_linear_files/Yang_linear_img/269784709.jpg","show blot")</f>
        <v>show blot</v>
      </c>
      <c r="G2626" t="s">
        <v>2601</v>
      </c>
      <c r="I2626" s="6">
        <v>2.9481270187726478</v>
      </c>
      <c r="K2626" s="8"/>
    </row>
    <row r="2627" spans="1:11" ht="15" x14ac:dyDescent="0.25">
      <c r="A2627" s="3" t="str">
        <f>HYPERLINK("proteomic_fractions_linear_files/Yang_linear_img/6753944.jpg", "6753944")</f>
        <v>6753944</v>
      </c>
      <c r="C2627" s="3" t="str">
        <f>HYPERLINK("http://www.ncbi.nlm.nih.gov/protein/6753944","Gamt")</f>
        <v>Gamt</v>
      </c>
      <c r="E2627" t="str">
        <f>HYPERLINK("J:\Depot - mpkCCD Fractions\Main Web Page\Web Pages_old\proteomic_fractions_linear_files/Yang_linear_img/6753944.jpg","show blot")</f>
        <v>show blot</v>
      </c>
      <c r="G2627" t="s">
        <v>2602</v>
      </c>
      <c r="I2627" s="6">
        <v>4.1764530913676499</v>
      </c>
      <c r="K2627" s="8"/>
    </row>
    <row r="2628" spans="1:11" ht="15" x14ac:dyDescent="0.25">
      <c r="A2628" s="3" t="str">
        <f>HYPERLINK("proteomic_fractions_linear_files/Yang_linear_img/6679891.jpg", "6679891")</f>
        <v>6679891</v>
      </c>
      <c r="C2628" s="3" t="str">
        <f>HYPERLINK("http://www.ncbi.nlm.nih.gov/protein/6679891","Ganab")</f>
        <v>Ganab</v>
      </c>
      <c r="E2628" t="str">
        <f>HYPERLINK("J:\Depot - mpkCCD Fractions\Main Web Page\Web Pages_old\proteomic_fractions_linear_files/Yang_linear_img/6679891.jpg","show blot")</f>
        <v>show blot</v>
      </c>
      <c r="G2628" t="s">
        <v>2603</v>
      </c>
      <c r="I2628" s="6">
        <v>6.0731244192583862</v>
      </c>
      <c r="K2628" s="8"/>
    </row>
    <row r="2629" spans="1:11" ht="15" x14ac:dyDescent="0.25">
      <c r="A2629" s="3" t="str">
        <f>HYPERLINK("proteomic_fractions_linear_files/Yang_linear_img/6679939.jpg", "6679939")</f>
        <v>6679939</v>
      </c>
      <c r="C2629" s="3" t="str">
        <f>HYPERLINK("http://www.ncbi.nlm.nih.gov/protein/6679939","Gapdhs")</f>
        <v>Gapdhs</v>
      </c>
      <c r="E2629" t="str">
        <f>HYPERLINK("J:\Depot - mpkCCD Fractions\Main Web Page\Web Pages_old\proteomic_fractions_linear_files/Yang_linear_img/6679939.jpg","show blot")</f>
        <v>show blot</v>
      </c>
      <c r="G2629" t="s">
        <v>2604</v>
      </c>
      <c r="I2629" s="6">
        <v>6.5614204467047799</v>
      </c>
      <c r="K2629" s="8"/>
    </row>
    <row r="2630" spans="1:11" ht="15" x14ac:dyDescent="0.25">
      <c r="A2630" s="3" t="str">
        <f>HYPERLINK("proteomic_fractions_linear_files/Yang_linear_img/40254514.jpg", "40254514")</f>
        <v>40254514</v>
      </c>
      <c r="C2630" s="3" t="str">
        <f>HYPERLINK("http://www.ncbi.nlm.nih.gov/protein/40254514","Gapvd1")</f>
        <v>Gapvd1</v>
      </c>
      <c r="E2630" t="str">
        <f>HYPERLINK("J:\Depot - mpkCCD Fractions\Main Web Page\Web Pages_old\proteomic_fractions_linear_files/Yang_linear_img/40254514.jpg","show blot")</f>
        <v>show blot</v>
      </c>
      <c r="G2630" t="s">
        <v>2605</v>
      </c>
      <c r="I2630" s="6">
        <v>3.7587328490407277</v>
      </c>
      <c r="K2630" s="8"/>
    </row>
    <row r="2631" spans="1:11" ht="15" x14ac:dyDescent="0.25">
      <c r="A2631" s="3" t="str">
        <f>HYPERLINK("proteomic_fractions_linear_files/Yang_linear_img/13384710.jpg", "13384710")</f>
        <v>13384710</v>
      </c>
      <c r="C2631" s="3" t="str">
        <f>HYPERLINK("http://www.ncbi.nlm.nih.gov/protein/13384710","Gar1")</f>
        <v>Gar1</v>
      </c>
      <c r="E2631" t="str">
        <f>HYPERLINK("J:\Depot - mpkCCD Fractions\Main Web Page\Web Pages_old\proteomic_fractions_linear_files/Yang_linear_img/13384710.jpg","show blot")</f>
        <v>show blot</v>
      </c>
      <c r="G2631" t="s">
        <v>2606</v>
      </c>
      <c r="I2631" s="6">
        <v>4.0044269929874972</v>
      </c>
      <c r="K2631" s="8"/>
    </row>
    <row r="2632" spans="1:11" ht="15" x14ac:dyDescent="0.25">
      <c r="A2632" s="3" t="str">
        <f>HYPERLINK("proteomic_fractions_linear_files/Yang_linear_img/93102417.jpg", "93102417")</f>
        <v>93102417</v>
      </c>
      <c r="C2632" s="3" t="str">
        <f>HYPERLINK("http://www.ncbi.nlm.nih.gov/protein/93102417","Gars")</f>
        <v>Gars</v>
      </c>
      <c r="E2632" t="str">
        <f>HYPERLINK("J:\Depot - mpkCCD Fractions\Main Web Page\Web Pages_old\proteomic_fractions_linear_files/Yang_linear_img/93102417.jpg","show blot")</f>
        <v>show blot</v>
      </c>
      <c r="G2632" t="s">
        <v>2607</v>
      </c>
      <c r="I2632" s="6">
        <v>5.4838294972349457</v>
      </c>
      <c r="K2632" s="8"/>
    </row>
    <row r="2633" spans="1:11" ht="15" x14ac:dyDescent="0.25">
      <c r="A2633" s="3" t="str">
        <f>HYPERLINK("proteomic_fractions_linear_files/Yang_linear_img/93102415.jpg", "93102415")</f>
        <v>93102415</v>
      </c>
      <c r="C2633" s="3" t="str">
        <f>HYPERLINK("http://www.ncbi.nlm.nih.gov/protein/93102415","Gart")</f>
        <v>Gart</v>
      </c>
      <c r="E2633" t="str">
        <f>HYPERLINK("J:\Depot - mpkCCD Fractions\Main Web Page\Web Pages_old\proteomic_fractions_linear_files/Yang_linear_img/93102415.jpg","show blot")</f>
        <v>show blot</v>
      </c>
      <c r="G2633" t="s">
        <v>2608</v>
      </c>
      <c r="I2633" s="6">
        <v>5.6420356721889142</v>
      </c>
      <c r="K2633" s="8"/>
    </row>
    <row r="2634" spans="1:11" ht="15" x14ac:dyDescent="0.25">
      <c r="A2634" s="3" t="str">
        <f>HYPERLINK("proteomic_fractions_linear_files/Yang_linear_img/6679943.jpg", "6679943")</f>
        <v>6679943</v>
      </c>
      <c r="C2634" s="3" t="str">
        <f>HYPERLINK("http://www.ncbi.nlm.nih.gov/protein/6679943","Gas2")</f>
        <v>Gas2</v>
      </c>
      <c r="E2634" t="str">
        <f>HYPERLINK("J:\Depot - mpkCCD Fractions\Main Web Page\Web Pages_old\proteomic_fractions_linear_files/Yang_linear_img/6679943.jpg","show blot")</f>
        <v>show blot</v>
      </c>
      <c r="G2634" t="s">
        <v>2609</v>
      </c>
      <c r="I2634" s="6">
        <v>5.1508503666450896</v>
      </c>
      <c r="K2634" s="8"/>
    </row>
    <row r="2635" spans="1:11" ht="15" x14ac:dyDescent="0.25">
      <c r="A2635" s="3" t="str">
        <f>HYPERLINK("proteomic_fractions_linear_files/Yang_linear_img/120407058.jpg", "120407058")</f>
        <v>120407058</v>
      </c>
      <c r="C2635" s="3" t="str">
        <f>HYPERLINK("http://www.ncbi.nlm.nih.gov/protein/120407058","Gas2l3")</f>
        <v>Gas2l3</v>
      </c>
      <c r="E2635" t="str">
        <f>HYPERLINK("J:\Depot - mpkCCD Fractions\Main Web Page\Web Pages_old\proteomic_fractions_linear_files/Yang_linear_img/120407058.jpg","show blot")</f>
        <v>show blot</v>
      </c>
      <c r="G2635" t="s">
        <v>2610</v>
      </c>
      <c r="I2635" s="6">
        <v>4.825686691264389</v>
      </c>
      <c r="K2635" s="8"/>
    </row>
    <row r="2636" spans="1:11" ht="15" x14ac:dyDescent="0.25">
      <c r="A2636" s="3" t="str">
        <f>HYPERLINK("proteomic_fractions_linear_files/Yang_linear_img/21314854.jpg", "21314854")</f>
        <v>21314854</v>
      </c>
      <c r="C2636" s="3" t="str">
        <f>HYPERLINK("http://www.ncbi.nlm.nih.gov/protein/21314854","Gatad2b")</f>
        <v>Gatad2b</v>
      </c>
      <c r="E2636" t="str">
        <f>HYPERLINK("J:\Depot - mpkCCD Fractions\Main Web Page\Web Pages_old\proteomic_fractions_linear_files/Yang_linear_img/21314854.jpg","show blot")</f>
        <v>show blot</v>
      </c>
      <c r="G2636" t="s">
        <v>2611</v>
      </c>
      <c r="I2636" s="6">
        <v>4.8703244209655239</v>
      </c>
      <c r="K2636" s="8"/>
    </row>
    <row r="2637" spans="1:11" ht="15" x14ac:dyDescent="0.25">
      <c r="A2637" s="3" t="str">
        <f>HYPERLINK("proteomic_fractions_linear_files/Yang_linear_img/116734815.jpg", "116734815")</f>
        <v>116734815</v>
      </c>
      <c r="C2637" s="3" t="str">
        <f>HYPERLINK("http://www.ncbi.nlm.nih.gov/protein/116734815","Gba")</f>
        <v>Gba</v>
      </c>
      <c r="E2637" t="str">
        <f>HYPERLINK("J:\Depot - mpkCCD Fractions\Main Web Page\Web Pages_old\proteomic_fractions_linear_files/Yang_linear_img/116734815.jpg","show blot")</f>
        <v>show blot</v>
      </c>
      <c r="G2637" t="s">
        <v>2612</v>
      </c>
      <c r="I2637" s="6">
        <v>4.885972852359747</v>
      </c>
      <c r="K2637" s="8"/>
    </row>
    <row r="2638" spans="1:11" ht="15" x14ac:dyDescent="0.25">
      <c r="A2638" s="3" t="str">
        <f>HYPERLINK("proteomic_fractions_linear_files/Yang_linear_img/116734815;6679955.jpg", "116734815;6679955")</f>
        <v>116734815;6679955</v>
      </c>
      <c r="C2638" s="3" t="str">
        <f>HYPERLINK("http://www.ncbi.nlm.nih.gov/protein/116734815;6679955","Gba")</f>
        <v>Gba</v>
      </c>
      <c r="E2638" t="str">
        <f>HYPERLINK("J:\Depot - mpkCCD Fractions\Main Web Page\Web Pages_old\proteomic_fractions_linear_files/Yang_linear_img/116734815;6679955.jpg","show blot")</f>
        <v>show blot</v>
      </c>
      <c r="G2638" t="s">
        <v>2612</v>
      </c>
      <c r="I2638" s="6">
        <v>4.885972852359747</v>
      </c>
      <c r="K2638" s="8"/>
    </row>
    <row r="2639" spans="1:11" ht="15" x14ac:dyDescent="0.25">
      <c r="A2639" s="3" t="str">
        <f>HYPERLINK("proteomic_fractions_linear_files/Yang_linear_img/6679955;116734815.jpg", "6679955;116734815")</f>
        <v>6679955;116734815</v>
      </c>
      <c r="C2639" s="3" t="str">
        <f>HYPERLINK("http://www.ncbi.nlm.nih.gov/protein/6679955;116734815","Gba")</f>
        <v>Gba</v>
      </c>
      <c r="E2639" t="str">
        <f>HYPERLINK("J:\Depot - mpkCCD Fractions\Main Web Page\Web Pages_old\proteomic_fractions_linear_files/Yang_linear_img/6679955;116734815.jpg","show blot")</f>
        <v>show blot</v>
      </c>
      <c r="G2639" t="s">
        <v>2613</v>
      </c>
      <c r="I2639" s="6">
        <v>4.885972852359747</v>
      </c>
      <c r="K2639" s="8"/>
    </row>
    <row r="2640" spans="1:11" ht="15" x14ac:dyDescent="0.25">
      <c r="A2640" s="3" t="str">
        <f>HYPERLINK("proteomic_fractions_linear_files/Yang_linear_img/160298168.jpg", "160298168")</f>
        <v>160298168</v>
      </c>
      <c r="C2640" s="3" t="str">
        <f>HYPERLINK("http://www.ncbi.nlm.nih.gov/protein/160298168","Gbas")</f>
        <v>Gbas</v>
      </c>
      <c r="E2640" t="str">
        <f>HYPERLINK("J:\Depot - mpkCCD Fractions\Main Web Page\Web Pages_old\proteomic_fractions_linear_files/Yang_linear_img/160298168.jpg","show blot")</f>
        <v>show blot</v>
      </c>
      <c r="G2640" t="s">
        <v>2614</v>
      </c>
      <c r="I2640" s="6">
        <v>4.8373824911606009</v>
      </c>
      <c r="K2640" s="8"/>
    </row>
    <row r="2641" spans="1:11" ht="15" x14ac:dyDescent="0.25">
      <c r="A2641" s="3" t="str">
        <f>HYPERLINK("proteomic_fractions_linear_files/Yang_linear_img/17975508.jpg", "17975508")</f>
        <v>17975508</v>
      </c>
      <c r="C2641" s="3" t="str">
        <f>HYPERLINK("http://www.ncbi.nlm.nih.gov/protein/17975508","Gbe1")</f>
        <v>Gbe1</v>
      </c>
      <c r="E2641" t="str">
        <f>HYPERLINK("J:\Depot - mpkCCD Fractions\Main Web Page\Web Pages_old\proteomic_fractions_linear_files/Yang_linear_img/17975508.jpg","show blot")</f>
        <v>show blot</v>
      </c>
      <c r="G2641" t="s">
        <v>2615</v>
      </c>
      <c r="I2641" s="6">
        <v>4.6029934272515414</v>
      </c>
      <c r="K2641" s="8"/>
    </row>
    <row r="2642" spans="1:11" ht="15" x14ac:dyDescent="0.25">
      <c r="A2642" s="3" t="str">
        <f>HYPERLINK("proteomic_fractions_linear_files/Yang_linear_img/52138536.jpg", "52138536")</f>
        <v>52138536</v>
      </c>
      <c r="C2642" s="3" t="str">
        <f>HYPERLINK("http://www.ncbi.nlm.nih.gov/protein/52138536","Gbf1")</f>
        <v>Gbf1</v>
      </c>
      <c r="E2642" t="str">
        <f>HYPERLINK("J:\Depot - mpkCCD Fractions\Main Web Page\Web Pages_old\proteomic_fractions_linear_files/Yang_linear_img/52138536.jpg","show blot")</f>
        <v>show blot</v>
      </c>
      <c r="G2642" t="s">
        <v>2616</v>
      </c>
      <c r="I2642" s="6">
        <v>4.532230710348343</v>
      </c>
      <c r="K2642" s="8"/>
    </row>
    <row r="2643" spans="1:11" ht="15" x14ac:dyDescent="0.25">
      <c r="A2643" s="3" t="str">
        <f>HYPERLINK("proteomic_fractions_linear_files/Yang_linear_img/116812914.jpg", "116812914")</f>
        <v>116812914</v>
      </c>
      <c r="C2643" s="3" t="str">
        <f>HYPERLINK("http://www.ncbi.nlm.nih.gov/protein/116812914","Gbp10")</f>
        <v>Gbp10</v>
      </c>
      <c r="E2643" t="str">
        <f>HYPERLINK("J:\Depot - mpkCCD Fractions\Main Web Page\Web Pages_old\proteomic_fractions_linear_files/Yang_linear_img/116812914.jpg","show blot")</f>
        <v>show blot</v>
      </c>
      <c r="G2643" t="s">
        <v>2617</v>
      </c>
      <c r="I2643" s="6">
        <v>3.9292622687409597</v>
      </c>
      <c r="K2643" s="8"/>
    </row>
    <row r="2644" spans="1:11" ht="15" x14ac:dyDescent="0.25">
      <c r="A2644" s="3" t="str">
        <f>HYPERLINK("proteomic_fractions_linear_files/Yang_linear_img/225007564.jpg", "225007564")</f>
        <v>225007564</v>
      </c>
      <c r="C2644" s="3" t="str">
        <f>HYPERLINK("http://www.ncbi.nlm.nih.gov/protein/225007564","Gbp11")</f>
        <v>Gbp11</v>
      </c>
      <c r="E2644" t="str">
        <f>HYPERLINK("J:\Depot - mpkCCD Fractions\Main Web Page\Web Pages_old\proteomic_fractions_linear_files/Yang_linear_img/225007564.jpg","show blot")</f>
        <v>show blot</v>
      </c>
      <c r="G2644" t="s">
        <v>2618</v>
      </c>
      <c r="I2644" s="6">
        <v>3.8180740568059055</v>
      </c>
      <c r="K2644" s="8"/>
    </row>
    <row r="2645" spans="1:11" ht="15" x14ac:dyDescent="0.25">
      <c r="A2645" s="3" t="str">
        <f>HYPERLINK("proteomic_fractions_linear_files/Yang_linear_img/134053871.jpg", "134053871")</f>
        <v>134053871</v>
      </c>
      <c r="C2645" s="3" t="str">
        <f>HYPERLINK("http://www.ncbi.nlm.nih.gov/protein/134053871","Gbp3")</f>
        <v>Gbp3</v>
      </c>
      <c r="E2645" t="str">
        <f>HYPERLINK("J:\Depot - mpkCCD Fractions\Main Web Page\Web Pages_old\proteomic_fractions_linear_files/Yang_linear_img/134053871.jpg","show blot")</f>
        <v>show blot</v>
      </c>
      <c r="G2645" t="s">
        <v>2619</v>
      </c>
      <c r="I2645" s="6">
        <v>2.445980705316479</v>
      </c>
      <c r="K2645" s="8"/>
    </row>
    <row r="2646" spans="1:11" ht="15" x14ac:dyDescent="0.25">
      <c r="A2646" s="3" t="str">
        <f>HYPERLINK("proteomic_fractions_linear_files/Yang_linear_img/126157521.jpg", "126157521")</f>
        <v>126157521</v>
      </c>
      <c r="C2646" s="3" t="str">
        <f>HYPERLINK("http://www.ncbi.nlm.nih.gov/protein/126157521","Gbp4")</f>
        <v>Gbp4</v>
      </c>
      <c r="E2646" t="str">
        <f>HYPERLINK("J:\Depot - mpkCCD Fractions\Main Web Page\Web Pages_old\proteomic_fractions_linear_files/Yang_linear_img/126157521.jpg","show blot")</f>
        <v>show blot</v>
      </c>
      <c r="G2646" t="s">
        <v>2620</v>
      </c>
      <c r="I2646" s="6">
        <v>4.1285163991130513</v>
      </c>
      <c r="K2646" s="8"/>
    </row>
    <row r="2647" spans="1:11" ht="15" x14ac:dyDescent="0.25">
      <c r="A2647" s="3" t="str">
        <f>HYPERLINK("proteomic_fractions_linear_files/Yang_linear_img/365192570.jpg", "365192570")</f>
        <v>365192570</v>
      </c>
      <c r="C2647" s="3" t="str">
        <f>HYPERLINK("http://www.ncbi.nlm.nih.gov/protein/365192570","Gbp4")</f>
        <v>Gbp4</v>
      </c>
      <c r="E2647" t="str">
        <f>HYPERLINK("J:\Depot - mpkCCD Fractions\Main Web Page\Web Pages_old\proteomic_fractions_linear_files/Yang_linear_img/365192570.jpg","show blot")</f>
        <v>show blot</v>
      </c>
      <c r="G2647" t="s">
        <v>2621</v>
      </c>
      <c r="I2647" s="6">
        <v>4.1285163991130513</v>
      </c>
      <c r="K2647" s="8"/>
    </row>
    <row r="2648" spans="1:11" ht="15" x14ac:dyDescent="0.25">
      <c r="A2648" s="3" t="str">
        <f>HYPERLINK("proteomic_fractions_linear_files/Yang_linear_img/170650637.jpg", "170650637")</f>
        <v>170650637</v>
      </c>
      <c r="C2648" s="3" t="str">
        <f>HYPERLINK("http://www.ncbi.nlm.nih.gov/protein/170650637","Gbp6")</f>
        <v>Gbp6</v>
      </c>
      <c r="E2648" t="str">
        <f>HYPERLINK("J:\Depot - mpkCCD Fractions\Main Web Page\Web Pages_old\proteomic_fractions_linear_files/Yang_linear_img/170650637.jpg","show blot")</f>
        <v>show blot</v>
      </c>
      <c r="G2648" t="s">
        <v>2622</v>
      </c>
      <c r="I2648" s="6">
        <v>3.9292622687409597</v>
      </c>
      <c r="K2648" s="8"/>
    </row>
    <row r="2649" spans="1:11" ht="15" x14ac:dyDescent="0.25">
      <c r="A2649" s="3" t="str">
        <f>HYPERLINK("proteomic_fractions_linear_files/Yang_linear_img/134031974.jpg", "134031974")</f>
        <v>134031974</v>
      </c>
      <c r="C2649" s="3" t="str">
        <f>HYPERLINK("http://www.ncbi.nlm.nih.gov/protein/134031974","Gbp7")</f>
        <v>Gbp7</v>
      </c>
      <c r="E2649" t="str">
        <f>HYPERLINK("J:\Depot - mpkCCD Fractions\Main Web Page\Web Pages_old\proteomic_fractions_linear_files/Yang_linear_img/134031974.jpg","show blot")</f>
        <v>show blot</v>
      </c>
      <c r="G2649" t="s">
        <v>2623</v>
      </c>
      <c r="I2649" s="6">
        <v>2.4339161939150982</v>
      </c>
      <c r="K2649" s="8"/>
    </row>
    <row r="2650" spans="1:11" ht="15" x14ac:dyDescent="0.25">
      <c r="A2650" s="3" t="str">
        <f>HYPERLINK("proteomic_fractions_linear_files/Yang_linear_img/83776551.jpg", "83776551")</f>
        <v>83776551</v>
      </c>
      <c r="C2650" s="3" t="str">
        <f>HYPERLINK("http://www.ncbi.nlm.nih.gov/protein/83776551","Gbp8")</f>
        <v>Gbp8</v>
      </c>
      <c r="E2650" t="str">
        <f>HYPERLINK("J:\Depot - mpkCCD Fractions\Main Web Page\Web Pages_old\proteomic_fractions_linear_files/Yang_linear_img/83776551.jpg","show blot")</f>
        <v>show blot</v>
      </c>
      <c r="G2650" t="s">
        <v>2624</v>
      </c>
      <c r="I2650" s="6">
        <v>3.9759680009052079</v>
      </c>
      <c r="K2650" s="8"/>
    </row>
    <row r="2651" spans="1:11" ht="15" x14ac:dyDescent="0.25">
      <c r="A2651" s="3" t="str">
        <f>HYPERLINK("proteomic_fractions_linear_files/Yang_linear_img/27370144.jpg", "27370144")</f>
        <v>27370144</v>
      </c>
      <c r="C2651" s="3" t="str">
        <f>HYPERLINK("http://www.ncbi.nlm.nih.gov/protein/27370144","Gbp9")</f>
        <v>Gbp9</v>
      </c>
      <c r="E2651" t="str">
        <f>HYPERLINK("J:\Depot - mpkCCD Fractions\Main Web Page\Web Pages_old\proteomic_fractions_linear_files/Yang_linear_img/27370144.jpg","show blot")</f>
        <v>show blot</v>
      </c>
      <c r="G2651" t="s">
        <v>2625</v>
      </c>
      <c r="I2651" s="6">
        <v>4.1792671570917888</v>
      </c>
      <c r="K2651" s="8"/>
    </row>
    <row r="2652" spans="1:11" ht="15" x14ac:dyDescent="0.25">
      <c r="A2652" s="3" t="str">
        <f>HYPERLINK("proteomic_fractions_linear_files/Yang_linear_img/21704030.jpg", "21704030")</f>
        <v>21704030</v>
      </c>
      <c r="C2652" s="3" t="str">
        <f>HYPERLINK("http://www.ncbi.nlm.nih.gov/protein/21704030","Gca")</f>
        <v>Gca</v>
      </c>
      <c r="E2652" t="str">
        <f>HYPERLINK("J:\Depot - mpkCCD Fractions\Main Web Page\Web Pages_old\proteomic_fractions_linear_files/Yang_linear_img/21704030.jpg","show blot")</f>
        <v>show blot</v>
      </c>
      <c r="G2652" t="s">
        <v>2626</v>
      </c>
      <c r="I2652" s="6">
        <v>4.8578082754061613</v>
      </c>
      <c r="K2652" s="8"/>
    </row>
    <row r="2653" spans="1:11" ht="15" x14ac:dyDescent="0.25">
      <c r="A2653" s="3" t="str">
        <f>HYPERLINK("proteomic_fractions_linear_files/Yang_linear_img/240120117.jpg", "240120117")</f>
        <v>240120117</v>
      </c>
      <c r="C2653" s="3" t="str">
        <f>HYPERLINK("http://www.ncbi.nlm.nih.gov/protein/240120117","Gcat")</f>
        <v>Gcat</v>
      </c>
      <c r="E2653" t="str">
        <f>HYPERLINK("J:\Depot - mpkCCD Fractions\Main Web Page\Web Pages_old\proteomic_fractions_linear_files/Yang_linear_img/240120117.jpg","show blot")</f>
        <v>show blot</v>
      </c>
      <c r="G2653" t="s">
        <v>2627</v>
      </c>
      <c r="I2653" s="6">
        <v>4.9798414337757508</v>
      </c>
      <c r="K2653" s="8"/>
    </row>
    <row r="2654" spans="1:11" ht="15" x14ac:dyDescent="0.25">
      <c r="A2654" s="3" t="str">
        <f>HYPERLINK("proteomic_fractions_linear_files/Yang_linear_img/240120119.jpg", "240120119")</f>
        <v>240120119</v>
      </c>
      <c r="C2654" s="3" t="str">
        <f>HYPERLINK("http://www.ncbi.nlm.nih.gov/protein/240120119","Gcat")</f>
        <v>Gcat</v>
      </c>
      <c r="E2654" t="str">
        <f>HYPERLINK("J:\Depot - mpkCCD Fractions\Main Web Page\Web Pages_old\proteomic_fractions_linear_files/Yang_linear_img/240120119.jpg","show blot")</f>
        <v>show blot</v>
      </c>
      <c r="G2654" t="s">
        <v>2628</v>
      </c>
      <c r="I2654" s="6">
        <v>4.9798414337757508</v>
      </c>
      <c r="K2654" s="8"/>
    </row>
    <row r="2655" spans="1:11" ht="15" x14ac:dyDescent="0.25">
      <c r="A2655" s="3" t="str">
        <f>HYPERLINK("proteomic_fractions_linear_files/Yang_linear_img/268370067.jpg", "268370067")</f>
        <v>268370067</v>
      </c>
      <c r="C2655" s="3" t="str">
        <f>HYPERLINK("http://www.ncbi.nlm.nih.gov/protein/268370067","Gcc1")</f>
        <v>Gcc1</v>
      </c>
      <c r="E2655" t="str">
        <f>HYPERLINK("J:\Depot - mpkCCD Fractions\Main Web Page\Web Pages_old\proteomic_fractions_linear_files/Yang_linear_img/268370067.jpg","show blot")</f>
        <v>show blot</v>
      </c>
      <c r="G2655" t="s">
        <v>2629</v>
      </c>
      <c r="I2655" s="6">
        <v>3.5853912719802361</v>
      </c>
      <c r="K2655" s="8"/>
    </row>
    <row r="2656" spans="1:11" ht="15" x14ac:dyDescent="0.25">
      <c r="A2656" s="3" t="str">
        <f>HYPERLINK("proteomic_fractions_linear_files/Yang_linear_img/61742806.jpg", "61742806")</f>
        <v>61742806</v>
      </c>
      <c r="C2656" s="3" t="str">
        <f>HYPERLINK("http://www.ncbi.nlm.nih.gov/protein/61742806","Gcc2")</f>
        <v>Gcc2</v>
      </c>
      <c r="E2656" t="str">
        <f>HYPERLINK("J:\Depot - mpkCCD Fractions\Main Web Page\Web Pages_old\proteomic_fractions_linear_files/Yang_linear_img/61742806.jpg","show blot")</f>
        <v>show blot</v>
      </c>
      <c r="G2656" t="s">
        <v>2630</v>
      </c>
      <c r="I2656" s="6">
        <v>4.3187695137289808</v>
      </c>
      <c r="K2656" s="8"/>
    </row>
    <row r="2657" spans="1:11" ht="15" x14ac:dyDescent="0.25">
      <c r="A2657" s="3" t="str">
        <f>HYPERLINK("proteomic_fractions_linear_files/Yang_linear_img/390190196.jpg", "390190196")</f>
        <v>390190196</v>
      </c>
      <c r="C2657" s="3" t="str">
        <f>HYPERLINK("http://www.ncbi.nlm.nih.gov/protein/390190196","Gcdh")</f>
        <v>Gcdh</v>
      </c>
      <c r="E2657" t="str">
        <f>HYPERLINK("J:\Depot - mpkCCD Fractions\Main Web Page\Web Pages_old\proteomic_fractions_linear_files/Yang_linear_img/390190196.jpg","show blot")</f>
        <v>show blot</v>
      </c>
      <c r="G2657" t="s">
        <v>2631</v>
      </c>
      <c r="I2657" s="6">
        <v>3.9497560899861019</v>
      </c>
      <c r="K2657" s="8"/>
    </row>
    <row r="2658" spans="1:11" ht="15" x14ac:dyDescent="0.25">
      <c r="A2658" s="3" t="str">
        <f>HYPERLINK("proteomic_fractions_linear_files/Yang_linear_img/33468897.jpg", "33468897")</f>
        <v>33468897</v>
      </c>
      <c r="C2658" s="3" t="str">
        <f>HYPERLINK("http://www.ncbi.nlm.nih.gov/protein/33468897","Gclc")</f>
        <v>Gclc</v>
      </c>
      <c r="E2658" t="str">
        <f>HYPERLINK("J:\Depot - mpkCCD Fractions\Main Web Page\Web Pages_old\proteomic_fractions_linear_files/Yang_linear_img/33468897.jpg","show blot")</f>
        <v>show blot</v>
      </c>
      <c r="G2658" t="s">
        <v>2632</v>
      </c>
      <c r="I2658" s="6">
        <v>4.6971417967379159</v>
      </c>
      <c r="K2658" s="8"/>
    </row>
    <row r="2659" spans="1:11" ht="15" x14ac:dyDescent="0.25">
      <c r="A2659" s="3" t="str">
        <f>HYPERLINK("proteomic_fractions_linear_files/Yang_linear_img/6680019.jpg", "6680019")</f>
        <v>6680019</v>
      </c>
      <c r="C2659" s="3" t="str">
        <f>HYPERLINK("http://www.ncbi.nlm.nih.gov/protein/6680019","Gclm")</f>
        <v>Gclm</v>
      </c>
      <c r="E2659" t="str">
        <f>HYPERLINK("J:\Depot - mpkCCD Fractions\Main Web Page\Web Pages_old\proteomic_fractions_linear_files/Yang_linear_img/6680019.jpg","show blot")</f>
        <v>show blot</v>
      </c>
      <c r="G2659" t="s">
        <v>2633</v>
      </c>
      <c r="I2659" s="6">
        <v>5.472494848537246</v>
      </c>
      <c r="K2659" s="8"/>
    </row>
    <row r="2660" spans="1:11" ht="15" x14ac:dyDescent="0.25">
      <c r="A2660" s="3" t="str">
        <f>HYPERLINK("proteomic_fractions_linear_files/Yang_linear_img/112807186.jpg", "112807186")</f>
        <v>112807186</v>
      </c>
      <c r="C2660" s="3" t="str">
        <f>HYPERLINK("http://www.ncbi.nlm.nih.gov/protein/112807186","Gcn1l1")</f>
        <v>Gcn1l1</v>
      </c>
      <c r="E2660" t="str">
        <f>HYPERLINK("J:\Depot - mpkCCD Fractions\Main Web Page\Web Pages_old\proteomic_fractions_linear_files/Yang_linear_img/112807186.jpg","show blot")</f>
        <v>show blot</v>
      </c>
      <c r="G2660" t="s">
        <v>2634</v>
      </c>
      <c r="I2660" s="6">
        <v>5.4648832989403315</v>
      </c>
      <c r="K2660" s="8"/>
    </row>
    <row r="2661" spans="1:11" ht="15" x14ac:dyDescent="0.25">
      <c r="A2661" s="3" t="str">
        <f>HYPERLINK("proteomic_fractions_linear_files/Yang_linear_img/210147589.jpg", "210147589")</f>
        <v>210147589</v>
      </c>
      <c r="C2661" s="3" t="str">
        <f>HYPERLINK("http://www.ncbi.nlm.nih.gov/protein/210147589","Gcnt1")</f>
        <v>Gcnt1</v>
      </c>
      <c r="E2661" t="str">
        <f>HYPERLINK("J:\Depot - mpkCCD Fractions\Main Web Page\Web Pages_old\proteomic_fractions_linear_files/Yang_linear_img/210147589.jpg","show blot")</f>
        <v>show blot</v>
      </c>
      <c r="G2661" t="s">
        <v>2635</v>
      </c>
      <c r="I2661" s="6">
        <v>3.4110078343776999</v>
      </c>
      <c r="K2661" s="8"/>
    </row>
    <row r="2662" spans="1:11" ht="15" x14ac:dyDescent="0.25">
      <c r="A2662" s="3" t="str">
        <f>HYPERLINK("proteomic_fractions_linear_files/Yang_linear_img/459352743.jpg", "459352743")</f>
        <v>459352743</v>
      </c>
      <c r="C2662" s="3" t="str">
        <f>HYPERLINK("http://www.ncbi.nlm.nih.gov/protein/459352743","Gcnt1")</f>
        <v>Gcnt1</v>
      </c>
      <c r="E2662" t="str">
        <f>HYPERLINK("J:\Depot - mpkCCD Fractions\Main Web Page\Web Pages_old\proteomic_fractions_linear_files/Yang_linear_img/459352743.jpg","show blot")</f>
        <v>show blot</v>
      </c>
      <c r="G2662" t="s">
        <v>2635</v>
      </c>
      <c r="I2662" s="6">
        <v>3.4110078343776999</v>
      </c>
      <c r="K2662" s="8"/>
    </row>
    <row r="2663" spans="1:11" ht="15" x14ac:dyDescent="0.25">
      <c r="A2663" s="3" t="str">
        <f>HYPERLINK("proteomic_fractions_linear_files/Yang_linear_img/13386066.jpg", "13386066")</f>
        <v>13386066</v>
      </c>
      <c r="C2663" s="3" t="str">
        <f>HYPERLINK("http://www.ncbi.nlm.nih.gov/protein/13386066","Gcsh")</f>
        <v>Gcsh</v>
      </c>
      <c r="E2663" t="str">
        <f>HYPERLINK("J:\Depot - mpkCCD Fractions\Main Web Page\Web Pages_old\proteomic_fractions_linear_files/Yang_linear_img/13386066.jpg","show blot")</f>
        <v>show blot</v>
      </c>
      <c r="G2663" t="s">
        <v>2636</v>
      </c>
      <c r="I2663" s="6">
        <v>4.6751392000238114</v>
      </c>
      <c r="K2663" s="8"/>
    </row>
    <row r="2664" spans="1:11" ht="15" x14ac:dyDescent="0.25">
      <c r="A2664" s="3" t="str">
        <f>HYPERLINK("proteomic_fractions_linear_files/Yang_linear_img/22094097.jpg", "22094097")</f>
        <v>22094097</v>
      </c>
      <c r="C2664" s="3" t="str">
        <f>HYPERLINK("http://www.ncbi.nlm.nih.gov/protein/22094097","Gdap2")</f>
        <v>Gdap2</v>
      </c>
      <c r="E2664" t="str">
        <f>HYPERLINK("J:\Depot - mpkCCD Fractions\Main Web Page\Web Pages_old\proteomic_fractions_linear_files/Yang_linear_img/22094097.jpg","show blot")</f>
        <v>show blot</v>
      </c>
      <c r="G2664" t="s">
        <v>2637</v>
      </c>
      <c r="I2664" s="6">
        <v>3.7953673710550424</v>
      </c>
      <c r="K2664" s="8"/>
    </row>
    <row r="2665" spans="1:11" ht="15" x14ac:dyDescent="0.25">
      <c r="A2665" s="3" t="str">
        <f>HYPERLINK("proteomic_fractions_linear_files/Yang_linear_img/9625018.jpg", "9625018")</f>
        <v>9625018</v>
      </c>
      <c r="C2665" s="3" t="str">
        <f>HYPERLINK("http://www.ncbi.nlm.nih.gov/protein/9625018","Gde1")</f>
        <v>Gde1</v>
      </c>
      <c r="E2665" t="str">
        <f>HYPERLINK("J:\Depot - mpkCCD Fractions\Main Web Page\Web Pages_old\proteomic_fractions_linear_files/Yang_linear_img/9625018.jpg","show blot")</f>
        <v>show blot</v>
      </c>
      <c r="G2665" t="s">
        <v>2638</v>
      </c>
      <c r="I2665" s="6">
        <v>3.0940386376122708</v>
      </c>
      <c r="K2665" s="8"/>
    </row>
    <row r="2666" spans="1:11" ht="15" x14ac:dyDescent="0.25">
      <c r="A2666" s="3" t="str">
        <f>HYPERLINK("proteomic_fractions_linear_files/Yang_linear_img/75677587.jpg", "75677587")</f>
        <v>75677587</v>
      </c>
      <c r="C2666" s="3" t="str">
        <f>HYPERLINK("http://www.ncbi.nlm.nih.gov/protein/75677587","Gdf3")</f>
        <v>Gdf3</v>
      </c>
      <c r="E2666" t="str">
        <f>HYPERLINK("J:\Depot - mpkCCD Fractions\Main Web Page\Web Pages_old\proteomic_fractions_linear_files/Yang_linear_img/75677587.jpg","show blot")</f>
        <v>show blot</v>
      </c>
      <c r="G2666" t="s">
        <v>2639</v>
      </c>
      <c r="I2666" s="6">
        <v>5.5809750586885283</v>
      </c>
      <c r="K2666" s="8"/>
    </row>
    <row r="2667" spans="1:11" ht="15" x14ac:dyDescent="0.25">
      <c r="A2667" s="3" t="str">
        <f>HYPERLINK("proteomic_fractions_linear_files/Yang_linear_img/33859560.jpg", "33859560")</f>
        <v>33859560</v>
      </c>
      <c r="C2667" s="3" t="str">
        <f>HYPERLINK("http://www.ncbi.nlm.nih.gov/protein/33859560","Gdi1")</f>
        <v>Gdi1</v>
      </c>
      <c r="E2667" t="str">
        <f>HYPERLINK("J:\Depot - mpkCCD Fractions\Main Web Page\Web Pages_old\proteomic_fractions_linear_files/Yang_linear_img/33859560.jpg","show blot")</f>
        <v>show blot</v>
      </c>
      <c r="G2667" t="s">
        <v>2640</v>
      </c>
      <c r="I2667" s="6">
        <v>6.5069276542102301</v>
      </c>
      <c r="K2667" s="8"/>
    </row>
    <row r="2668" spans="1:11" ht="15" x14ac:dyDescent="0.25">
      <c r="A2668" s="3" t="str">
        <f>HYPERLINK("proteomic_fractions_linear_files/Yang_linear_img/116089273.jpg", "116089273")</f>
        <v>116089273</v>
      </c>
      <c r="C2668" s="3" t="str">
        <f>HYPERLINK("http://www.ncbi.nlm.nih.gov/protein/116089273","Gdi2")</f>
        <v>Gdi2</v>
      </c>
      <c r="E2668" t="str">
        <f>HYPERLINK("J:\Depot - mpkCCD Fractions\Main Web Page\Web Pages_old\proteomic_fractions_linear_files/Yang_linear_img/116089273.jpg","show blot")</f>
        <v>show blot</v>
      </c>
      <c r="G2668" t="s">
        <v>2641</v>
      </c>
      <c r="I2668" s="6">
        <v>6.7163882332487486</v>
      </c>
      <c r="K2668" s="8"/>
    </row>
    <row r="2669" spans="1:11" ht="15" x14ac:dyDescent="0.25">
      <c r="A2669" s="3" t="str">
        <f>HYPERLINK("proteomic_fractions_linear_files/Yang_linear_img/23956140.jpg", "23956140")</f>
        <v>23956140</v>
      </c>
      <c r="C2669" s="3" t="str">
        <f>HYPERLINK("http://www.ncbi.nlm.nih.gov/protein/23956140","Gdpd1")</f>
        <v>Gdpd1</v>
      </c>
      <c r="E2669" t="str">
        <f>HYPERLINK("J:\Depot - mpkCCD Fractions\Main Web Page\Web Pages_old\proteomic_fractions_linear_files/Yang_linear_img/23956140.jpg","show blot")</f>
        <v>show blot</v>
      </c>
      <c r="G2669" t="s">
        <v>2642</v>
      </c>
      <c r="I2669" s="6">
        <v>4.5922498669249814</v>
      </c>
      <c r="K2669" s="8"/>
    </row>
    <row r="2670" spans="1:11" ht="15" x14ac:dyDescent="0.25">
      <c r="A2670" s="3" t="str">
        <f>HYPERLINK("proteomic_fractions_linear_files/Yang_linear_img/110431346.jpg", "110431346")</f>
        <v>110431346</v>
      </c>
      <c r="C2670" s="3" t="str">
        <f>HYPERLINK("http://www.ncbi.nlm.nih.gov/protein/110431346","Gdpd3")</f>
        <v>Gdpd3</v>
      </c>
      <c r="E2670" t="str">
        <f>HYPERLINK("J:\Depot - mpkCCD Fractions\Main Web Page\Web Pages_old\proteomic_fractions_linear_files/Yang_linear_img/110431346.jpg","show blot")</f>
        <v>show blot</v>
      </c>
      <c r="G2670" t="s">
        <v>2643</v>
      </c>
      <c r="I2670" s="6">
        <v>4.873512568568561</v>
      </c>
      <c r="K2670" s="8"/>
    </row>
    <row r="2671" spans="1:11" ht="15" x14ac:dyDescent="0.25">
      <c r="A2671" s="3" t="str">
        <f>HYPERLINK("proteomic_fractions_linear_files/Yang_linear_img/153792166.jpg", "153792166")</f>
        <v>153792166</v>
      </c>
      <c r="C2671" s="3" t="str">
        <f>HYPERLINK("http://www.ncbi.nlm.nih.gov/protein/153792166","Gemin2")</f>
        <v>Gemin2</v>
      </c>
      <c r="E2671" t="str">
        <f>HYPERLINK("J:\Depot - mpkCCD Fractions\Main Web Page\Web Pages_old\proteomic_fractions_linear_files/Yang_linear_img/153792166.jpg","show blot")</f>
        <v>show blot</v>
      </c>
      <c r="G2671" t="s">
        <v>2644</v>
      </c>
      <c r="I2671" s="6">
        <v>3.9363433125062262</v>
      </c>
      <c r="K2671" s="8"/>
    </row>
    <row r="2672" spans="1:11" ht="15" x14ac:dyDescent="0.25">
      <c r="A2672" s="3" t="str">
        <f>HYPERLINK("proteomic_fractions_linear_files/Yang_linear_img/262331526.jpg", "262331526")</f>
        <v>262331526</v>
      </c>
      <c r="C2672" s="3" t="str">
        <f>HYPERLINK("http://www.ncbi.nlm.nih.gov/protein/262331526","Gemin4")</f>
        <v>Gemin4</v>
      </c>
      <c r="E2672" t="str">
        <f>HYPERLINK("J:\Depot - mpkCCD Fractions\Main Web Page\Web Pages_old\proteomic_fractions_linear_files/Yang_linear_img/262331526.jpg","show blot")</f>
        <v>show blot</v>
      </c>
      <c r="G2672" t="s">
        <v>2645</v>
      </c>
      <c r="I2672" s="6">
        <v>4.3500340881683535</v>
      </c>
      <c r="K2672" s="8"/>
    </row>
    <row r="2673" spans="1:11" ht="15" x14ac:dyDescent="0.25">
      <c r="A2673" s="3" t="str">
        <f>HYPERLINK("proteomic_fractions_linear_files/Yang_linear_img/262263297.jpg", "262263297")</f>
        <v>262263297</v>
      </c>
      <c r="C2673" s="3" t="str">
        <f>HYPERLINK("http://www.ncbi.nlm.nih.gov/protein/262263297","Gemin5")</f>
        <v>Gemin5</v>
      </c>
      <c r="E2673" t="str">
        <f>HYPERLINK("J:\Depot - mpkCCD Fractions\Main Web Page\Web Pages_old\proteomic_fractions_linear_files/Yang_linear_img/262263297.jpg","show blot")</f>
        <v>show blot</v>
      </c>
      <c r="G2673" t="s">
        <v>2646</v>
      </c>
      <c r="I2673" s="6">
        <v>4.0796022505938767</v>
      </c>
      <c r="K2673" s="8"/>
    </row>
    <row r="2674" spans="1:11" ht="15" x14ac:dyDescent="0.25">
      <c r="A2674" s="3" t="str">
        <f>HYPERLINK("proteomic_fractions_linear_files/Yang_linear_img/262263299.jpg", "262263299")</f>
        <v>262263299</v>
      </c>
      <c r="C2674" s="3" t="str">
        <f>HYPERLINK("http://www.ncbi.nlm.nih.gov/protein/262263299","Gemin5")</f>
        <v>Gemin5</v>
      </c>
      <c r="E2674" t="str">
        <f>HYPERLINK("J:\Depot - mpkCCD Fractions\Main Web Page\Web Pages_old\proteomic_fractions_linear_files/Yang_linear_img/262263299.jpg","show blot")</f>
        <v>show blot</v>
      </c>
      <c r="G2674" t="s">
        <v>2647</v>
      </c>
      <c r="I2674" s="6">
        <v>4.0796022505938767</v>
      </c>
      <c r="K2674" s="8"/>
    </row>
    <row r="2675" spans="1:11" ht="15" x14ac:dyDescent="0.25">
      <c r="A2675" s="3" t="str">
        <f>HYPERLINK("proteomic_fractions_linear_files/Yang_linear_img/262263301.jpg", "262263301")</f>
        <v>262263301</v>
      </c>
      <c r="C2675" s="3" t="str">
        <f>HYPERLINK("http://www.ncbi.nlm.nih.gov/protein/262263301","Gemin5")</f>
        <v>Gemin5</v>
      </c>
      <c r="E2675" t="str">
        <f>HYPERLINK("J:\Depot - mpkCCD Fractions\Main Web Page\Web Pages_old\proteomic_fractions_linear_files/Yang_linear_img/262263301.jpg","show blot")</f>
        <v>show blot</v>
      </c>
      <c r="G2675" t="s">
        <v>2648</v>
      </c>
      <c r="I2675" s="6">
        <v>4.0796022505938767</v>
      </c>
      <c r="K2675" s="8"/>
    </row>
    <row r="2676" spans="1:11" ht="15" x14ac:dyDescent="0.25">
      <c r="A2676" s="3" t="str">
        <f>HYPERLINK("proteomic_fractions_linear_files/Yang_linear_img/262263303.jpg", "262263303")</f>
        <v>262263303</v>
      </c>
      <c r="C2676" s="3" t="str">
        <f>HYPERLINK("http://www.ncbi.nlm.nih.gov/protein/262263303","Gemin5")</f>
        <v>Gemin5</v>
      </c>
      <c r="E2676" t="str">
        <f>HYPERLINK("J:\Depot - mpkCCD Fractions\Main Web Page\Web Pages_old\proteomic_fractions_linear_files/Yang_linear_img/262263303.jpg","show blot")</f>
        <v>show blot</v>
      </c>
      <c r="G2676" t="s">
        <v>2649</v>
      </c>
      <c r="I2676" s="6">
        <v>4.0796022505938767</v>
      </c>
      <c r="K2676" s="8"/>
    </row>
    <row r="2677" spans="1:11" ht="15" x14ac:dyDescent="0.25">
      <c r="A2677" s="3" t="str">
        <f>HYPERLINK("proteomic_fractions_linear_files/Yang_linear_img/21313050.jpg", "21313050")</f>
        <v>21313050</v>
      </c>
      <c r="C2677" s="3" t="str">
        <f>HYPERLINK("http://www.ncbi.nlm.nih.gov/protein/21313050","Gemin6")</f>
        <v>Gemin6</v>
      </c>
      <c r="E2677" t="str">
        <f>HYPERLINK("J:\Depot - mpkCCD Fractions\Main Web Page\Web Pages_old\proteomic_fractions_linear_files/Yang_linear_img/21313050.jpg","show blot")</f>
        <v>show blot</v>
      </c>
      <c r="G2677" t="s">
        <v>2650</v>
      </c>
      <c r="I2677" s="6">
        <v>3.6577338476268713</v>
      </c>
      <c r="K2677" s="8"/>
    </row>
    <row r="2678" spans="1:11" ht="15" x14ac:dyDescent="0.25">
      <c r="A2678" s="3" t="str">
        <f>HYPERLINK("proteomic_fractions_linear_files/Yang_linear_img/21312380.jpg", "21312380")</f>
        <v>21312380</v>
      </c>
      <c r="C2678" s="3" t="str">
        <f>HYPERLINK("http://www.ncbi.nlm.nih.gov/protein/21312380","Gemin7")</f>
        <v>Gemin7</v>
      </c>
      <c r="E2678" t="str">
        <f>HYPERLINK("J:\Depot - mpkCCD Fractions\Main Web Page\Web Pages_old\proteomic_fractions_linear_files/Yang_linear_img/21312380.jpg","show blot")</f>
        <v>show blot</v>
      </c>
      <c r="G2678" t="s">
        <v>2651</v>
      </c>
      <c r="I2678" s="6">
        <v>4.1974190025813796</v>
      </c>
      <c r="K2678" s="8"/>
    </row>
    <row r="2679" spans="1:11" ht="15" x14ac:dyDescent="0.25">
      <c r="A2679" s="3" t="str">
        <f>HYPERLINK("proteomic_fractions_linear_files/Yang_linear_img/254281178.jpg", "254281178")</f>
        <v>254281178</v>
      </c>
      <c r="C2679" s="3" t="str">
        <f>HYPERLINK("http://www.ncbi.nlm.nih.gov/protein/254281178","Get4")</f>
        <v>Get4</v>
      </c>
      <c r="E2679" t="str">
        <f>HYPERLINK("J:\Depot - mpkCCD Fractions\Main Web Page\Web Pages_old\proteomic_fractions_linear_files/Yang_linear_img/254281178.jpg","show blot")</f>
        <v>show blot</v>
      </c>
      <c r="G2679" t="s">
        <v>2652</v>
      </c>
      <c r="I2679" s="6">
        <v>5.3299917332994147</v>
      </c>
      <c r="K2679" s="8"/>
    </row>
    <row r="2680" spans="1:11" ht="15" x14ac:dyDescent="0.25">
      <c r="A2680" s="3" t="str">
        <f>HYPERLINK("proteomic_fractions_linear_files/Yang_linear_img/27229052.jpg", "27229052")</f>
        <v>27229052</v>
      </c>
      <c r="C2680" s="3" t="str">
        <f>HYPERLINK("http://www.ncbi.nlm.nih.gov/protein/27229052","Get4")</f>
        <v>Get4</v>
      </c>
      <c r="E2680" t="str">
        <f>HYPERLINK("J:\Depot - mpkCCD Fractions\Main Web Page\Web Pages_old\proteomic_fractions_linear_files/Yang_linear_img/27229052.jpg","show blot")</f>
        <v>show blot</v>
      </c>
      <c r="G2680" t="s">
        <v>2653</v>
      </c>
      <c r="I2680" s="6">
        <v>5.3299917332994147</v>
      </c>
      <c r="K2680" s="8"/>
    </row>
    <row r="2681" spans="1:11" ht="15" x14ac:dyDescent="0.25">
      <c r="A2681" s="3" t="str">
        <f>HYPERLINK("proteomic_fractions_linear_files/Yang_linear_img/196115327.jpg", "196115327")</f>
        <v>196115327</v>
      </c>
      <c r="C2681" s="3" t="str">
        <f>HYPERLINK("http://www.ncbi.nlm.nih.gov/protein/196115327","Gfap")</f>
        <v>Gfap</v>
      </c>
      <c r="E2681" t="str">
        <f>HYPERLINK("J:\Depot - mpkCCD Fractions\Main Web Page\Web Pages_old\proteomic_fractions_linear_files/Yang_linear_img/196115327.jpg","show blot")</f>
        <v>show blot</v>
      </c>
      <c r="G2681" t="s">
        <v>2654</v>
      </c>
      <c r="I2681" s="6">
        <v>3.898462145779503</v>
      </c>
      <c r="K2681" s="8"/>
    </row>
    <row r="2682" spans="1:11" ht="15" x14ac:dyDescent="0.25">
      <c r="A2682" s="3" t="str">
        <f>HYPERLINK("proteomic_fractions_linear_files/Yang_linear_img/84000448.jpg", "84000448")</f>
        <v>84000448</v>
      </c>
      <c r="C2682" s="3" t="str">
        <f>HYPERLINK("http://www.ncbi.nlm.nih.gov/protein/84000448","Gfap")</f>
        <v>Gfap</v>
      </c>
      <c r="E2682" t="str">
        <f>HYPERLINK("J:\Depot - mpkCCD Fractions\Main Web Page\Web Pages_old\proteomic_fractions_linear_files/Yang_linear_img/84000448.jpg","show blot")</f>
        <v>show blot</v>
      </c>
      <c r="G2682" t="s">
        <v>2655</v>
      </c>
      <c r="I2682" s="6">
        <v>3.898462145779503</v>
      </c>
      <c r="K2682" s="8"/>
    </row>
    <row r="2683" spans="1:11" ht="15" x14ac:dyDescent="0.25">
      <c r="A2683" s="3" t="str">
        <f>HYPERLINK("proteomic_fractions_linear_files/Yang_linear_img/46909575.jpg", "46909575")</f>
        <v>46909575</v>
      </c>
      <c r="C2683" s="3" t="str">
        <f>HYPERLINK("http://www.ncbi.nlm.nih.gov/protein/46909575","Gfer")</f>
        <v>Gfer</v>
      </c>
      <c r="E2683" t="str">
        <f>HYPERLINK("J:\Depot - mpkCCD Fractions\Main Web Page\Web Pages_old\proteomic_fractions_linear_files/Yang_linear_img/46909575.jpg","show blot")</f>
        <v>show blot</v>
      </c>
      <c r="G2683" t="s">
        <v>2656</v>
      </c>
      <c r="I2683" s="6">
        <v>2.8151967923267387</v>
      </c>
      <c r="K2683" s="8"/>
    </row>
    <row r="2684" spans="1:11" ht="15" x14ac:dyDescent="0.25">
      <c r="A2684" s="3" t="str">
        <f>HYPERLINK("proteomic_fractions_linear_files/Yang_linear_img/170650599.jpg", "170650599")</f>
        <v>170650599</v>
      </c>
      <c r="C2684" s="3" t="str">
        <f>HYPERLINK("http://www.ncbi.nlm.nih.gov/protein/170650599","Gfm1")</f>
        <v>Gfm1</v>
      </c>
      <c r="E2684" t="str">
        <f>HYPERLINK("J:\Depot - mpkCCD Fractions\Main Web Page\Web Pages_old\proteomic_fractions_linear_files/Yang_linear_img/170650599.jpg","show blot")</f>
        <v>show blot</v>
      </c>
      <c r="G2684" t="s">
        <v>2657</v>
      </c>
      <c r="I2684" s="6">
        <v>4.5443959924275044</v>
      </c>
      <c r="K2684" s="8"/>
    </row>
    <row r="2685" spans="1:11" ht="15" x14ac:dyDescent="0.25">
      <c r="A2685" s="3" t="str">
        <f>HYPERLINK("proteomic_fractions_linear_files/Yang_linear_img/225690549.jpg", "225690549")</f>
        <v>225690549</v>
      </c>
      <c r="C2685" s="3" t="str">
        <f>HYPERLINK("http://www.ncbi.nlm.nih.gov/protein/225690549","Gfm2")</f>
        <v>Gfm2</v>
      </c>
      <c r="E2685" t="str">
        <f>HYPERLINK("J:\Depot - mpkCCD Fractions\Main Web Page\Web Pages_old\proteomic_fractions_linear_files/Yang_linear_img/225690549.jpg","show blot")</f>
        <v>show blot</v>
      </c>
      <c r="G2685" t="s">
        <v>2658</v>
      </c>
      <c r="I2685" s="6">
        <v>2.8254629311152963</v>
      </c>
      <c r="K2685" s="8"/>
    </row>
    <row r="2686" spans="1:11" ht="15" x14ac:dyDescent="0.25">
      <c r="A2686" s="3" t="str">
        <f>HYPERLINK("proteomic_fractions_linear_files/Yang_linear_img/225690556.jpg", "225690556")</f>
        <v>225690556</v>
      </c>
      <c r="C2686" s="3" t="str">
        <f>HYPERLINK("http://www.ncbi.nlm.nih.gov/protein/225690556","Gfm2")</f>
        <v>Gfm2</v>
      </c>
      <c r="E2686" t="str">
        <f>HYPERLINK("J:\Depot - mpkCCD Fractions\Main Web Page\Web Pages_old\proteomic_fractions_linear_files/Yang_linear_img/225690556.jpg","show blot")</f>
        <v>show blot</v>
      </c>
      <c r="G2686" t="s">
        <v>2659</v>
      </c>
      <c r="I2686" s="6">
        <v>2.8254629311152963</v>
      </c>
      <c r="K2686" s="8"/>
    </row>
    <row r="2687" spans="1:11" ht="15" x14ac:dyDescent="0.25">
      <c r="A2687" s="3" t="str">
        <f>HYPERLINK("proteomic_fractions_linear_files/Yang_linear_img/407228375.jpg", "407228375")</f>
        <v>407228375</v>
      </c>
      <c r="C2687" s="3" t="str">
        <f>HYPERLINK("http://www.ncbi.nlm.nih.gov/protein/407228375","Gfm2")</f>
        <v>Gfm2</v>
      </c>
      <c r="E2687" t="str">
        <f>HYPERLINK("J:\Depot - mpkCCD Fractions\Main Web Page\Web Pages_old\proteomic_fractions_linear_files/Yang_linear_img/407228375.jpg","show blot")</f>
        <v>show blot</v>
      </c>
      <c r="G2687" t="s">
        <v>2660</v>
      </c>
      <c r="I2687" s="6">
        <v>2.8254629311152963</v>
      </c>
      <c r="K2687" s="8"/>
    </row>
    <row r="2688" spans="1:11" ht="15" x14ac:dyDescent="0.25">
      <c r="A2688" s="3" t="str">
        <f>HYPERLINK("proteomic_fractions_linear_files/Yang_linear_img/407228398.jpg", "407228398")</f>
        <v>407228398</v>
      </c>
      <c r="C2688" s="3" t="str">
        <f>HYPERLINK("http://www.ncbi.nlm.nih.gov/protein/407228398","Gfm2")</f>
        <v>Gfm2</v>
      </c>
      <c r="E2688" t="str">
        <f>HYPERLINK("J:\Depot - mpkCCD Fractions\Main Web Page\Web Pages_old\proteomic_fractions_linear_files/Yang_linear_img/407228398.jpg","show blot")</f>
        <v>show blot</v>
      </c>
      <c r="G2688" t="s">
        <v>2661</v>
      </c>
      <c r="I2688" s="6">
        <v>2.8254629311152963</v>
      </c>
      <c r="K2688" s="8"/>
    </row>
    <row r="2689" spans="1:11" ht="15" x14ac:dyDescent="0.25">
      <c r="A2689" s="3" t="str">
        <f>HYPERLINK("proteomic_fractions_linear_files/Yang_linear_img/21312610.jpg", "21312610")</f>
        <v>21312610</v>
      </c>
      <c r="C2689" s="3" t="str">
        <f>HYPERLINK("http://www.ncbi.nlm.nih.gov/protein/21312610","Gfod2")</f>
        <v>Gfod2</v>
      </c>
      <c r="E2689" t="str">
        <f>HYPERLINK("J:\Depot - mpkCCD Fractions\Main Web Page\Web Pages_old\proteomic_fractions_linear_files/Yang_linear_img/21312610.jpg","show blot")</f>
        <v>show blot</v>
      </c>
      <c r="G2689" t="s">
        <v>2662</v>
      </c>
      <c r="I2689" s="6">
        <v>4.1468631228941346</v>
      </c>
      <c r="K2689" s="8"/>
    </row>
    <row r="2690" spans="1:11" ht="15" x14ac:dyDescent="0.25">
      <c r="A2690" s="3" t="str">
        <f>HYPERLINK("proteomic_fractions_linear_files/Yang_linear_img/7305085.jpg", "7305085")</f>
        <v>7305085</v>
      </c>
      <c r="C2690" s="3" t="str">
        <f>HYPERLINK("http://www.ncbi.nlm.nih.gov/protein/7305085","Gfpt1")</f>
        <v>Gfpt1</v>
      </c>
      <c r="E2690" t="str">
        <f>HYPERLINK("J:\Depot - mpkCCD Fractions\Main Web Page\Web Pages_old\proteomic_fractions_linear_files/Yang_linear_img/7305085.jpg","show blot")</f>
        <v>show blot</v>
      </c>
      <c r="G2690" t="s">
        <v>2663</v>
      </c>
      <c r="I2690" s="6">
        <v>5.4350095104105618</v>
      </c>
      <c r="K2690" s="8"/>
    </row>
    <row r="2691" spans="1:11" ht="15" x14ac:dyDescent="0.25">
      <c r="A2691" s="3" t="str">
        <f>HYPERLINK("proteomic_fractions_linear_files/Yang_linear_img/7305087.jpg", "7305087")</f>
        <v>7305087</v>
      </c>
      <c r="C2691" s="3" t="str">
        <f>HYPERLINK("http://www.ncbi.nlm.nih.gov/protein/7305087","Gfpt2")</f>
        <v>Gfpt2</v>
      </c>
      <c r="E2691" t="str">
        <f>HYPERLINK("J:\Depot - mpkCCD Fractions\Main Web Page\Web Pages_old\proteomic_fractions_linear_files/Yang_linear_img/7305087.jpg","show blot")</f>
        <v>show blot</v>
      </c>
      <c r="G2691" t="s">
        <v>2664</v>
      </c>
      <c r="I2691" s="6">
        <v>4.4563018535735042</v>
      </c>
      <c r="K2691" s="8"/>
    </row>
    <row r="2692" spans="1:11" ht="15" x14ac:dyDescent="0.25">
      <c r="A2692" s="3" t="str">
        <f>HYPERLINK("proteomic_fractions_linear_files/Yang_linear_img/22122347.jpg", "22122347")</f>
        <v>22122347</v>
      </c>
      <c r="C2692" s="3" t="str">
        <f>HYPERLINK("http://www.ncbi.nlm.nih.gov/protein/22122347","Gga1")</f>
        <v>Gga1</v>
      </c>
      <c r="E2692" t="str">
        <f>HYPERLINK("J:\Depot - mpkCCD Fractions\Main Web Page\Web Pages_old\proteomic_fractions_linear_files/Yang_linear_img/22122347.jpg","show blot")</f>
        <v>show blot</v>
      </c>
      <c r="G2692" t="s">
        <v>2665</v>
      </c>
      <c r="I2692" s="6">
        <v>4.2014888263731009</v>
      </c>
      <c r="K2692" s="8"/>
    </row>
    <row r="2693" spans="1:11" ht="15" x14ac:dyDescent="0.25">
      <c r="A2693" s="3" t="str">
        <f>HYPERLINK("proteomic_fractions_linear_files/Yang_linear_img/21703924.jpg", "21703924")</f>
        <v>21703924</v>
      </c>
      <c r="C2693" s="3" t="str">
        <f>HYPERLINK("http://www.ncbi.nlm.nih.gov/protein/21703924","Ggact")</f>
        <v>Ggact</v>
      </c>
      <c r="E2693" t="str">
        <f>HYPERLINK("J:\Depot - mpkCCD Fractions\Main Web Page\Web Pages_old\proteomic_fractions_linear_files/Yang_linear_img/21703924.jpg","show blot")</f>
        <v>show blot</v>
      </c>
      <c r="G2693" t="s">
        <v>2666</v>
      </c>
      <c r="I2693" s="6">
        <v>4.1294242871568256</v>
      </c>
      <c r="K2693" s="8"/>
    </row>
    <row r="2694" spans="1:11" ht="15" x14ac:dyDescent="0.25">
      <c r="A2694" s="3" t="str">
        <f>HYPERLINK("proteomic_fractions_linear_files/Yang_linear_img/21311849.jpg", "21311849")</f>
        <v>21311849</v>
      </c>
      <c r="C2694" s="3" t="str">
        <f>HYPERLINK("http://www.ncbi.nlm.nih.gov/protein/21311849","Ggct")</f>
        <v>Ggct</v>
      </c>
      <c r="E2694" t="str">
        <f>HYPERLINK("J:\Depot - mpkCCD Fractions\Main Web Page\Web Pages_old\proteomic_fractions_linear_files/Yang_linear_img/21311849.jpg","show blot")</f>
        <v>show blot</v>
      </c>
      <c r="G2694" t="s">
        <v>2667</v>
      </c>
      <c r="I2694" s="6">
        <v>4.845060487475088</v>
      </c>
      <c r="K2694" s="8"/>
    </row>
    <row r="2695" spans="1:11" ht="15" x14ac:dyDescent="0.25">
      <c r="A2695" s="3" t="str">
        <f>HYPERLINK("proteomic_fractions_linear_files/Yang_linear_img/9790009.jpg", "9790009")</f>
        <v>9790009</v>
      </c>
      <c r="C2695" s="3" t="str">
        <f>HYPERLINK("http://www.ncbi.nlm.nih.gov/protein/9790009","Ggcx")</f>
        <v>Ggcx</v>
      </c>
      <c r="E2695" t="str">
        <f>HYPERLINK("J:\Depot - mpkCCD Fractions\Main Web Page\Web Pages_old\proteomic_fractions_linear_files/Yang_linear_img/9790009.jpg","show blot")</f>
        <v>show blot</v>
      </c>
      <c r="G2695" t="s">
        <v>2668</v>
      </c>
      <c r="I2695" s="6">
        <v>1.6475798408147626</v>
      </c>
      <c r="K2695" s="8"/>
    </row>
    <row r="2696" spans="1:11" ht="15" x14ac:dyDescent="0.25">
      <c r="A2696" s="3" t="str">
        <f>HYPERLINK("proteomic_fractions_linear_files/Yang_linear_img/6806915.jpg", "6806915")</f>
        <v>6806915</v>
      </c>
      <c r="C2696" s="3" t="str">
        <f>HYPERLINK("http://www.ncbi.nlm.nih.gov/protein/6806915","Ggps1")</f>
        <v>Ggps1</v>
      </c>
      <c r="E2696" t="str">
        <f>HYPERLINK("J:\Depot - mpkCCD Fractions\Main Web Page\Web Pages_old\proteomic_fractions_linear_files/Yang_linear_img/6806915.jpg","show blot")</f>
        <v>show blot</v>
      </c>
      <c r="G2696" t="s">
        <v>2669</v>
      </c>
      <c r="I2696" s="6">
        <v>4.5799788567547388</v>
      </c>
      <c r="K2696" s="8"/>
    </row>
    <row r="2697" spans="1:11" ht="15" x14ac:dyDescent="0.25">
      <c r="A2697" s="3" t="str">
        <f>HYPERLINK("proteomic_fractions_linear_files/Yang_linear_img/6679995.jpg", "6679995")</f>
        <v>6679995</v>
      </c>
      <c r="C2697" s="3" t="str">
        <f>HYPERLINK("http://www.ncbi.nlm.nih.gov/protein/6679995","Ggt1")</f>
        <v>Ggt1</v>
      </c>
      <c r="E2697" t="str">
        <f>HYPERLINK("J:\Depot - mpkCCD Fractions\Main Web Page\Web Pages_old\proteomic_fractions_linear_files/Yang_linear_img/6679995.jpg","show blot")</f>
        <v>show blot</v>
      </c>
      <c r="G2697" t="s">
        <v>2670</v>
      </c>
      <c r="I2697" s="6">
        <v>2.5853312632735568</v>
      </c>
      <c r="K2697" s="8"/>
    </row>
    <row r="2698" spans="1:11" ht="15" x14ac:dyDescent="0.25">
      <c r="A2698" s="3" t="str">
        <f>HYPERLINK("proteomic_fractions_linear_files/Yang_linear_img/6679997.jpg", "6679997")</f>
        <v>6679997</v>
      </c>
      <c r="C2698" s="3" t="str">
        <f>HYPERLINK("http://www.ncbi.nlm.nih.gov/protein/6679997","Gh")</f>
        <v>Gh</v>
      </c>
      <c r="E2698" t="str">
        <f>HYPERLINK("J:\Depot - mpkCCD Fractions\Main Web Page\Web Pages_old\proteomic_fractions_linear_files/Yang_linear_img/6679997.jpg","show blot")</f>
        <v>show blot</v>
      </c>
      <c r="G2698" t="s">
        <v>2671</v>
      </c>
      <c r="I2698" s="6">
        <v>4.3539722514864883</v>
      </c>
      <c r="K2698" s="8"/>
    </row>
    <row r="2699" spans="1:11" ht="15" x14ac:dyDescent="0.25">
      <c r="A2699" s="3" t="str">
        <f>HYPERLINK("proteomic_fractions_linear_files/Yang_linear_img/17505218.jpg", "17505218")</f>
        <v>17505218</v>
      </c>
      <c r="C2699" s="3" t="str">
        <f>HYPERLINK("http://www.ncbi.nlm.nih.gov/protein/17505218","Ghitm")</f>
        <v>Ghitm</v>
      </c>
      <c r="E2699" t="str">
        <f>HYPERLINK("J:\Depot - mpkCCD Fractions\Main Web Page\Web Pages_old\proteomic_fractions_linear_files/Yang_linear_img/17505218.jpg","show blot")</f>
        <v>show blot</v>
      </c>
      <c r="G2699" t="s">
        <v>2672</v>
      </c>
      <c r="I2699" s="6">
        <v>3.9253617771825948</v>
      </c>
      <c r="K2699" s="8"/>
    </row>
    <row r="2700" spans="1:11" ht="15" x14ac:dyDescent="0.25">
      <c r="A2700" s="3" t="str">
        <f>HYPERLINK("proteomic_fractions_linear_files/Yang_linear_img/254939696.jpg", "254939696")</f>
        <v>254939696</v>
      </c>
      <c r="C2700" s="3" t="str">
        <f>HYPERLINK("http://www.ncbi.nlm.nih.gov/protein/254939696","Gid4")</f>
        <v>Gid4</v>
      </c>
      <c r="E2700" t="str">
        <f>HYPERLINK("J:\Depot - mpkCCD Fractions\Main Web Page\Web Pages_old\proteomic_fractions_linear_files/Yang_linear_img/254939696.jpg","show blot")</f>
        <v>show blot</v>
      </c>
      <c r="G2700" t="s">
        <v>2673</v>
      </c>
      <c r="I2700" s="6">
        <v>3.6345157079157033</v>
      </c>
      <c r="K2700" s="8"/>
    </row>
    <row r="2701" spans="1:11" ht="15" x14ac:dyDescent="0.25">
      <c r="A2701" s="3" t="str">
        <f>HYPERLINK("proteomic_fractions_linear_files/Yang_linear_img/58037443.jpg", "58037443")</f>
        <v>58037443</v>
      </c>
      <c r="C2701" s="3" t="str">
        <f>HYPERLINK("http://www.ncbi.nlm.nih.gov/protein/58037443","Gid8")</f>
        <v>Gid8</v>
      </c>
      <c r="E2701" t="str">
        <f>HYPERLINK("J:\Depot - mpkCCD Fractions\Main Web Page\Web Pages_old\proteomic_fractions_linear_files/Yang_linear_img/58037443.jpg","show blot")</f>
        <v>show blot</v>
      </c>
      <c r="G2701" t="s">
        <v>2674</v>
      </c>
      <c r="I2701" s="6">
        <v>4.3389160350897251</v>
      </c>
      <c r="K2701" s="8"/>
    </row>
    <row r="2702" spans="1:11" ht="15" x14ac:dyDescent="0.25">
      <c r="A2702" s="3" t="str">
        <f>HYPERLINK("proteomic_fractions_linear_files/Yang_linear_img/159032014.jpg", "159032014")</f>
        <v>159032014</v>
      </c>
      <c r="C2702" s="3" t="str">
        <f>HYPERLINK("http://www.ncbi.nlm.nih.gov/protein/159032014","Gigyf2")</f>
        <v>Gigyf2</v>
      </c>
      <c r="E2702" t="str">
        <f>HYPERLINK("J:\Depot - mpkCCD Fractions\Main Web Page\Web Pages_old\proteomic_fractions_linear_files/Yang_linear_img/159032014.jpg","show blot")</f>
        <v>show blot</v>
      </c>
      <c r="G2702" t="s">
        <v>2675</v>
      </c>
      <c r="I2702" s="6">
        <v>4.380662913757849</v>
      </c>
      <c r="K2702" s="8"/>
    </row>
    <row r="2703" spans="1:11" ht="15" x14ac:dyDescent="0.25">
      <c r="A2703" s="3" t="str">
        <f>HYPERLINK("proteomic_fractions_linear_files/Yang_linear_img/159032016.jpg", "159032016")</f>
        <v>159032016</v>
      </c>
      <c r="C2703" s="3" t="str">
        <f>HYPERLINK("http://www.ncbi.nlm.nih.gov/protein/159032016","Gigyf2")</f>
        <v>Gigyf2</v>
      </c>
      <c r="E2703" t="str">
        <f>HYPERLINK("J:\Depot - mpkCCD Fractions\Main Web Page\Web Pages_old\proteomic_fractions_linear_files/Yang_linear_img/159032016.jpg","show blot")</f>
        <v>show blot</v>
      </c>
      <c r="G2703" t="s">
        <v>2676</v>
      </c>
      <c r="I2703" s="6">
        <v>4.380662913757849</v>
      </c>
      <c r="K2703" s="8"/>
    </row>
    <row r="2704" spans="1:11" ht="15" x14ac:dyDescent="0.25">
      <c r="A2704" s="3" t="str">
        <f>HYPERLINK("proteomic_fractions_linear_files/Yang_linear_img/254553278.jpg", "254553278")</f>
        <v>254553278</v>
      </c>
      <c r="C2704" s="3" t="str">
        <f>HYPERLINK("http://www.ncbi.nlm.nih.gov/protein/254553278","Gins1")</f>
        <v>Gins1</v>
      </c>
      <c r="E2704" t="str">
        <f>HYPERLINK("J:\Depot - mpkCCD Fractions\Main Web Page\Web Pages_old\proteomic_fractions_linear_files/Yang_linear_img/254553278.jpg","show blot")</f>
        <v>show blot</v>
      </c>
      <c r="G2704" t="s">
        <v>2677</v>
      </c>
      <c r="I2704" s="6">
        <v>4.7247668067465769</v>
      </c>
      <c r="K2704" s="8"/>
    </row>
    <row r="2705" spans="1:11" ht="15" x14ac:dyDescent="0.25">
      <c r="A2705" s="3" t="str">
        <f>HYPERLINK("proteomic_fractions_linear_files/Yang_linear_img/254553280.jpg", "254553280")</f>
        <v>254553280</v>
      </c>
      <c r="C2705" s="3" t="str">
        <f>HYPERLINK("http://www.ncbi.nlm.nih.gov/protein/254553280","Gins1")</f>
        <v>Gins1</v>
      </c>
      <c r="E2705" t="str">
        <f>HYPERLINK("J:\Depot - mpkCCD Fractions\Main Web Page\Web Pages_old\proteomic_fractions_linear_files/Yang_linear_img/254553280.jpg","show blot")</f>
        <v>show blot</v>
      </c>
      <c r="G2705" t="s">
        <v>2678</v>
      </c>
      <c r="I2705" s="6">
        <v>4.7247668067465769</v>
      </c>
      <c r="K2705" s="8"/>
    </row>
    <row r="2706" spans="1:11" ht="15" x14ac:dyDescent="0.25">
      <c r="A2706" s="3" t="str">
        <f>HYPERLINK("proteomic_fractions_linear_files/Yang_linear_img/124249060.jpg", "124249060")</f>
        <v>124249060</v>
      </c>
      <c r="C2706" s="3" t="str">
        <f>HYPERLINK("http://www.ncbi.nlm.nih.gov/protein/124249060","Gins2")</f>
        <v>Gins2</v>
      </c>
      <c r="E2706" t="str">
        <f>HYPERLINK("J:\Depot - mpkCCD Fractions\Main Web Page\Web Pages_old\proteomic_fractions_linear_files/Yang_linear_img/124249060.jpg","show blot")</f>
        <v>show blot</v>
      </c>
      <c r="G2706" t="s">
        <v>2679</v>
      </c>
      <c r="I2706" s="6">
        <v>2.9903253751441166</v>
      </c>
      <c r="K2706" s="8"/>
    </row>
    <row r="2707" spans="1:11" ht="15" x14ac:dyDescent="0.25">
      <c r="A2707" s="3" t="str">
        <f>HYPERLINK("proteomic_fractions_linear_files/Yang_linear_img/21313504.jpg", "21313504")</f>
        <v>21313504</v>
      </c>
      <c r="C2707" s="3" t="str">
        <f>HYPERLINK("http://www.ncbi.nlm.nih.gov/protein/21313504","Gins3")</f>
        <v>Gins3</v>
      </c>
      <c r="E2707" t="str">
        <f>HYPERLINK("J:\Depot - mpkCCD Fractions\Main Web Page\Web Pages_old\proteomic_fractions_linear_files/Yang_linear_img/21313504.jpg","show blot")</f>
        <v>show blot</v>
      </c>
      <c r="G2707" t="s">
        <v>2680</v>
      </c>
      <c r="I2707" s="6">
        <v>5.0835553174565788</v>
      </c>
      <c r="K2707" s="8"/>
    </row>
    <row r="2708" spans="1:11" ht="15" x14ac:dyDescent="0.25">
      <c r="A2708" s="3" t="str">
        <f>HYPERLINK("proteomic_fractions_linear_files/Yang_linear_img/13195660.jpg", "13195660")</f>
        <v>13195660</v>
      </c>
      <c r="C2708" s="3" t="str">
        <f>HYPERLINK("http://www.ncbi.nlm.nih.gov/protein/13195660","Gins4")</f>
        <v>Gins4</v>
      </c>
      <c r="E2708" t="str">
        <f>HYPERLINK("J:\Depot - mpkCCD Fractions\Main Web Page\Web Pages_old\proteomic_fractions_linear_files/Yang_linear_img/13195660.jpg","show blot")</f>
        <v>show blot</v>
      </c>
      <c r="G2708" t="s">
        <v>2681</v>
      </c>
      <c r="I2708" s="6">
        <v>4.9738783657108367</v>
      </c>
      <c r="K2708" s="8"/>
    </row>
    <row r="2709" spans="1:11" ht="15" x14ac:dyDescent="0.25">
      <c r="A2709" s="3" t="str">
        <f>HYPERLINK("proteomic_fractions_linear_files/Yang_linear_img/9055336.jpg", "9055336")</f>
        <v>9055336</v>
      </c>
      <c r="C2709" s="3" t="str">
        <f>HYPERLINK("http://www.ncbi.nlm.nih.gov/protein/9055336","Gipc1")</f>
        <v>Gipc1</v>
      </c>
      <c r="E2709" t="str">
        <f>HYPERLINK("J:\Depot - mpkCCD Fractions\Main Web Page\Web Pages_old\proteomic_fractions_linear_files/Yang_linear_img/9055336.jpg","show blot")</f>
        <v>show blot</v>
      </c>
      <c r="G2709" t="s">
        <v>2682</v>
      </c>
      <c r="I2709" s="6">
        <v>5.6309554942250664</v>
      </c>
      <c r="K2709" s="8"/>
    </row>
    <row r="2710" spans="1:11" ht="15" x14ac:dyDescent="0.25">
      <c r="A2710" s="3" t="str">
        <f>HYPERLINK("proteomic_fractions_linear_files/Yang_linear_img/8394258.jpg", "8394258")</f>
        <v>8394258</v>
      </c>
      <c r="C2710" s="3" t="str">
        <f>HYPERLINK("http://www.ncbi.nlm.nih.gov/protein/8394258","Gipc2")</f>
        <v>Gipc2</v>
      </c>
      <c r="E2710" t="str">
        <f>HYPERLINK("J:\Depot - mpkCCD Fractions\Main Web Page\Web Pages_old\proteomic_fractions_linear_files/Yang_linear_img/8394258.jpg","show blot")</f>
        <v>show blot</v>
      </c>
      <c r="G2710" t="s">
        <v>2683</v>
      </c>
      <c r="I2710" s="6">
        <v>5.6829128906123909</v>
      </c>
      <c r="K2710" s="8"/>
    </row>
    <row r="2711" spans="1:11" ht="15" x14ac:dyDescent="0.25">
      <c r="A2711" s="3" t="str">
        <f>HYPERLINK("proteomic_fractions_linear_files/Yang_linear_img/22507363.jpg", "22507363")</f>
        <v>22507363</v>
      </c>
      <c r="C2711" s="3" t="str">
        <f>HYPERLINK("http://www.ncbi.nlm.nih.gov/protein/22507363","Gipc3")</f>
        <v>Gipc3</v>
      </c>
      <c r="E2711" t="str">
        <f>HYPERLINK("J:\Depot - mpkCCD Fractions\Main Web Page\Web Pages_old\proteomic_fractions_linear_files/Yang_linear_img/22507363.jpg","show blot")</f>
        <v>show blot</v>
      </c>
      <c r="G2711" t="s">
        <v>2684</v>
      </c>
      <c r="I2711" s="6">
        <v>4.5960011882437133</v>
      </c>
      <c r="K2711" s="8"/>
    </row>
    <row r="2712" spans="1:11" ht="15" x14ac:dyDescent="0.25">
      <c r="A2712" s="3" t="str">
        <f>HYPERLINK("proteomic_fractions_linear_files/Yang_linear_img/51921285.jpg", "51921285")</f>
        <v>51921285</v>
      </c>
      <c r="C2712" s="3" t="str">
        <f>HYPERLINK("http://www.ncbi.nlm.nih.gov/protein/51921285","Git1")</f>
        <v>Git1</v>
      </c>
      <c r="E2712" t="str">
        <f>HYPERLINK("J:\Depot - mpkCCD Fractions\Main Web Page\Web Pages_old\proteomic_fractions_linear_files/Yang_linear_img/51921285.jpg","show blot")</f>
        <v>show blot</v>
      </c>
      <c r="G2712" t="s">
        <v>2685</v>
      </c>
      <c r="I2712" s="6">
        <v>4.4216011375254123</v>
      </c>
      <c r="K2712" s="8"/>
    </row>
    <row r="2713" spans="1:11" ht="15" x14ac:dyDescent="0.25">
      <c r="A2713" s="3" t="str">
        <f>HYPERLINK("proteomic_fractions_linear_files/Yang_linear_img/116517290.jpg", "116517290")</f>
        <v>116517290</v>
      </c>
      <c r="C2713" s="3" t="str">
        <f>HYPERLINK("http://www.ncbi.nlm.nih.gov/protein/116517290","Git2")</f>
        <v>Git2</v>
      </c>
      <c r="E2713" t="str">
        <f>HYPERLINK("J:\Depot - mpkCCD Fractions\Main Web Page\Web Pages_old\proteomic_fractions_linear_files/Yang_linear_img/116517290.jpg","show blot")</f>
        <v>show blot</v>
      </c>
      <c r="G2713" t="s">
        <v>2686</v>
      </c>
      <c r="I2713" s="6">
        <v>3.2291392402273487</v>
      </c>
      <c r="K2713" s="8"/>
    </row>
    <row r="2714" spans="1:11" ht="15" x14ac:dyDescent="0.25">
      <c r="A2714" s="3" t="str">
        <f>HYPERLINK("proteomic_fractions_linear_files/Yang_linear_img/116517295.jpg", "116517295")</f>
        <v>116517295</v>
      </c>
      <c r="C2714" s="3" t="str">
        <f>HYPERLINK("http://www.ncbi.nlm.nih.gov/protein/116517295","Git2")</f>
        <v>Git2</v>
      </c>
      <c r="E2714" t="str">
        <f>HYPERLINK("J:\Depot - mpkCCD Fractions\Main Web Page\Web Pages_old\proteomic_fractions_linear_files/Yang_linear_img/116517295.jpg","show blot")</f>
        <v>show blot</v>
      </c>
      <c r="G2714" t="s">
        <v>2687</v>
      </c>
      <c r="I2714" s="6">
        <v>3.2291392402273487</v>
      </c>
      <c r="K2714" s="8"/>
    </row>
    <row r="2715" spans="1:11" ht="15" x14ac:dyDescent="0.25">
      <c r="A2715" s="3" t="str">
        <f>HYPERLINK("proteomic_fractions_linear_files/Yang_linear_img/116517297.jpg", "116517297")</f>
        <v>116517297</v>
      </c>
      <c r="C2715" s="3" t="str">
        <f>HYPERLINK("http://www.ncbi.nlm.nih.gov/protein/116517297","Git2")</f>
        <v>Git2</v>
      </c>
      <c r="E2715" t="str">
        <f>HYPERLINK("J:\Depot - mpkCCD Fractions\Main Web Page\Web Pages_old\proteomic_fractions_linear_files/Yang_linear_img/116517297.jpg","show blot")</f>
        <v>show blot</v>
      </c>
      <c r="G2715" t="s">
        <v>2688</v>
      </c>
      <c r="I2715" s="6">
        <v>3.2291392402273487</v>
      </c>
      <c r="K2715" s="8"/>
    </row>
    <row r="2716" spans="1:11" ht="15" x14ac:dyDescent="0.25">
      <c r="A2716" s="3" t="str">
        <f>HYPERLINK("proteomic_fractions_linear_files/Yang_linear_img/6754000.jpg", "6754000")</f>
        <v>6754000</v>
      </c>
      <c r="C2716" s="3" t="str">
        <f>HYPERLINK("http://www.ncbi.nlm.nih.gov/protein/6754000","Gk2")</f>
        <v>Gk2</v>
      </c>
      <c r="E2716" t="str">
        <f>HYPERLINK("J:\Depot - mpkCCD Fractions\Main Web Page\Web Pages_old\proteomic_fractions_linear_files/Yang_linear_img/6754000.jpg","show blot")</f>
        <v>show blot</v>
      </c>
      <c r="G2716" t="s">
        <v>2689</v>
      </c>
      <c r="I2716" s="6">
        <v>3.5982690496995358</v>
      </c>
      <c r="K2716" s="8"/>
    </row>
    <row r="2717" spans="1:11" ht="15" x14ac:dyDescent="0.25">
      <c r="A2717" s="3" t="str">
        <f>HYPERLINK("proteomic_fractions_linear_files/Yang_linear_img/9789999.jpg", "9789999")</f>
        <v>9789999</v>
      </c>
      <c r="C2717" s="3" t="str">
        <f>HYPERLINK("http://www.ncbi.nlm.nih.gov/protein/9789999","Gkap1")</f>
        <v>Gkap1</v>
      </c>
      <c r="E2717" t="str">
        <f>HYPERLINK("J:\Depot - mpkCCD Fractions\Main Web Page\Web Pages_old\proteomic_fractions_linear_files/Yang_linear_img/9789999.jpg","show blot")</f>
        <v>show blot</v>
      </c>
      <c r="G2717" t="s">
        <v>2690</v>
      </c>
      <c r="I2717" s="6">
        <v>3.9135779500615824</v>
      </c>
      <c r="K2717" s="8"/>
    </row>
    <row r="2718" spans="1:11" ht="15" x14ac:dyDescent="0.25">
      <c r="A2718" s="3" t="str">
        <f>HYPERLINK("proteomic_fractions_linear_files/Yang_linear_img/133778924.jpg", "133778924")</f>
        <v>133778924</v>
      </c>
      <c r="C2718" s="3" t="str">
        <f>HYPERLINK("http://www.ncbi.nlm.nih.gov/protein/133778924","Gla")</f>
        <v>Gla</v>
      </c>
      <c r="E2718" t="str">
        <f>HYPERLINK("J:\Depot - mpkCCD Fractions\Main Web Page\Web Pages_old\proteomic_fractions_linear_files/Yang_linear_img/133778924.jpg","show blot")</f>
        <v>show blot</v>
      </c>
      <c r="G2718" t="s">
        <v>2691</v>
      </c>
      <c r="I2718" s="6">
        <v>4.0454308342408591</v>
      </c>
      <c r="K2718" s="8"/>
    </row>
    <row r="2719" spans="1:11" ht="15" x14ac:dyDescent="0.25">
      <c r="A2719" s="3" t="str">
        <f>HYPERLINK("proteomic_fractions_linear_files/Yang_linear_img/6753190.jpg", "6753190")</f>
        <v>6753190</v>
      </c>
      <c r="C2719" s="3" t="str">
        <f>HYPERLINK("http://www.ncbi.nlm.nih.gov/protein/6753190","Glb1")</f>
        <v>Glb1</v>
      </c>
      <c r="E2719" t="str">
        <f>HYPERLINK("J:\Depot - mpkCCD Fractions\Main Web Page\Web Pages_old\proteomic_fractions_linear_files/Yang_linear_img/6753190.jpg","show blot")</f>
        <v>show blot</v>
      </c>
      <c r="G2719" t="s">
        <v>2692</v>
      </c>
      <c r="I2719" s="6">
        <v>4.6907563672267436</v>
      </c>
      <c r="K2719" s="8"/>
    </row>
    <row r="2720" spans="1:11" ht="15" x14ac:dyDescent="0.25">
      <c r="A2720" s="3" t="str">
        <f>HYPERLINK("proteomic_fractions_linear_files/Yang_linear_img/65301488.jpg", "65301488")</f>
        <v>65301488</v>
      </c>
      <c r="C2720" s="3" t="str">
        <f>HYPERLINK("http://www.ncbi.nlm.nih.gov/protein/65301488","Glce")</f>
        <v>Glce</v>
      </c>
      <c r="E2720" t="str">
        <f>HYPERLINK("J:\Depot - mpkCCD Fractions\Main Web Page\Web Pages_old\proteomic_fractions_linear_files/Yang_linear_img/65301488.jpg","show blot")</f>
        <v>show blot</v>
      </c>
      <c r="G2720" t="s">
        <v>2693</v>
      </c>
      <c r="I2720" s="6">
        <v>3.1181723173289901</v>
      </c>
      <c r="K2720" s="8"/>
    </row>
    <row r="2721" spans="1:11" ht="15" x14ac:dyDescent="0.25">
      <c r="A2721" s="3" t="str">
        <f>HYPERLINK("proteomic_fractions_linear_files/Yang_linear_img/58037369.jpg", "58037369")</f>
        <v>58037369</v>
      </c>
      <c r="C2721" s="3" t="str">
        <f>HYPERLINK("http://www.ncbi.nlm.nih.gov/protein/58037369","Gle1")</f>
        <v>Gle1</v>
      </c>
      <c r="E2721" t="str">
        <f>HYPERLINK("J:\Depot - mpkCCD Fractions\Main Web Page\Web Pages_old\proteomic_fractions_linear_files/Yang_linear_img/58037369.jpg","show blot")</f>
        <v>show blot</v>
      </c>
      <c r="G2721" t="s">
        <v>2694</v>
      </c>
      <c r="I2721" s="6">
        <v>4.0300717857953208</v>
      </c>
      <c r="K2721" s="8"/>
    </row>
    <row r="2722" spans="1:11" ht="15" x14ac:dyDescent="0.25">
      <c r="A2722" s="3" t="str">
        <f>HYPERLINK("proteomic_fractions_linear_files/Yang_linear_img/6677905.jpg", "6677905")</f>
        <v>6677905</v>
      </c>
      <c r="C2722" s="3" t="str">
        <f>HYPERLINK("http://www.ncbi.nlm.nih.gov/protein/6677905","Glg1")</f>
        <v>Glg1</v>
      </c>
      <c r="E2722" t="str">
        <f>HYPERLINK("J:\Depot - mpkCCD Fractions\Main Web Page\Web Pages_old\proteomic_fractions_linear_files/Yang_linear_img/6677905.jpg","show blot")</f>
        <v>show blot</v>
      </c>
      <c r="G2722" t="s">
        <v>2695</v>
      </c>
      <c r="I2722" s="6">
        <v>5.0223953547344591</v>
      </c>
      <c r="K2722" s="8"/>
    </row>
    <row r="2723" spans="1:11" ht="15" x14ac:dyDescent="0.25">
      <c r="A2723" s="3" t="str">
        <f>HYPERLINK("proteomic_fractions_linear_files/Yang_linear_img/47059151.jpg", "47059151")</f>
        <v>47059151</v>
      </c>
      <c r="C2723" s="3" t="str">
        <f>HYPERLINK("http://www.ncbi.nlm.nih.gov/protein/47059151","Glipr2")</f>
        <v>Glipr2</v>
      </c>
      <c r="E2723" t="str">
        <f>HYPERLINK("J:\Depot - mpkCCD Fractions\Main Web Page\Web Pages_old\proteomic_fractions_linear_files/Yang_linear_img/47059151.jpg","show blot")</f>
        <v>show blot</v>
      </c>
      <c r="G2723" t="s">
        <v>2696</v>
      </c>
      <c r="I2723" s="6">
        <v>4.0630656831539405</v>
      </c>
      <c r="K2723" s="8"/>
    </row>
    <row r="2724" spans="1:11" ht="15" x14ac:dyDescent="0.25">
      <c r="A2724" s="3" t="str">
        <f>HYPERLINK("proteomic_fractions_linear_files/Yang_linear_img/239985596.jpg", "239985596")</f>
        <v>239985596</v>
      </c>
      <c r="C2724" s="3" t="str">
        <f>HYPERLINK("http://www.ncbi.nlm.nih.gov/protein/239985596","Glmn")</f>
        <v>Glmn</v>
      </c>
      <c r="E2724" t="str">
        <f>HYPERLINK("J:\Depot - mpkCCD Fractions\Main Web Page\Web Pages_old\proteomic_fractions_linear_files/Yang_linear_img/239985596.jpg","show blot")</f>
        <v>show blot</v>
      </c>
      <c r="G2724" t="s">
        <v>2697</v>
      </c>
      <c r="I2724" s="6">
        <v>2.5693756244223032</v>
      </c>
      <c r="K2724" s="8"/>
    </row>
    <row r="2725" spans="1:11" ht="15" x14ac:dyDescent="0.25">
      <c r="A2725" s="3" t="str">
        <f>HYPERLINK("proteomic_fractions_linear_files/Yang_linear_img/239985605.jpg", "239985605")</f>
        <v>239985605</v>
      </c>
      <c r="C2725" s="3" t="str">
        <f>HYPERLINK("http://www.ncbi.nlm.nih.gov/protein/239985605","Glmn")</f>
        <v>Glmn</v>
      </c>
      <c r="E2725" t="str">
        <f>HYPERLINK("J:\Depot - mpkCCD Fractions\Main Web Page\Web Pages_old\proteomic_fractions_linear_files/Yang_linear_img/239985605.jpg","show blot")</f>
        <v>show blot</v>
      </c>
      <c r="G2725" t="s">
        <v>2698</v>
      </c>
      <c r="I2725" s="6">
        <v>2.5693756244223032</v>
      </c>
      <c r="K2725" s="8"/>
    </row>
    <row r="2726" spans="1:11" ht="15" x14ac:dyDescent="0.25">
      <c r="A2726" s="3" t="str">
        <f>HYPERLINK("proteomic_fractions_linear_files/Yang_linear_img/165932331.jpg", "165932331")</f>
        <v>165932331</v>
      </c>
      <c r="C2726" s="3" t="str">
        <f>HYPERLINK("http://www.ncbi.nlm.nih.gov/protein/165932331","Glo1")</f>
        <v>Glo1</v>
      </c>
      <c r="E2726" t="str">
        <f>HYPERLINK("J:\Depot - mpkCCD Fractions\Main Web Page\Web Pages_old\proteomic_fractions_linear_files/Yang_linear_img/165932331.jpg","show blot")</f>
        <v>show blot</v>
      </c>
      <c r="G2726" t="s">
        <v>2699</v>
      </c>
      <c r="I2726" s="6">
        <v>5.9741546506831806</v>
      </c>
      <c r="K2726" s="8"/>
    </row>
    <row r="2727" spans="1:11" ht="15" x14ac:dyDescent="0.25">
      <c r="A2727" s="3" t="str">
        <f>HYPERLINK("proteomic_fractions_linear_files/Yang_linear_img/255003777.jpg", "255003777")</f>
        <v>255003777</v>
      </c>
      <c r="C2727" s="3" t="str">
        <f>HYPERLINK("http://www.ncbi.nlm.nih.gov/protein/255003777","Glod4")</f>
        <v>Glod4</v>
      </c>
      <c r="E2727" t="str">
        <f>HYPERLINK("J:\Depot - mpkCCD Fractions\Main Web Page\Web Pages_old\proteomic_fractions_linear_files/Yang_linear_img/255003777.jpg","show blot")</f>
        <v>show blot</v>
      </c>
      <c r="G2727" t="s">
        <v>2700</v>
      </c>
      <c r="I2727" s="6">
        <v>5.8507506711523893</v>
      </c>
      <c r="K2727" s="8"/>
    </row>
    <row r="2728" spans="1:11" ht="15" x14ac:dyDescent="0.25">
      <c r="A2728" s="3" t="str">
        <f>HYPERLINK("proteomic_fractions_linear_files/Yang_linear_img/31981458.jpg", "31981458")</f>
        <v>31981458</v>
      </c>
      <c r="C2728" s="3" t="str">
        <f>HYPERLINK("http://www.ncbi.nlm.nih.gov/protein/31981458","Glrx")</f>
        <v>Glrx</v>
      </c>
      <c r="E2728" t="str">
        <f>HYPERLINK("J:\Depot - mpkCCD Fractions\Main Web Page\Web Pages_old\proteomic_fractions_linear_files/Yang_linear_img/31981458.jpg","show blot")</f>
        <v>show blot</v>
      </c>
      <c r="G2728" t="s">
        <v>2701</v>
      </c>
      <c r="I2728" s="6">
        <v>4.5499187933548209</v>
      </c>
      <c r="K2728" s="8"/>
    </row>
    <row r="2729" spans="1:11" ht="15" x14ac:dyDescent="0.25">
      <c r="A2729" s="3" t="str">
        <f>HYPERLINK("proteomic_fractions_linear_files/Yang_linear_img/31981269.jpg", "31981269")</f>
        <v>31981269</v>
      </c>
      <c r="C2729" s="3" t="str">
        <f>HYPERLINK("http://www.ncbi.nlm.nih.gov/protein/31981269","Glrx3")</f>
        <v>Glrx3</v>
      </c>
      <c r="E2729" t="str">
        <f>HYPERLINK("J:\Depot - mpkCCD Fractions\Main Web Page\Web Pages_old\proteomic_fractions_linear_files/Yang_linear_img/31981269.jpg","show blot")</f>
        <v>show blot</v>
      </c>
      <c r="G2729" t="s">
        <v>2702</v>
      </c>
      <c r="I2729" s="6">
        <v>5.2914449972077877</v>
      </c>
      <c r="K2729" s="8"/>
    </row>
    <row r="2730" spans="1:11" ht="15" x14ac:dyDescent="0.25">
      <c r="A2730" s="3" t="str">
        <f>HYPERLINK("proteomic_fractions_linear_files/Yang_linear_img/21312153.jpg", "21312153")</f>
        <v>21312153</v>
      </c>
      <c r="C2730" s="3" t="str">
        <f>HYPERLINK("http://www.ncbi.nlm.nih.gov/protein/21312153","Glrx5")</f>
        <v>Glrx5</v>
      </c>
      <c r="E2730" t="str">
        <f>HYPERLINK("J:\Depot - mpkCCD Fractions\Main Web Page\Web Pages_old\proteomic_fractions_linear_files/Yang_linear_img/21312153.jpg","show blot")</f>
        <v>show blot</v>
      </c>
      <c r="G2730" t="s">
        <v>2703</v>
      </c>
      <c r="I2730" s="6">
        <v>5.4011997071863247</v>
      </c>
      <c r="K2730" s="8"/>
    </row>
    <row r="2731" spans="1:11" ht="15" x14ac:dyDescent="0.25">
      <c r="A2731" s="3" t="str">
        <f>HYPERLINK("proteomic_fractions_linear_files/Yang_linear_img/124487313.jpg", "124487313")</f>
        <v>124487313</v>
      </c>
      <c r="C2731" s="3" t="str">
        <f>HYPERLINK("http://www.ncbi.nlm.nih.gov/protein/124487313","Gls")</f>
        <v>Gls</v>
      </c>
      <c r="E2731" t="str">
        <f>HYPERLINK("J:\Depot - mpkCCD Fractions\Main Web Page\Web Pages_old\proteomic_fractions_linear_files/Yang_linear_img/124487313.jpg","show blot")</f>
        <v>show blot</v>
      </c>
      <c r="G2731" t="s">
        <v>2704</v>
      </c>
      <c r="I2731" s="6">
        <v>4.9490277536824703</v>
      </c>
      <c r="K2731" s="8"/>
    </row>
    <row r="2732" spans="1:11" ht="15" x14ac:dyDescent="0.25">
      <c r="A2732" s="3" t="str">
        <f>HYPERLINK("proteomic_fractions_linear_files/Yang_linear_img/164607135.jpg", "164607135")</f>
        <v>164607135</v>
      </c>
      <c r="C2732" s="3" t="str">
        <f>HYPERLINK("http://www.ncbi.nlm.nih.gov/protein/164607135","Gls")</f>
        <v>Gls</v>
      </c>
      <c r="E2732" t="str">
        <f>HYPERLINK("J:\Depot - mpkCCD Fractions\Main Web Page\Web Pages_old\proteomic_fractions_linear_files/Yang_linear_img/164607135.jpg","show blot")</f>
        <v>show blot</v>
      </c>
      <c r="G2732" t="s">
        <v>2705</v>
      </c>
      <c r="I2732" s="6">
        <v>4.9490277536824703</v>
      </c>
      <c r="K2732" s="8"/>
    </row>
    <row r="2733" spans="1:11" ht="15" x14ac:dyDescent="0.25">
      <c r="A2733" s="3" t="str">
        <f>HYPERLINK("proteomic_fractions_linear_files/Yang_linear_img/170784829.jpg", "170784829")</f>
        <v>170784829</v>
      </c>
      <c r="C2733" s="3" t="str">
        <f>HYPERLINK("http://www.ncbi.nlm.nih.gov/protein/170784829","Glt25d1")</f>
        <v>Glt25d1</v>
      </c>
      <c r="E2733" t="str">
        <f>HYPERLINK("J:\Depot - mpkCCD Fractions\Main Web Page\Web Pages_old\proteomic_fractions_linear_files/Yang_linear_img/170784829.jpg","show blot")</f>
        <v>show blot</v>
      </c>
      <c r="G2733" t="s">
        <v>2706</v>
      </c>
      <c r="I2733" s="6">
        <v>3.9230953130960424</v>
      </c>
      <c r="K2733" s="8"/>
    </row>
    <row r="2734" spans="1:11" ht="15" x14ac:dyDescent="0.25">
      <c r="A2734" s="3" t="str">
        <f>HYPERLINK("proteomic_fractions_linear_files/Yang_linear_img/31560404.jpg", "31560404")</f>
        <v>31560404</v>
      </c>
      <c r="C2734" s="3" t="str">
        <f>HYPERLINK("http://www.ncbi.nlm.nih.gov/protein/31560404","Gltp")</f>
        <v>Gltp</v>
      </c>
      <c r="E2734" t="str">
        <f>HYPERLINK("J:\Depot - mpkCCD Fractions\Main Web Page\Web Pages_old\proteomic_fractions_linear_files/Yang_linear_img/31560404.jpg","show blot")</f>
        <v>show blot</v>
      </c>
      <c r="G2734" t="s">
        <v>2707</v>
      </c>
      <c r="I2734" s="6">
        <v>5.5464517606571624</v>
      </c>
      <c r="K2734" s="8"/>
    </row>
    <row r="2735" spans="1:11" ht="15" x14ac:dyDescent="0.25">
      <c r="A2735" s="3" t="str">
        <f>HYPERLINK("proteomic_fractions_linear_files/Yang_linear_img/228480230.jpg", "228480230")</f>
        <v>228480230</v>
      </c>
      <c r="C2735" s="3" t="str">
        <f>HYPERLINK("http://www.ncbi.nlm.nih.gov/protein/228480230","Gltscr2")</f>
        <v>Gltscr2</v>
      </c>
      <c r="E2735" t="str">
        <f>HYPERLINK("J:\Depot - mpkCCD Fractions\Main Web Page\Web Pages_old\proteomic_fractions_linear_files/Yang_linear_img/228480230.jpg","show blot")</f>
        <v>show blot</v>
      </c>
      <c r="G2735" t="s">
        <v>2708</v>
      </c>
      <c r="I2735" s="6">
        <v>2.876027724269691</v>
      </c>
      <c r="K2735" s="8"/>
    </row>
    <row r="2736" spans="1:11" ht="15" x14ac:dyDescent="0.25">
      <c r="A2736" s="3" t="str">
        <f>HYPERLINK("proteomic_fractions_linear_files/Yang_linear_img/6680027.jpg", "6680027")</f>
        <v>6680027</v>
      </c>
      <c r="C2736" s="3" t="str">
        <f>HYPERLINK("http://www.ncbi.nlm.nih.gov/protein/6680027","Glud1")</f>
        <v>Glud1</v>
      </c>
      <c r="E2736" t="str">
        <f>HYPERLINK("J:\Depot - mpkCCD Fractions\Main Web Page\Web Pages_old\proteomic_fractions_linear_files/Yang_linear_img/6680027.jpg","show blot")</f>
        <v>show blot</v>
      </c>
      <c r="G2736" t="s">
        <v>2709</v>
      </c>
      <c r="I2736" s="6">
        <v>6.1860159543037838</v>
      </c>
      <c r="K2736" s="8"/>
    </row>
    <row r="2737" spans="1:11" ht="15" x14ac:dyDescent="0.25">
      <c r="A2737" s="3" t="str">
        <f>HYPERLINK("proteomic_fractions_linear_files/Yang_linear_img/119392066.jpg", "119392066")</f>
        <v>119392066</v>
      </c>
      <c r="C2737" s="3" t="str">
        <f>HYPERLINK("http://www.ncbi.nlm.nih.gov/protein/119392066","Glyr1")</f>
        <v>Glyr1</v>
      </c>
      <c r="E2737" t="str">
        <f>HYPERLINK("J:\Depot - mpkCCD Fractions\Main Web Page\Web Pages_old\proteomic_fractions_linear_files/Yang_linear_img/119392066.jpg","show blot")</f>
        <v>show blot</v>
      </c>
      <c r="G2737" t="s">
        <v>2710</v>
      </c>
      <c r="I2737" s="6">
        <v>4.6727310141109006</v>
      </c>
      <c r="K2737" s="8"/>
    </row>
    <row r="2738" spans="1:11" ht="15" x14ac:dyDescent="0.25">
      <c r="A2738" s="3" t="str">
        <f>HYPERLINK("proteomic_fractions_linear_files/Yang_linear_img/119392074.jpg", "119392074")</f>
        <v>119392074</v>
      </c>
      <c r="C2738" s="3" t="str">
        <f>HYPERLINK("http://www.ncbi.nlm.nih.gov/protein/119392074","Glyr1")</f>
        <v>Glyr1</v>
      </c>
      <c r="E2738" t="str">
        <f>HYPERLINK("J:\Depot - mpkCCD Fractions\Main Web Page\Web Pages_old\proteomic_fractions_linear_files/Yang_linear_img/119392074.jpg","show blot")</f>
        <v>show blot</v>
      </c>
      <c r="G2738" t="s">
        <v>2711</v>
      </c>
      <c r="I2738" s="6">
        <v>4.6727310141109006</v>
      </c>
      <c r="K2738" s="8"/>
    </row>
    <row r="2739" spans="1:11" ht="15" x14ac:dyDescent="0.25">
      <c r="A2739" s="3" t="str">
        <f>HYPERLINK("proteomic_fractions_linear_files/Yang_linear_img/309269122.jpg", "309269122")</f>
        <v>309269122</v>
      </c>
      <c r="C2739" s="3" t="str">
        <f>HYPERLINK("http://www.ncbi.nlm.nih.gov/protein/309269122","Gm10015")</f>
        <v>Gm10015</v>
      </c>
      <c r="E2739" t="str">
        <f>HYPERLINK("J:\Depot - mpkCCD Fractions\Main Web Page\Web Pages_old\proteomic_fractions_linear_files/Yang_linear_img/309269122.jpg","show blot")</f>
        <v>show blot</v>
      </c>
      <c r="G2739" t="s">
        <v>2712</v>
      </c>
      <c r="I2739" s="6">
        <v>5.7772407420395089</v>
      </c>
      <c r="K2739" s="8"/>
    </row>
    <row r="2740" spans="1:11" ht="15" x14ac:dyDescent="0.25">
      <c r="A2740" s="3" t="str">
        <f>HYPERLINK("proteomic_fractions_linear_files/Yang_linear_img/407261621.jpg", "407261621")</f>
        <v>407261621</v>
      </c>
      <c r="C2740" s="3" t="str">
        <f>HYPERLINK("http://www.ncbi.nlm.nih.gov/protein/407261621","Gm10015")</f>
        <v>Gm10015</v>
      </c>
      <c r="E2740" t="str">
        <f>HYPERLINK("J:\Depot - mpkCCD Fractions\Main Web Page\Web Pages_old\proteomic_fractions_linear_files/Yang_linear_img/407261621.jpg","show blot")</f>
        <v>show blot</v>
      </c>
      <c r="G2740" t="s">
        <v>2712</v>
      </c>
      <c r="I2740" s="6">
        <v>5.7772407420395089</v>
      </c>
      <c r="K2740" s="8"/>
    </row>
    <row r="2741" spans="1:11" ht="15" x14ac:dyDescent="0.25">
      <c r="A2741" s="3" t="str">
        <f>HYPERLINK("proteomic_fractions_linear_files/Yang_linear_img/309262801.jpg", "309262801")</f>
        <v>309262801</v>
      </c>
      <c r="C2741" s="3" t="str">
        <f>HYPERLINK("http://www.ncbi.nlm.nih.gov/protein/309262801","Gm10029")</f>
        <v>Gm10029</v>
      </c>
      <c r="E2741" t="str">
        <f>HYPERLINK("J:\Depot - mpkCCD Fractions\Main Web Page\Web Pages_old\proteomic_fractions_linear_files/Yang_linear_img/309262801.jpg","show blot")</f>
        <v>show blot</v>
      </c>
      <c r="G2741" t="s">
        <v>2713</v>
      </c>
      <c r="I2741" s="6">
        <v>6.6823444414205797</v>
      </c>
      <c r="K2741" s="8"/>
    </row>
    <row r="2742" spans="1:11" ht="15" x14ac:dyDescent="0.25">
      <c r="A2742" s="3" t="str">
        <f>HYPERLINK("proteomic_fractions_linear_files/Yang_linear_img/309266791.jpg", "309266791")</f>
        <v>309266791</v>
      </c>
      <c r="C2742" s="3" t="str">
        <f>HYPERLINK("http://www.ncbi.nlm.nih.gov/protein/309266791","Gm10045")</f>
        <v>Gm10045</v>
      </c>
      <c r="E2742" t="str">
        <f>HYPERLINK("J:\Depot - mpkCCD Fractions\Main Web Page\Web Pages_old\proteomic_fractions_linear_files/Yang_linear_img/309266791.jpg","show blot")</f>
        <v>show blot</v>
      </c>
      <c r="G2742" t="s">
        <v>2714</v>
      </c>
      <c r="I2742" s="6">
        <v>6.7855869037989773</v>
      </c>
      <c r="K2742" s="8"/>
    </row>
    <row r="2743" spans="1:11" ht="15" x14ac:dyDescent="0.25">
      <c r="A2743" s="3" t="str">
        <f>HYPERLINK("proteomic_fractions_linear_files/Yang_linear_img/309270949.jpg", "309270949")</f>
        <v>309270949</v>
      </c>
      <c r="C2743" s="3" t="str">
        <f>HYPERLINK("http://www.ncbi.nlm.nih.gov/protein/309270949","Gm10045")</f>
        <v>Gm10045</v>
      </c>
      <c r="E2743" t="str">
        <f>HYPERLINK("J:\Depot - mpkCCD Fractions\Main Web Page\Web Pages_old\proteomic_fractions_linear_files/Yang_linear_img/309270949.jpg","show blot")</f>
        <v>show blot</v>
      </c>
      <c r="G2743" t="s">
        <v>2714</v>
      </c>
      <c r="I2743" s="6">
        <v>6.7855869037989773</v>
      </c>
      <c r="K2743" s="8"/>
    </row>
    <row r="2744" spans="1:11" ht="15" x14ac:dyDescent="0.25">
      <c r="A2744" s="3" t="str">
        <f>HYPERLINK("proteomic_fractions_linear_files/Yang_linear_img/309265470.jpg", "309265470")</f>
        <v>309265470</v>
      </c>
      <c r="C2744" s="3" t="str">
        <f>HYPERLINK("http://www.ncbi.nlm.nih.gov/protein/309265470","Gm10051")</f>
        <v>Gm10051</v>
      </c>
      <c r="E2744" t="str">
        <f>HYPERLINK("J:\Depot - mpkCCD Fractions\Main Web Page\Web Pages_old\proteomic_fractions_linear_files/Yang_linear_img/309265470.jpg","show blot")</f>
        <v>show blot</v>
      </c>
      <c r="G2744" t="s">
        <v>2715</v>
      </c>
      <c r="I2744" s="6">
        <v>6.5048613868535163</v>
      </c>
      <c r="K2744" s="8"/>
    </row>
    <row r="2745" spans="1:11" ht="15" x14ac:dyDescent="0.25">
      <c r="A2745" s="3" t="str">
        <f>HYPERLINK("proteomic_fractions_linear_files/Yang_linear_img/149258678.jpg", "149258678")</f>
        <v>149258678</v>
      </c>
      <c r="C2745" s="3" t="str">
        <f>HYPERLINK("http://www.ncbi.nlm.nih.gov/protein/149258678","Gm10063")</f>
        <v>Gm10063</v>
      </c>
      <c r="E2745" t="str">
        <f>HYPERLINK("J:\Depot - mpkCCD Fractions\Main Web Page\Web Pages_old\proteomic_fractions_linear_files/Yang_linear_img/149258678.jpg","show blot")</f>
        <v>show blot</v>
      </c>
      <c r="G2745" t="s">
        <v>2716</v>
      </c>
      <c r="I2745" s="6">
        <v>6.6099749177263005</v>
      </c>
      <c r="K2745" s="8"/>
    </row>
    <row r="2746" spans="1:11" ht="15" x14ac:dyDescent="0.25">
      <c r="A2746" s="3" t="str">
        <f>HYPERLINK("proteomic_fractions_linear_files/Yang_linear_img/149251177.jpg", "149251177")</f>
        <v>149251177</v>
      </c>
      <c r="C2746" s="3" t="str">
        <f>HYPERLINK("http://www.ncbi.nlm.nih.gov/protein/149251177","Gm10071")</f>
        <v>Gm10071</v>
      </c>
      <c r="E2746" t="str">
        <f>HYPERLINK("J:\Depot - mpkCCD Fractions\Main Web Page\Web Pages_old\proteomic_fractions_linear_files/Yang_linear_img/149251177.jpg","show blot")</f>
        <v>show blot</v>
      </c>
      <c r="G2746" t="s">
        <v>2717</v>
      </c>
      <c r="I2746" s="6">
        <v>6.998754842460059</v>
      </c>
      <c r="K2746" s="8"/>
    </row>
    <row r="2747" spans="1:11" ht="15" x14ac:dyDescent="0.25">
      <c r="A2747" s="3" t="str">
        <f>HYPERLINK("proteomic_fractions_linear_files/Yang_linear_img/215490077.jpg", "215490077")</f>
        <v>215490077</v>
      </c>
      <c r="C2747" s="3" t="str">
        <f>HYPERLINK("http://www.ncbi.nlm.nih.gov/protein/215490077","Gm10094")</f>
        <v>Gm10094</v>
      </c>
      <c r="E2747" t="str">
        <f>HYPERLINK("J:\Depot - mpkCCD Fractions\Main Web Page\Web Pages_old\proteomic_fractions_linear_files/Yang_linear_img/215490077.jpg","show blot")</f>
        <v>show blot</v>
      </c>
      <c r="G2747" t="s">
        <v>2718</v>
      </c>
      <c r="I2747" s="6">
        <v>4.3420066460944966</v>
      </c>
      <c r="K2747" s="8"/>
    </row>
    <row r="2748" spans="1:11" ht="15" x14ac:dyDescent="0.25">
      <c r="A2748" s="3" t="str">
        <f>HYPERLINK("proteomic_fractions_linear_files/Yang_linear_img/309262120.jpg", "309262120")</f>
        <v>309262120</v>
      </c>
      <c r="C2748" s="3" t="str">
        <f>HYPERLINK("http://www.ncbi.nlm.nih.gov/protein/309262120","Gm10145")</f>
        <v>Gm10145</v>
      </c>
      <c r="E2748" t="str">
        <f>HYPERLINK("J:\Depot - mpkCCD Fractions\Main Web Page\Web Pages_old\proteomic_fractions_linear_files/Yang_linear_img/309262120.jpg","show blot")</f>
        <v>show blot</v>
      </c>
      <c r="G2748" t="s">
        <v>2712</v>
      </c>
      <c r="I2748" s="6">
        <v>5.7779874255451924</v>
      </c>
      <c r="K2748" s="8"/>
    </row>
    <row r="2749" spans="1:11" ht="15" x14ac:dyDescent="0.25">
      <c r="A2749" s="3" t="str">
        <f>HYPERLINK("proteomic_fractions_linear_files/Yang_linear_img/309265879.jpg", "309265879")</f>
        <v>309265879</v>
      </c>
      <c r="C2749" s="3" t="str">
        <f>HYPERLINK("http://www.ncbi.nlm.nih.gov/protein/309265879","Gm10166")</f>
        <v>Gm10166</v>
      </c>
      <c r="E2749" t="str">
        <f>HYPERLINK("J:\Depot - mpkCCD Fractions\Main Web Page\Web Pages_old\proteomic_fractions_linear_files/Yang_linear_img/309265879.jpg","show blot")</f>
        <v>show blot</v>
      </c>
      <c r="G2749" t="s">
        <v>2719</v>
      </c>
      <c r="I2749" s="6">
        <v>6.7483421877605192</v>
      </c>
      <c r="K2749" s="8"/>
    </row>
    <row r="2750" spans="1:11" ht="15" x14ac:dyDescent="0.25">
      <c r="A2750" s="3" t="str">
        <f>HYPERLINK("proteomic_fractions_linear_files/Yang_linear_img/407263363.jpg", "407263363")</f>
        <v>407263363</v>
      </c>
      <c r="C2750" s="3" t="str">
        <f>HYPERLINK("http://www.ncbi.nlm.nih.gov/protein/407263363","Gm10166")</f>
        <v>Gm10166</v>
      </c>
      <c r="E2750" t="str">
        <f>HYPERLINK("J:\Depot - mpkCCD Fractions\Main Web Page\Web Pages_old\proteomic_fractions_linear_files/Yang_linear_img/407263363.jpg","show blot")</f>
        <v>show blot</v>
      </c>
      <c r="G2750" t="s">
        <v>2720</v>
      </c>
      <c r="I2750" s="6">
        <v>6.7483421877605192</v>
      </c>
      <c r="K2750" s="8"/>
    </row>
    <row r="2751" spans="1:11" ht="15" x14ac:dyDescent="0.25">
      <c r="A2751" s="3" t="str">
        <f>HYPERLINK("proteomic_fractions_linear_files/Yang_linear_img/309265700.jpg", "309265700")</f>
        <v>309265700</v>
      </c>
      <c r="C2751" s="3" t="str">
        <f>HYPERLINK("http://www.ncbi.nlm.nih.gov/protein/309265700","Gm10224")</f>
        <v>Gm10224</v>
      </c>
      <c r="E2751" t="str">
        <f>HYPERLINK("J:\Depot - mpkCCD Fractions\Main Web Page\Web Pages_old\proteomic_fractions_linear_files/Yang_linear_img/309265700.jpg","show blot")</f>
        <v>show blot</v>
      </c>
      <c r="G2751" t="s">
        <v>2721</v>
      </c>
      <c r="I2751" s="6">
        <v>6.3383975341037431</v>
      </c>
      <c r="K2751" s="8"/>
    </row>
    <row r="2752" spans="1:11" ht="15" x14ac:dyDescent="0.25">
      <c r="A2752" s="3" t="str">
        <f>HYPERLINK("proteomic_fractions_linear_files/Yang_linear_img/407262232.jpg", "407262232")</f>
        <v>407262232</v>
      </c>
      <c r="C2752" s="3" t="str">
        <f>HYPERLINK("http://www.ncbi.nlm.nih.gov/protein/407262232","Gm10237")</f>
        <v>Gm10237</v>
      </c>
      <c r="E2752" t="str">
        <f>HYPERLINK("J:\Depot - mpkCCD Fractions\Main Web Page\Web Pages_old\proteomic_fractions_linear_files/Yang_linear_img/407262232.jpg","show blot")</f>
        <v>show blot</v>
      </c>
      <c r="G2752" t="s">
        <v>2713</v>
      </c>
      <c r="I2752" s="6">
        <v>6.6070161851071489</v>
      </c>
      <c r="K2752" s="8"/>
    </row>
    <row r="2753" spans="1:11" ht="15" x14ac:dyDescent="0.25">
      <c r="A2753" s="3" t="str">
        <f>HYPERLINK("proteomic_fractions_linear_files/Yang_linear_img/407262068.jpg", "407262068")</f>
        <v>407262068</v>
      </c>
      <c r="C2753" s="3" t="str">
        <f>HYPERLINK("http://www.ncbi.nlm.nih.gov/protein/407262068","Gm10257")</f>
        <v>Gm10257</v>
      </c>
      <c r="E2753" t="str">
        <f>HYPERLINK("J:\Depot - mpkCCD Fractions\Main Web Page\Web Pages_old\proteomic_fractions_linear_files/Yang_linear_img/407262068.jpg","show blot")</f>
        <v>show blot</v>
      </c>
      <c r="G2753" t="s">
        <v>2722</v>
      </c>
      <c r="I2753" s="6">
        <v>7.7667529567654761</v>
      </c>
      <c r="K2753" s="8"/>
    </row>
    <row r="2754" spans="1:11" ht="15" x14ac:dyDescent="0.25">
      <c r="A2754" s="3" t="str">
        <f>HYPERLINK("proteomic_fractions_linear_files/Yang_linear_img/309267049.jpg", "309267049")</f>
        <v>309267049</v>
      </c>
      <c r="C2754" s="3" t="str">
        <f>HYPERLINK("http://www.ncbi.nlm.nih.gov/protein/309267049","Gm10294")</f>
        <v>Gm10294</v>
      </c>
      <c r="E2754" t="str">
        <f>HYPERLINK("J:\Depot - mpkCCD Fractions\Main Web Page\Web Pages_old\proteomic_fractions_linear_files/Yang_linear_img/309267049.jpg","show blot")</f>
        <v>show blot</v>
      </c>
      <c r="G2754" t="s">
        <v>2719</v>
      </c>
      <c r="I2754" s="6">
        <v>6.6707690831722886</v>
      </c>
      <c r="K2754" s="8"/>
    </row>
    <row r="2755" spans="1:11" ht="15" x14ac:dyDescent="0.25">
      <c r="A2755" s="3" t="str">
        <f>HYPERLINK("proteomic_fractions_linear_files/Yang_linear_img/407263409.jpg", "407263409")</f>
        <v>407263409</v>
      </c>
      <c r="C2755" s="3" t="str">
        <f>HYPERLINK("http://www.ncbi.nlm.nih.gov/protein/407263409","Gm10294")</f>
        <v>Gm10294</v>
      </c>
      <c r="E2755" t="str">
        <f>HYPERLINK("J:\Depot - mpkCCD Fractions\Main Web Page\Web Pages_old\proteomic_fractions_linear_files/Yang_linear_img/407263409.jpg","show blot")</f>
        <v>show blot</v>
      </c>
      <c r="G2755" t="s">
        <v>2719</v>
      </c>
      <c r="I2755" s="6">
        <v>6.6707690831722886</v>
      </c>
      <c r="K2755" s="8"/>
    </row>
    <row r="2756" spans="1:11" ht="15" x14ac:dyDescent="0.25">
      <c r="A2756" s="3" t="str">
        <f>HYPERLINK("proteomic_fractions_linear_files/Yang_linear_img/82995559.jpg", "82995559")</f>
        <v>82995559</v>
      </c>
      <c r="C2756" s="3" t="str">
        <f>HYPERLINK("http://www.ncbi.nlm.nih.gov/protein/82995559","Gm10349")</f>
        <v>Gm10349</v>
      </c>
      <c r="E2756" t="str">
        <f>HYPERLINK("J:\Depot - mpkCCD Fractions\Main Web Page\Web Pages_old\proteomic_fractions_linear_files/Yang_linear_img/82995559.jpg","show blot")</f>
        <v>show blot</v>
      </c>
      <c r="G2756" t="s">
        <v>2723</v>
      </c>
      <c r="I2756" s="6">
        <v>5.9075426339796788</v>
      </c>
      <c r="K2756" s="8"/>
    </row>
    <row r="2757" spans="1:11" ht="15" x14ac:dyDescent="0.25">
      <c r="A2757" s="3" t="str">
        <f>HYPERLINK("proteomic_fractions_linear_files/Yang_linear_img/309263288.jpg", "309263288")</f>
        <v>309263288</v>
      </c>
      <c r="C2757" s="3" t="str">
        <f>HYPERLINK("http://www.ncbi.nlm.nih.gov/protein/309263288","Gm10362")</f>
        <v>Gm10362</v>
      </c>
      <c r="E2757" t="str">
        <f>HYPERLINK("J:\Depot - mpkCCD Fractions\Main Web Page\Web Pages_old\proteomic_fractions_linear_files/Yang_linear_img/309263288.jpg","show blot")</f>
        <v>show blot</v>
      </c>
      <c r="G2757" t="s">
        <v>2719</v>
      </c>
      <c r="I2757" s="6">
        <v>6.6036894841874583</v>
      </c>
      <c r="K2757" s="8"/>
    </row>
    <row r="2758" spans="1:11" ht="15" x14ac:dyDescent="0.25">
      <c r="A2758" s="3" t="str">
        <f>HYPERLINK("proteomic_fractions_linear_files/Yang_linear_img/309270584.jpg", "309270584")</f>
        <v>309270584</v>
      </c>
      <c r="C2758" s="3" t="str">
        <f>HYPERLINK("http://www.ncbi.nlm.nih.gov/protein/309270584","Gm10362")</f>
        <v>Gm10362</v>
      </c>
      <c r="E2758" t="str">
        <f>HYPERLINK("J:\Depot - mpkCCD Fractions\Main Web Page\Web Pages_old\proteomic_fractions_linear_files/Yang_linear_img/309270584.jpg","show blot")</f>
        <v>show blot</v>
      </c>
      <c r="G2758" t="s">
        <v>2719</v>
      </c>
      <c r="I2758" s="6">
        <v>6.6036894841874583</v>
      </c>
      <c r="K2758" s="8"/>
    </row>
    <row r="2759" spans="1:11" ht="15" x14ac:dyDescent="0.25">
      <c r="A2759" s="3" t="str">
        <f>HYPERLINK("proteomic_fractions_linear_files/Yang_linear_img/82902507.jpg", "82902507")</f>
        <v>82902507</v>
      </c>
      <c r="C2759" s="3" t="str">
        <f>HYPERLINK("http://www.ncbi.nlm.nih.gov/protein/82902507","Gm10420")</f>
        <v>Gm10420</v>
      </c>
      <c r="E2759" t="str">
        <f>HYPERLINK("J:\Depot - mpkCCD Fractions\Main Web Page\Web Pages_old\proteomic_fractions_linear_files/Yang_linear_img/82902507.jpg","show blot")</f>
        <v>show blot</v>
      </c>
      <c r="G2759" t="s">
        <v>2724</v>
      </c>
      <c r="I2759" s="6">
        <v>6.8861274814349658</v>
      </c>
      <c r="K2759" s="8"/>
    </row>
    <row r="2760" spans="1:11" ht="15" x14ac:dyDescent="0.25">
      <c r="A2760" s="3" t="str">
        <f>HYPERLINK("proteomic_fractions_linear_files/Yang_linear_img/169808401.jpg", "169808401")</f>
        <v>169808401</v>
      </c>
      <c r="C2760" s="3" t="str">
        <f>HYPERLINK("http://www.ncbi.nlm.nih.gov/protein/169808401","Gm10639")</f>
        <v>Gm10639</v>
      </c>
      <c r="E2760" t="str">
        <f>HYPERLINK("J:\Depot - mpkCCD Fractions\Main Web Page\Web Pages_old\proteomic_fractions_linear_files/Yang_linear_img/169808401.jpg","show blot")</f>
        <v>show blot</v>
      </c>
      <c r="G2760" t="s">
        <v>2725</v>
      </c>
      <c r="I2760" s="6">
        <v>4.1677730070717747</v>
      </c>
      <c r="K2760" s="8"/>
    </row>
    <row r="2761" spans="1:11" ht="15" x14ac:dyDescent="0.25">
      <c r="A2761" s="3" t="str">
        <f>HYPERLINK("proteomic_fractions_linear_files/Yang_linear_img/149251263.jpg", "149251263")</f>
        <v>149251263</v>
      </c>
      <c r="C2761" s="3" t="str">
        <f>HYPERLINK("http://www.ncbi.nlm.nih.gov/protein/149251263","Gm10705")</f>
        <v>Gm10705</v>
      </c>
      <c r="E2761" t="str">
        <f>HYPERLINK("J:\Depot - mpkCCD Fractions\Main Web Page\Web Pages_old\proteomic_fractions_linear_files/Yang_linear_img/149251263.jpg","show blot")</f>
        <v>show blot</v>
      </c>
      <c r="G2761" t="s">
        <v>2726</v>
      </c>
      <c r="I2761" s="6">
        <v>5.7831574751763934</v>
      </c>
      <c r="K2761" s="8"/>
    </row>
    <row r="2762" spans="1:11" ht="15" x14ac:dyDescent="0.25">
      <c r="A2762" s="3" t="str">
        <f>HYPERLINK("proteomic_fractions_linear_files/Yang_linear_img/377833873.jpg", "377833873")</f>
        <v>377833873</v>
      </c>
      <c r="C2762" s="3" t="str">
        <f>HYPERLINK("http://www.ncbi.nlm.nih.gov/protein/377833873","Gm10705")</f>
        <v>Gm10705</v>
      </c>
      <c r="E2762" t="str">
        <f>HYPERLINK("J:\Depot - mpkCCD Fractions\Main Web Page\Web Pages_old\proteomic_fractions_linear_files/Yang_linear_img/377833873.jpg","show blot")</f>
        <v>show blot</v>
      </c>
      <c r="G2762" t="s">
        <v>2712</v>
      </c>
      <c r="I2762" s="6">
        <v>5.7831574751763934</v>
      </c>
      <c r="K2762" s="8"/>
    </row>
    <row r="2763" spans="1:11" ht="15" x14ac:dyDescent="0.25">
      <c r="A2763" s="3" t="str">
        <f>HYPERLINK("proteomic_fractions_linear_files/Yang_linear_img/309263481.jpg", "309263481")</f>
        <v>309263481</v>
      </c>
      <c r="C2763" s="3" t="str">
        <f>HYPERLINK("http://www.ncbi.nlm.nih.gov/protein/309263481","Gm10913")</f>
        <v>Gm10913</v>
      </c>
      <c r="E2763" t="str">
        <f>HYPERLINK("J:\Depot - mpkCCD Fractions\Main Web Page\Web Pages_old\proteomic_fractions_linear_files/Yang_linear_img/309263481.jpg","show blot")</f>
        <v>show blot</v>
      </c>
      <c r="G2763" t="s">
        <v>2727</v>
      </c>
      <c r="I2763" s="6">
        <v>5.8653906142501651</v>
      </c>
      <c r="K2763" s="8"/>
    </row>
    <row r="2764" spans="1:11" ht="15" x14ac:dyDescent="0.25">
      <c r="A2764" s="3" t="str">
        <f>HYPERLINK("proteomic_fractions_linear_files/Yang_linear_img/407263845.jpg", "407263845")</f>
        <v>407263845</v>
      </c>
      <c r="C2764" s="3" t="str">
        <f>HYPERLINK("http://www.ncbi.nlm.nih.gov/protein/407263845","Gm11397")</f>
        <v>Gm11397</v>
      </c>
      <c r="E2764" t="str">
        <f>HYPERLINK("J:\Depot - mpkCCD Fractions\Main Web Page\Web Pages_old\proteomic_fractions_linear_files/Yang_linear_img/407263845.jpg","show blot")</f>
        <v>show blot</v>
      </c>
      <c r="G2764" t="s">
        <v>2728</v>
      </c>
      <c r="I2764" s="6">
        <v>4.9717417944930595</v>
      </c>
      <c r="K2764" s="8"/>
    </row>
    <row r="2765" spans="1:11" ht="15" x14ac:dyDescent="0.25">
      <c r="A2765" s="3" t="str">
        <f>HYPERLINK("proteomic_fractions_linear_files/Yang_linear_img/149250406.jpg", "149250406")</f>
        <v>149250406</v>
      </c>
      <c r="C2765" s="3" t="str">
        <f>HYPERLINK("http://www.ncbi.nlm.nih.gov/protein/149250406","Gm11449")</f>
        <v>Gm11449</v>
      </c>
      <c r="E2765" t="str">
        <f>HYPERLINK("J:\Depot - mpkCCD Fractions\Main Web Page\Web Pages_old\proteomic_fractions_linear_files/Yang_linear_img/149250406.jpg","show blot")</f>
        <v>show blot</v>
      </c>
      <c r="G2765" t="s">
        <v>2727</v>
      </c>
      <c r="I2765" s="6">
        <v>5.8984133947886361</v>
      </c>
      <c r="K2765" s="8"/>
    </row>
    <row r="2766" spans="1:11" ht="15" x14ac:dyDescent="0.25">
      <c r="A2766" s="3" t="str">
        <f>HYPERLINK("proteomic_fractions_linear_files/Yang_linear_img/309267799.jpg", "309267799")</f>
        <v>309267799</v>
      </c>
      <c r="C2766" s="3" t="str">
        <f>HYPERLINK("http://www.ncbi.nlm.nih.gov/protein/309267799","Gm11686")</f>
        <v>Gm11686</v>
      </c>
      <c r="E2766" t="str">
        <f>HYPERLINK("J:\Depot - mpkCCD Fractions\Main Web Page\Web Pages_old\proteomic_fractions_linear_files/Yang_linear_img/309267799.jpg","show blot")</f>
        <v>show blot</v>
      </c>
      <c r="G2766" t="s">
        <v>2713</v>
      </c>
      <c r="I2766" s="6">
        <v>6.6137828759206512</v>
      </c>
      <c r="K2766" s="8"/>
    </row>
    <row r="2767" spans="1:11" ht="15" x14ac:dyDescent="0.25">
      <c r="A2767" s="3" t="str">
        <f>HYPERLINK("proteomic_fractions_linear_files/Yang_linear_img/309264602.jpg", "309264602")</f>
        <v>309264602</v>
      </c>
      <c r="C2767" s="3" t="str">
        <f>HYPERLINK("http://www.ncbi.nlm.nih.gov/protein/309264602","Gm11686")</f>
        <v>Gm11686</v>
      </c>
      <c r="E2767" t="str">
        <f>HYPERLINK("J:\Depot - mpkCCD Fractions\Main Web Page\Web Pages_old\proteomic_fractions_linear_files/Yang_linear_img/309264602.jpg","show blot")</f>
        <v>show blot</v>
      </c>
      <c r="G2767" t="s">
        <v>2713</v>
      </c>
      <c r="I2767" s="6">
        <v>6.6137828759206512</v>
      </c>
      <c r="K2767" s="8"/>
    </row>
    <row r="2768" spans="1:11" ht="15" x14ac:dyDescent="0.25">
      <c r="A2768" s="3" t="str">
        <f>HYPERLINK("proteomic_fractions_linear_files/Yang_linear_img/309262452.jpg", "309262452")</f>
        <v>309262452</v>
      </c>
      <c r="C2768" s="3" t="str">
        <f>HYPERLINK("http://www.ncbi.nlm.nih.gov/protein/309262452","Gm11703")</f>
        <v>Gm11703</v>
      </c>
      <c r="E2768" t="str">
        <f>HYPERLINK("J:\Depot - mpkCCD Fractions\Main Web Page\Web Pages_old\proteomic_fractions_linear_files/Yang_linear_img/309262452.jpg","show blot")</f>
        <v>show blot</v>
      </c>
      <c r="G2768" t="s">
        <v>2714</v>
      </c>
      <c r="I2768" s="6">
        <v>6.750352767416655</v>
      </c>
      <c r="K2768" s="8"/>
    </row>
    <row r="2769" spans="1:11" ht="15" x14ac:dyDescent="0.25">
      <c r="A2769" s="3" t="str">
        <f>HYPERLINK("proteomic_fractions_linear_files/Yang_linear_img/309268070.jpg", "309268070")</f>
        <v>309268070</v>
      </c>
      <c r="C2769" s="3" t="str">
        <f>HYPERLINK("http://www.ncbi.nlm.nih.gov/protein/309268070","Gm11787")</f>
        <v>Gm11787</v>
      </c>
      <c r="E2769" t="str">
        <f>HYPERLINK("J:\Depot - mpkCCD Fractions\Main Web Page\Web Pages_old\proteomic_fractions_linear_files/Yang_linear_img/309268070.jpg","show blot")</f>
        <v>show blot</v>
      </c>
      <c r="G2769" t="s">
        <v>2729</v>
      </c>
      <c r="I2769" s="6">
        <v>4.5388477421773263</v>
      </c>
      <c r="K2769" s="8"/>
    </row>
    <row r="2770" spans="1:11" ht="15" x14ac:dyDescent="0.25">
      <c r="A2770" s="3" t="str">
        <f>HYPERLINK("proteomic_fractions_linear_files/Yang_linear_img/149252067.jpg", "149252067")</f>
        <v>149252067</v>
      </c>
      <c r="C2770" s="3" t="str">
        <f>HYPERLINK("http://www.ncbi.nlm.nih.gov/protein/149252067","Gm11810")</f>
        <v>Gm11810</v>
      </c>
      <c r="E2770" t="str">
        <f>HYPERLINK("J:\Depot - mpkCCD Fractions\Main Web Page\Web Pages_old\proteomic_fractions_linear_files/Yang_linear_img/149252067.jpg","show blot")</f>
        <v>show blot</v>
      </c>
      <c r="G2770" t="s">
        <v>2713</v>
      </c>
      <c r="I2770" s="6">
        <v>6.410189826990389</v>
      </c>
      <c r="K2770" s="8"/>
    </row>
    <row r="2771" spans="1:11" ht="15" x14ac:dyDescent="0.25">
      <c r="A2771" s="3" t="str">
        <f>HYPERLINK("proteomic_fractions_linear_files/Yang_linear_img/309264937.jpg", "309264937")</f>
        <v>309264937</v>
      </c>
      <c r="C2771" s="3" t="str">
        <f>HYPERLINK("http://www.ncbi.nlm.nih.gov/protein/309264937","Gm11810")</f>
        <v>Gm11810</v>
      </c>
      <c r="E2771" t="str">
        <f>HYPERLINK("J:\Depot - mpkCCD Fractions\Main Web Page\Web Pages_old\proteomic_fractions_linear_files/Yang_linear_img/309264937.jpg","show blot")</f>
        <v>show blot</v>
      </c>
      <c r="G2771" t="s">
        <v>2713</v>
      </c>
      <c r="I2771" s="6">
        <v>6.410189826990389</v>
      </c>
      <c r="K2771" s="8"/>
    </row>
    <row r="2772" spans="1:11" ht="15" x14ac:dyDescent="0.25">
      <c r="A2772" s="3" t="str">
        <f>HYPERLINK("proteomic_fractions_linear_files/Yang_linear_img/309262489.jpg", "309262489")</f>
        <v>309262489</v>
      </c>
      <c r="C2772" s="3" t="str">
        <f>HYPERLINK("http://www.ncbi.nlm.nih.gov/protein/309262489","Gm11964")</f>
        <v>Gm11964</v>
      </c>
      <c r="E2772" t="str">
        <f>HYPERLINK("J:\Depot - mpkCCD Fractions\Main Web Page\Web Pages_old\proteomic_fractions_linear_files/Yang_linear_img/309262489.jpg","show blot")</f>
        <v>show blot</v>
      </c>
      <c r="G2772" t="s">
        <v>2730</v>
      </c>
      <c r="I2772" s="6">
        <v>5.2817978229378815</v>
      </c>
      <c r="K2772" s="8"/>
    </row>
    <row r="2773" spans="1:11" ht="15" x14ac:dyDescent="0.25">
      <c r="A2773" s="3" t="str">
        <f>HYPERLINK("proteomic_fractions_linear_files/Yang_linear_img/82934691.jpg", "82934691")</f>
        <v>82934691</v>
      </c>
      <c r="C2773" s="3" t="str">
        <f>HYPERLINK("http://www.ncbi.nlm.nih.gov/protein/82934691","Gm12271")</f>
        <v>Gm12271</v>
      </c>
      <c r="E2773" t="str">
        <f>HYPERLINK("J:\Depot - mpkCCD Fractions\Main Web Page\Web Pages_old\proteomic_fractions_linear_files/Yang_linear_img/82934691.jpg","show blot")</f>
        <v>show blot</v>
      </c>
      <c r="G2773" t="s">
        <v>2722</v>
      </c>
      <c r="I2773" s="6">
        <v>4.0455970505325825</v>
      </c>
      <c r="K2773" s="8"/>
    </row>
    <row r="2774" spans="1:11" ht="15" x14ac:dyDescent="0.25">
      <c r="A2774" s="3" t="str">
        <f>HYPERLINK("proteomic_fractions_linear_files/Yang_linear_img/407261175.jpg", "407261175")</f>
        <v>407261175</v>
      </c>
      <c r="C2774" s="3" t="str">
        <f>HYPERLINK("http://www.ncbi.nlm.nih.gov/protein/407261175","Gm12508")</f>
        <v>Gm12508</v>
      </c>
      <c r="E2774" t="str">
        <f>HYPERLINK("J:\Depot - mpkCCD Fractions\Main Web Page\Web Pages_old\proteomic_fractions_linear_files/Yang_linear_img/407261175.jpg","show blot")</f>
        <v>show blot</v>
      </c>
      <c r="G2774" t="s">
        <v>2727</v>
      </c>
      <c r="I2774" s="6">
        <v>5.9666728162814557</v>
      </c>
      <c r="K2774" s="8"/>
    </row>
    <row r="2775" spans="1:11" ht="15" x14ac:dyDescent="0.25">
      <c r="A2775" s="3" t="str">
        <f>HYPERLINK("proteomic_fractions_linear_files/Yang_linear_img/407263120.jpg", "407263120")</f>
        <v>407263120</v>
      </c>
      <c r="C2775" s="3" t="str">
        <f>HYPERLINK("http://www.ncbi.nlm.nih.gov/protein/407263120","Gm12508")</f>
        <v>Gm12508</v>
      </c>
      <c r="E2775" t="str">
        <f>HYPERLINK("J:\Depot - mpkCCD Fractions\Main Web Page\Web Pages_old\proteomic_fractions_linear_files/Yang_linear_img/407263120.jpg","show blot")</f>
        <v>show blot</v>
      </c>
      <c r="G2775" t="s">
        <v>2727</v>
      </c>
      <c r="I2775" s="6">
        <v>5.9666728162814557</v>
      </c>
      <c r="K2775" s="8"/>
    </row>
    <row r="2776" spans="1:11" ht="15" x14ac:dyDescent="0.25">
      <c r="A2776" s="3" t="str">
        <f>HYPERLINK("proteomic_fractions_linear_files/Yang_linear_img/149252501.jpg", "149252501")</f>
        <v>149252501</v>
      </c>
      <c r="C2776" s="3" t="str">
        <f>HYPERLINK("http://www.ncbi.nlm.nih.gov/protein/149252501","Gm12538")</f>
        <v>Gm12538</v>
      </c>
      <c r="E2776" t="str">
        <f>HYPERLINK("J:\Depot - mpkCCD Fractions\Main Web Page\Web Pages_old\proteomic_fractions_linear_files/Yang_linear_img/149252501.jpg","show blot")</f>
        <v>show blot</v>
      </c>
      <c r="G2776" t="s">
        <v>2731</v>
      </c>
      <c r="I2776" s="6">
        <v>4.0070876635291279</v>
      </c>
      <c r="K2776" s="8"/>
    </row>
    <row r="2777" spans="1:11" ht="15" x14ac:dyDescent="0.25">
      <c r="A2777" s="3" t="str">
        <f>HYPERLINK("proteomic_fractions_linear_files/Yang_linear_img/124486606.jpg", "124486606")</f>
        <v>124486606</v>
      </c>
      <c r="C2777" s="3" t="str">
        <f>HYPERLINK("http://www.ncbi.nlm.nih.gov/protein/124486606","Gm12657")</f>
        <v>Gm12657</v>
      </c>
      <c r="E2777" t="str">
        <f>HYPERLINK("J:\Depot - mpkCCD Fractions\Main Web Page\Web Pages_old\proteomic_fractions_linear_files/Yang_linear_img/124486606.jpg","show blot")</f>
        <v>show blot</v>
      </c>
      <c r="G2777" t="s">
        <v>2732</v>
      </c>
      <c r="I2777" s="6">
        <v>7.7667529567654761</v>
      </c>
      <c r="K2777" s="8"/>
    </row>
    <row r="2778" spans="1:11" ht="15" x14ac:dyDescent="0.25">
      <c r="A2778" s="3" t="str">
        <f>HYPERLINK("proteomic_fractions_linear_files/Yang_linear_img/407261198.jpg", "407261198")</f>
        <v>407261198</v>
      </c>
      <c r="C2778" s="3" t="str">
        <f>HYPERLINK("http://www.ncbi.nlm.nih.gov/protein/407261198","Gm12666")</f>
        <v>Gm12666</v>
      </c>
      <c r="E2778" t="str">
        <f>HYPERLINK("J:\Depot - mpkCCD Fractions\Main Web Page\Web Pages_old\proteomic_fractions_linear_files/Yang_linear_img/407261198.jpg","show blot")</f>
        <v>show blot</v>
      </c>
      <c r="G2778" t="s">
        <v>2733</v>
      </c>
      <c r="I2778" s="6">
        <v>5.2138654766936483</v>
      </c>
      <c r="K2778" s="8"/>
    </row>
    <row r="2779" spans="1:11" ht="15" x14ac:dyDescent="0.25">
      <c r="A2779" s="3" t="str">
        <f>HYPERLINK("proteomic_fractions_linear_files/Yang_linear_img/149252780.jpg", "149252780")</f>
        <v>149252780</v>
      </c>
      <c r="C2779" s="3" t="str">
        <f>HYPERLINK("http://www.ncbi.nlm.nih.gov/protein/149252780","Gm12693")</f>
        <v>Gm12693</v>
      </c>
      <c r="E2779" t="str">
        <f>HYPERLINK("J:\Depot - mpkCCD Fractions\Main Web Page\Web Pages_old\proteomic_fractions_linear_files/Yang_linear_img/149252780.jpg","show blot")</f>
        <v>show blot</v>
      </c>
      <c r="G2779" t="s">
        <v>2734</v>
      </c>
      <c r="I2779" s="6">
        <v>5.3229153527632711</v>
      </c>
      <c r="K2779" s="8"/>
    </row>
    <row r="2780" spans="1:11" ht="15" x14ac:dyDescent="0.25">
      <c r="A2780" s="3" t="str">
        <f>HYPERLINK("proteomic_fractions_linear_files/Yang_linear_img/124486863.jpg", "124486863")</f>
        <v>124486863</v>
      </c>
      <c r="C2780" s="3" t="str">
        <f>HYPERLINK("http://www.ncbi.nlm.nih.gov/protein/124486863","Gm12695")</f>
        <v>Gm12695</v>
      </c>
      <c r="E2780" t="str">
        <f>HYPERLINK("J:\Depot - mpkCCD Fractions\Main Web Page\Web Pages_old\proteomic_fractions_linear_files/Yang_linear_img/124486863.jpg","show blot")</f>
        <v>show blot</v>
      </c>
      <c r="G2780" t="s">
        <v>2735</v>
      </c>
      <c r="I2780" s="6">
        <v>1.589264793087533</v>
      </c>
      <c r="K2780" s="8"/>
    </row>
    <row r="2781" spans="1:11" ht="15" x14ac:dyDescent="0.25">
      <c r="A2781" s="3" t="str">
        <f>HYPERLINK("proteomic_fractions_linear_files/Yang_linear_img/309265873.jpg", "309265873")</f>
        <v>309265873</v>
      </c>
      <c r="C2781" s="3" t="str">
        <f>HYPERLINK("http://www.ncbi.nlm.nih.gov/protein/309265873","Gm12770")</f>
        <v>Gm12770</v>
      </c>
      <c r="E2781" t="str">
        <f>HYPERLINK("J:\Depot - mpkCCD Fractions\Main Web Page\Web Pages_old\proteomic_fractions_linear_files/Yang_linear_img/309265873.jpg","show blot")</f>
        <v>show blot</v>
      </c>
      <c r="G2781" t="s">
        <v>2736</v>
      </c>
      <c r="I2781" s="6">
        <v>6.5135613596407422</v>
      </c>
      <c r="K2781" s="8"/>
    </row>
    <row r="2782" spans="1:11" ht="15" x14ac:dyDescent="0.25">
      <c r="A2782" s="3" t="str">
        <f>HYPERLINK("proteomic_fractions_linear_files/Yang_linear_img/309266996.jpg", "309266996")</f>
        <v>309266996</v>
      </c>
      <c r="C2782" s="3" t="str">
        <f>HYPERLINK("http://www.ncbi.nlm.nih.gov/protein/309266996","Gm12816")</f>
        <v>Gm12816</v>
      </c>
      <c r="E2782" t="str">
        <f>HYPERLINK("J:\Depot - mpkCCD Fractions\Main Web Page\Web Pages_old\proteomic_fractions_linear_files/Yang_linear_img/309266996.jpg","show blot")</f>
        <v>show blot</v>
      </c>
      <c r="G2782" t="s">
        <v>2737</v>
      </c>
      <c r="I2782" s="6">
        <v>6.4927431350688449</v>
      </c>
      <c r="K2782" s="8"/>
    </row>
    <row r="2783" spans="1:11" ht="15" x14ac:dyDescent="0.25">
      <c r="A2783" s="3" t="str">
        <f>HYPERLINK("proteomic_fractions_linear_files/Yang_linear_img/309268181.jpg", "309268181")</f>
        <v>309268181</v>
      </c>
      <c r="C2783" s="3" t="str">
        <f>HYPERLINK("http://www.ncbi.nlm.nih.gov/protein/309268181","Gm12816")</f>
        <v>Gm12816</v>
      </c>
      <c r="E2783" t="str">
        <f>HYPERLINK("J:\Depot - mpkCCD Fractions\Main Web Page\Web Pages_old\proteomic_fractions_linear_files/Yang_linear_img/309268181.jpg","show blot")</f>
        <v>show blot</v>
      </c>
      <c r="G2783" t="s">
        <v>2738</v>
      </c>
      <c r="I2783" s="6">
        <v>6.4927431350688449</v>
      </c>
      <c r="K2783" s="8"/>
    </row>
    <row r="2784" spans="1:11" ht="15" x14ac:dyDescent="0.25">
      <c r="A2784" s="3" t="str">
        <f>HYPERLINK("proteomic_fractions_linear_files/Yang_linear_img/309265057.jpg", "309265057")</f>
        <v>309265057</v>
      </c>
      <c r="C2784" s="3" t="str">
        <f>HYPERLINK("http://www.ncbi.nlm.nih.gov/protein/309265057","Gm12854")</f>
        <v>Gm12854</v>
      </c>
      <c r="E2784" t="str">
        <f>HYPERLINK("J:\Depot - mpkCCD Fractions\Main Web Page\Web Pages_old\proteomic_fractions_linear_files/Yang_linear_img/309265057.jpg","show blot")</f>
        <v>show blot</v>
      </c>
      <c r="G2784" t="s">
        <v>2739</v>
      </c>
      <c r="I2784" s="6">
        <v>6.1495827524841893</v>
      </c>
      <c r="K2784" s="8"/>
    </row>
    <row r="2785" spans="1:11" ht="15" x14ac:dyDescent="0.25">
      <c r="A2785" s="3" t="str">
        <f>HYPERLINK("proteomic_fractions_linear_files/Yang_linear_img/150010657.jpg", "150010657")</f>
        <v>150010657</v>
      </c>
      <c r="C2785" s="3" t="str">
        <f>HYPERLINK("http://www.ncbi.nlm.nih.gov/protein/150010657","Gm12942")</f>
        <v>Gm12942</v>
      </c>
      <c r="E2785" t="str">
        <f>HYPERLINK("J:\Depot - mpkCCD Fractions\Main Web Page\Web Pages_old\proteomic_fractions_linear_files/Yang_linear_img/150010657.jpg","show blot")</f>
        <v>show blot</v>
      </c>
      <c r="G2785" t="s">
        <v>2740</v>
      </c>
      <c r="I2785" s="6">
        <v>3.7877602072873193</v>
      </c>
      <c r="K2785" s="8"/>
    </row>
    <row r="2786" spans="1:11" ht="15" x14ac:dyDescent="0.25">
      <c r="A2786" s="3" t="str">
        <f>HYPERLINK("proteomic_fractions_linear_files/Yang_linear_img/377837161.jpg", "377837161")</f>
        <v>377837161</v>
      </c>
      <c r="C2786" s="3" t="str">
        <f>HYPERLINK("http://www.ncbi.nlm.nih.gov/protein/377837161","Gm13035")</f>
        <v>Gm13035</v>
      </c>
      <c r="E2786" t="str">
        <f>HYPERLINK("J:\Depot - mpkCCD Fractions\Main Web Page\Web Pages_old\proteomic_fractions_linear_files/Yang_linear_img/377837161.jpg","show blot")</f>
        <v>show blot</v>
      </c>
      <c r="G2786" t="s">
        <v>2741</v>
      </c>
      <c r="I2786" s="6">
        <v>5.6381881805741907</v>
      </c>
      <c r="K2786" s="8"/>
    </row>
    <row r="2787" spans="1:11" ht="15" x14ac:dyDescent="0.25">
      <c r="A2787" s="3" t="str">
        <f>HYPERLINK("proteomic_fractions_linear_files/Yang_linear_img/309267134.jpg", "309267134")</f>
        <v>309267134</v>
      </c>
      <c r="C2787" s="3" t="str">
        <f>HYPERLINK("http://www.ncbi.nlm.nih.gov/protein/309267134","Gm13149")</f>
        <v>Gm13149</v>
      </c>
      <c r="E2787" t="str">
        <f>HYPERLINK("J:\Depot - mpkCCD Fractions\Main Web Page\Web Pages_old\proteomic_fractions_linear_files/Yang_linear_img/309267134.jpg","show blot")</f>
        <v>show blot</v>
      </c>
      <c r="G2787" t="s">
        <v>2741</v>
      </c>
      <c r="I2787" s="6">
        <v>5.6381881805741907</v>
      </c>
      <c r="K2787" s="8"/>
    </row>
    <row r="2788" spans="1:11" ht="15" x14ac:dyDescent="0.25">
      <c r="A2788" s="3" t="str">
        <f>HYPERLINK("proteomic_fractions_linear_files/Yang_linear_img/82896218.jpg", "82896218")</f>
        <v>82896218</v>
      </c>
      <c r="C2788" s="3" t="str">
        <f>HYPERLINK("http://www.ncbi.nlm.nih.gov/protein/82896218","Gm13202")</f>
        <v>Gm13202</v>
      </c>
      <c r="E2788" t="str">
        <f>HYPERLINK("J:\Depot - mpkCCD Fractions\Main Web Page\Web Pages_old\proteomic_fractions_linear_files/Yang_linear_img/82896218.jpg","show blot")</f>
        <v>show blot</v>
      </c>
      <c r="G2788" t="s">
        <v>2742</v>
      </c>
      <c r="I2788" s="6">
        <v>4.8944537682706244</v>
      </c>
      <c r="K2788" s="8"/>
    </row>
    <row r="2789" spans="1:11" ht="15" x14ac:dyDescent="0.25">
      <c r="A2789" s="3" t="str">
        <f>HYPERLINK("proteomic_fractions_linear_files/Yang_linear_img/377837182.jpg", "377837182")</f>
        <v>377837182</v>
      </c>
      <c r="C2789" s="3" t="str">
        <f>HYPERLINK("http://www.ncbi.nlm.nih.gov/protein/377837182","Gm13202")</f>
        <v>Gm13202</v>
      </c>
      <c r="E2789" t="str">
        <f>HYPERLINK("J:\Depot - mpkCCD Fractions\Main Web Page\Web Pages_old\proteomic_fractions_linear_files/Yang_linear_img/377837182.jpg","show blot")</f>
        <v>show blot</v>
      </c>
      <c r="G2789" t="s">
        <v>2742</v>
      </c>
      <c r="I2789" s="6">
        <v>4.8944537682706244</v>
      </c>
      <c r="K2789" s="8"/>
    </row>
    <row r="2790" spans="1:11" ht="15" x14ac:dyDescent="0.25">
      <c r="A2790" s="3" t="str">
        <f>HYPERLINK("proteomic_fractions_linear_files/Yang_linear_img/63517178.jpg", "63517178")</f>
        <v>63517178</v>
      </c>
      <c r="C2790" s="3" t="str">
        <f>HYPERLINK("http://www.ncbi.nlm.nih.gov/protein/63517178","Gm13213")</f>
        <v>Gm13213</v>
      </c>
      <c r="E2790" t="str">
        <f>HYPERLINK("J:\Depot - mpkCCD Fractions\Main Web Page\Web Pages_old\proteomic_fractions_linear_files/Yang_linear_img/63517178.jpg","show blot")</f>
        <v>show blot</v>
      </c>
      <c r="G2790" t="s">
        <v>2727</v>
      </c>
      <c r="I2790" s="6">
        <v>5.8984133947886361</v>
      </c>
      <c r="K2790" s="8"/>
    </row>
    <row r="2791" spans="1:11" ht="15" x14ac:dyDescent="0.25">
      <c r="A2791" s="3" t="str">
        <f>HYPERLINK("proteomic_fractions_linear_files/Yang_linear_img/309265127.jpg", "309265127")</f>
        <v>309265127</v>
      </c>
      <c r="C2791" s="3" t="str">
        <f>HYPERLINK("http://www.ncbi.nlm.nih.gov/protein/309265127","Gm13213")</f>
        <v>Gm13213</v>
      </c>
      <c r="E2791" t="str">
        <f>HYPERLINK("J:\Depot - mpkCCD Fractions\Main Web Page\Web Pages_old\proteomic_fractions_linear_files/Yang_linear_img/309265127.jpg","show blot")</f>
        <v>show blot</v>
      </c>
      <c r="G2791" t="s">
        <v>2727</v>
      </c>
      <c r="I2791" s="6">
        <v>5.8984133947886361</v>
      </c>
      <c r="K2791" s="8"/>
    </row>
    <row r="2792" spans="1:11" ht="15" x14ac:dyDescent="0.25">
      <c r="A2792" s="3" t="str">
        <f>HYPERLINK("proteomic_fractions_linear_files/Yang_linear_img/94372927.jpg", "94372927")</f>
        <v>94372927</v>
      </c>
      <c r="C2792" s="3" t="str">
        <f>HYPERLINK("http://www.ncbi.nlm.nih.gov/protein/94372927","Gm13229")</f>
        <v>Gm13229</v>
      </c>
      <c r="E2792" t="str">
        <f>HYPERLINK("J:\Depot - mpkCCD Fractions\Main Web Page\Web Pages_old\proteomic_fractions_linear_files/Yang_linear_img/94372927.jpg","show blot")</f>
        <v>show blot</v>
      </c>
      <c r="G2792" t="s">
        <v>2741</v>
      </c>
      <c r="I2792" s="6">
        <v>5.6381881805741907</v>
      </c>
      <c r="K2792" s="8"/>
    </row>
    <row r="2793" spans="1:11" ht="15" x14ac:dyDescent="0.25">
      <c r="A2793" s="3" t="str">
        <f>HYPERLINK("proteomic_fractions_linear_files/Yang_linear_img/309272470.jpg", "309272470")</f>
        <v>309272470</v>
      </c>
      <c r="C2793" s="3" t="str">
        <f>HYPERLINK("http://www.ncbi.nlm.nih.gov/protein/309272470","Gm13249")</f>
        <v>Gm13249</v>
      </c>
      <c r="E2793" t="str">
        <f>HYPERLINK("J:\Depot - mpkCCD Fractions\Main Web Page\Web Pages_old\proteomic_fractions_linear_files/Yang_linear_img/309272470.jpg","show blot")</f>
        <v>show blot</v>
      </c>
      <c r="G2793" t="s">
        <v>2741</v>
      </c>
      <c r="I2793" s="6">
        <v>5.6381881805741907</v>
      </c>
      <c r="K2793" s="8"/>
    </row>
    <row r="2794" spans="1:11" ht="15" x14ac:dyDescent="0.25">
      <c r="A2794" s="3" t="str">
        <f>HYPERLINK("proteomic_fractions_linear_files/Yang_linear_img/407262645.jpg", "407262645")</f>
        <v>407262645</v>
      </c>
      <c r="C2794" s="3" t="str">
        <f>HYPERLINK("http://www.ncbi.nlm.nih.gov/protein/407262645","Gm13249")</f>
        <v>Gm13249</v>
      </c>
      <c r="E2794" t="str">
        <f>HYPERLINK("J:\Depot - mpkCCD Fractions\Main Web Page\Web Pages_old\proteomic_fractions_linear_files/Yang_linear_img/407262645.jpg","show blot")</f>
        <v>show blot</v>
      </c>
      <c r="G2794" t="s">
        <v>2741</v>
      </c>
      <c r="I2794" s="6">
        <v>5.6381881805741907</v>
      </c>
      <c r="K2794" s="8"/>
    </row>
    <row r="2795" spans="1:11" ht="15" x14ac:dyDescent="0.25">
      <c r="A2795" s="3" t="str">
        <f>HYPERLINK("proteomic_fractions_linear_files/Yang_linear_img/407261047.jpg", "407261047")</f>
        <v>407261047</v>
      </c>
      <c r="C2795" s="3" t="str">
        <f>HYPERLINK("http://www.ncbi.nlm.nih.gov/protein/407261047","Gm13552")</f>
        <v>Gm13552</v>
      </c>
      <c r="E2795" t="str">
        <f>HYPERLINK("J:\Depot - mpkCCD Fractions\Main Web Page\Web Pages_old\proteomic_fractions_linear_files/Yang_linear_img/407261047.jpg","show blot")</f>
        <v>show blot</v>
      </c>
      <c r="G2795" t="s">
        <v>2743</v>
      </c>
      <c r="I2795" s="6">
        <v>3.3598553119303185</v>
      </c>
      <c r="K2795" s="8"/>
    </row>
    <row r="2796" spans="1:11" ht="15" x14ac:dyDescent="0.25">
      <c r="A2796" s="3" t="str">
        <f>HYPERLINK("proteomic_fractions_linear_files/Yang_linear_img/309264473.jpg", "309264473")</f>
        <v>309264473</v>
      </c>
      <c r="C2796" s="3" t="str">
        <f>HYPERLINK("http://www.ncbi.nlm.nih.gov/protein/309264473","Gm13653")</f>
        <v>Gm13653</v>
      </c>
      <c r="E2796" t="str">
        <f>HYPERLINK("J:\Depot - mpkCCD Fractions\Main Web Page\Web Pages_old\proteomic_fractions_linear_files/Yang_linear_img/309264473.jpg","show blot")</f>
        <v>show blot</v>
      </c>
      <c r="G2796" t="s">
        <v>2714</v>
      </c>
      <c r="I2796" s="6">
        <v>6.750352767416655</v>
      </c>
      <c r="K2796" s="8"/>
    </row>
    <row r="2797" spans="1:11" ht="15" x14ac:dyDescent="0.25">
      <c r="A2797" s="3" t="str">
        <f>HYPERLINK("proteomic_fractions_linear_files/Yang_linear_img/82885184.jpg", "82885184")</f>
        <v>82885184</v>
      </c>
      <c r="C2797" s="3" t="str">
        <f>HYPERLINK("http://www.ncbi.nlm.nih.gov/protein/82885184","Gm13777")</f>
        <v>Gm13777</v>
      </c>
      <c r="E2797" t="str">
        <f>HYPERLINK("J:\Depot - mpkCCD Fractions\Main Web Page\Web Pages_old\proteomic_fractions_linear_files/Yang_linear_img/82885184.jpg","show blot")</f>
        <v>show blot</v>
      </c>
      <c r="G2797" t="s">
        <v>2744</v>
      </c>
      <c r="I2797" s="6">
        <v>5.6381881805741907</v>
      </c>
      <c r="K2797" s="8"/>
    </row>
    <row r="2798" spans="1:11" ht="15" x14ac:dyDescent="0.25">
      <c r="A2798" s="3" t="str">
        <f>HYPERLINK("proteomic_fractions_linear_files/Yang_linear_img/82885753.jpg", "82885753")</f>
        <v>82885753</v>
      </c>
      <c r="C2798" s="3" t="str">
        <f>HYPERLINK("http://www.ncbi.nlm.nih.gov/protein/82885753","Gm13981")</f>
        <v>Gm13981</v>
      </c>
      <c r="E2798" t="str">
        <f>HYPERLINK("J:\Depot - mpkCCD Fractions\Main Web Page\Web Pages_old\proteomic_fractions_linear_files/Yang_linear_img/82885753.jpg","show blot")</f>
        <v>show blot</v>
      </c>
      <c r="G2798" t="s">
        <v>2745</v>
      </c>
      <c r="I2798" s="6">
        <v>6.1116825600533886</v>
      </c>
      <c r="K2798" s="8"/>
    </row>
    <row r="2799" spans="1:11" ht="15" x14ac:dyDescent="0.25">
      <c r="A2799" s="3" t="str">
        <f>HYPERLINK("proteomic_fractions_linear_files/Yang_linear_img/309264633.jpg", "309264633")</f>
        <v>309264633</v>
      </c>
      <c r="C2799" s="3" t="str">
        <f>HYPERLINK("http://www.ncbi.nlm.nih.gov/protein/309264633","Gm14217")</f>
        <v>Gm14217</v>
      </c>
      <c r="E2799" t="str">
        <f>HYPERLINK("J:\Depot - mpkCCD Fractions\Main Web Page\Web Pages_old\proteomic_fractions_linear_files/Yang_linear_img/309264633.jpg","show blot")</f>
        <v>show blot</v>
      </c>
      <c r="G2799" t="s">
        <v>2746</v>
      </c>
      <c r="I2799" s="6">
        <v>6.5386983219558736</v>
      </c>
      <c r="K2799" s="8"/>
    </row>
    <row r="2800" spans="1:11" ht="15" x14ac:dyDescent="0.25">
      <c r="A2800" s="3" t="str">
        <f>HYPERLINK("proteomic_fractions_linear_files/Yang_linear_img/309267832.jpg", "309267832")</f>
        <v>309267832</v>
      </c>
      <c r="C2800" s="3" t="str">
        <f>HYPERLINK("http://www.ncbi.nlm.nih.gov/protein/309267832","Gm14217")</f>
        <v>Gm14217</v>
      </c>
      <c r="E2800" t="str">
        <f>HYPERLINK("J:\Depot - mpkCCD Fractions\Main Web Page\Web Pages_old\proteomic_fractions_linear_files/Yang_linear_img/309267832.jpg","show blot")</f>
        <v>show blot</v>
      </c>
      <c r="G2800" t="s">
        <v>2746</v>
      </c>
      <c r="I2800" s="6">
        <v>6.5386983219558736</v>
      </c>
      <c r="K2800" s="8"/>
    </row>
    <row r="2801" spans="1:11" ht="15" x14ac:dyDescent="0.25">
      <c r="A2801" s="3" t="str">
        <f>HYPERLINK("proteomic_fractions_linear_files/Yang_linear_img/309264642.jpg", "309264642")</f>
        <v>309264642</v>
      </c>
      <c r="C2801" s="3" t="str">
        <f>HYPERLINK("http://www.ncbi.nlm.nih.gov/protein/309264642","Gm14277")</f>
        <v>Gm14277</v>
      </c>
      <c r="E2801" t="str">
        <f>HYPERLINK("J:\Depot - mpkCCD Fractions\Main Web Page\Web Pages_old\proteomic_fractions_linear_files/Yang_linear_img/309264642.jpg","show blot")</f>
        <v>show blot</v>
      </c>
      <c r="G2801" t="s">
        <v>2747</v>
      </c>
      <c r="I2801" s="6">
        <v>5.0729150543064589</v>
      </c>
      <c r="K2801" s="8"/>
    </row>
    <row r="2802" spans="1:11" ht="15" x14ac:dyDescent="0.25">
      <c r="A2802" s="3" t="str">
        <f>HYPERLINK("proteomic_fractions_linear_files/Yang_linear_img/149250385.jpg", "149250385")</f>
        <v>149250385</v>
      </c>
      <c r="C2802" s="3" t="str">
        <f>HYPERLINK("http://www.ncbi.nlm.nih.gov/protein/149250385","Gm14279")</f>
        <v>Gm14279</v>
      </c>
      <c r="E2802" t="str">
        <f>HYPERLINK("J:\Depot - mpkCCD Fractions\Main Web Page\Web Pages_old\proteomic_fractions_linear_files/Yang_linear_img/149250385.jpg","show blot")</f>
        <v>show blot</v>
      </c>
      <c r="G2802" t="s">
        <v>2713</v>
      </c>
      <c r="I2802" s="6">
        <v>6.8567757506354763</v>
      </c>
      <c r="K2802" s="8"/>
    </row>
    <row r="2803" spans="1:11" ht="15" x14ac:dyDescent="0.25">
      <c r="A2803" s="3" t="str">
        <f>HYPERLINK("proteomic_fractions_linear_files/Yang_linear_img/309264679.jpg", "309264679")</f>
        <v>309264679</v>
      </c>
      <c r="C2803" s="3" t="str">
        <f>HYPERLINK("http://www.ncbi.nlm.nih.gov/protein/309264679","Gm14407")</f>
        <v>Gm14407</v>
      </c>
      <c r="E2803" t="str">
        <f>HYPERLINK("J:\Depot - mpkCCD Fractions\Main Web Page\Web Pages_old\proteomic_fractions_linear_files/Yang_linear_img/309264679.jpg","show blot")</f>
        <v>show blot</v>
      </c>
      <c r="G2803" t="s">
        <v>2745</v>
      </c>
      <c r="I2803" s="6">
        <v>4.598111048546019</v>
      </c>
      <c r="K2803" s="8"/>
    </row>
    <row r="2804" spans="1:11" ht="15" x14ac:dyDescent="0.25">
      <c r="A2804" s="3" t="str">
        <f>HYPERLINK("proteomic_fractions_linear_files/Yang_linear_img/82887979.jpg", "82887979")</f>
        <v>82887979</v>
      </c>
      <c r="C2804" s="3" t="str">
        <f>HYPERLINK("http://www.ncbi.nlm.nih.gov/protein/82887979","Gm14439")</f>
        <v>Gm14439</v>
      </c>
      <c r="E2804" t="str">
        <f>HYPERLINK("J:\Depot - mpkCCD Fractions\Main Web Page\Web Pages_old\proteomic_fractions_linear_files/Yang_linear_img/82887979.jpg","show blot")</f>
        <v>show blot</v>
      </c>
      <c r="G2804" t="s">
        <v>2745</v>
      </c>
      <c r="I2804" s="6">
        <v>4.598111048546019</v>
      </c>
      <c r="K2804" s="8"/>
    </row>
    <row r="2805" spans="1:11" ht="15" x14ac:dyDescent="0.25">
      <c r="A2805" s="3" t="str">
        <f>HYPERLINK("proteomic_fractions_linear_files/Yang_linear_img/160333495.jpg", "160333495")</f>
        <v>160333495</v>
      </c>
      <c r="C2805" s="3" t="str">
        <f>HYPERLINK("http://www.ncbi.nlm.nih.gov/protein/160333495","Gm14446")</f>
        <v>Gm14446</v>
      </c>
      <c r="E2805" t="str">
        <f>HYPERLINK("J:\Depot - mpkCCD Fractions\Main Web Page\Web Pages_old\proteomic_fractions_linear_files/Yang_linear_img/160333495.jpg","show blot")</f>
        <v>show blot</v>
      </c>
      <c r="G2805" t="s">
        <v>2748</v>
      </c>
      <c r="I2805" s="6">
        <v>3.7989648589600655</v>
      </c>
      <c r="K2805" s="8"/>
    </row>
    <row r="2806" spans="1:11" ht="15" x14ac:dyDescent="0.25">
      <c r="A2806" s="3" t="str">
        <f>HYPERLINK("proteomic_fractions_linear_files/Yang_linear_img/160333500.jpg", "160333500")</f>
        <v>160333500</v>
      </c>
      <c r="C2806" s="3" t="str">
        <f>HYPERLINK("http://www.ncbi.nlm.nih.gov/protein/160333500","Gm14446")</f>
        <v>Gm14446</v>
      </c>
      <c r="E2806" t="str">
        <f>HYPERLINK("J:\Depot - mpkCCD Fractions\Main Web Page\Web Pages_old\proteomic_fractions_linear_files/Yang_linear_img/160333500.jpg","show blot")</f>
        <v>show blot</v>
      </c>
      <c r="G2806" t="s">
        <v>2749</v>
      </c>
      <c r="I2806" s="6">
        <v>3.7989648589600655</v>
      </c>
      <c r="K2806" s="8"/>
    </row>
    <row r="2807" spans="1:11" ht="15" x14ac:dyDescent="0.25">
      <c r="A2807" s="3" t="str">
        <f>HYPERLINK("proteomic_fractions_linear_files/Yang_linear_img/407262426.jpg", "407262426")</f>
        <v>407262426</v>
      </c>
      <c r="C2807" s="3" t="str">
        <f>HYPERLINK("http://www.ncbi.nlm.nih.gov/protein/407262426","Gm14517")</f>
        <v>Gm14517</v>
      </c>
      <c r="E2807" t="str">
        <f>HYPERLINK("J:\Depot - mpkCCD Fractions\Main Web Page\Web Pages_old\proteomic_fractions_linear_files/Yang_linear_img/407262426.jpg","show blot")</f>
        <v>show blot</v>
      </c>
      <c r="G2807" t="s">
        <v>2750</v>
      </c>
      <c r="I2807" s="6">
        <v>5.0719522021170667</v>
      </c>
      <c r="K2807" s="8"/>
    </row>
    <row r="2808" spans="1:11" ht="15" x14ac:dyDescent="0.25">
      <c r="A2808" s="3" t="str">
        <f>HYPERLINK("proteomic_fractions_linear_files/Yang_linear_img/309266821.jpg", "309266821")</f>
        <v>309266821</v>
      </c>
      <c r="C2808" s="3" t="str">
        <f>HYPERLINK("http://www.ncbi.nlm.nih.gov/protein/309266821","Gm14535")</f>
        <v>Gm14535</v>
      </c>
      <c r="E2808" t="str">
        <f>HYPERLINK("J:\Depot - mpkCCD Fractions\Main Web Page\Web Pages_old\proteomic_fractions_linear_files/Yang_linear_img/309266821.jpg","show blot")</f>
        <v>show blot</v>
      </c>
      <c r="G2808" t="s">
        <v>2751</v>
      </c>
      <c r="I2808" s="6">
        <v>3.9422790862386528</v>
      </c>
      <c r="K2808" s="8"/>
    </row>
    <row r="2809" spans="1:11" ht="15" x14ac:dyDescent="0.25">
      <c r="A2809" s="3" t="str">
        <f>HYPERLINK("proteomic_fractions_linear_files/Yang_linear_img/149271597.jpg", "149271597")</f>
        <v>149271597</v>
      </c>
      <c r="C2809" s="3" t="str">
        <f>HYPERLINK("http://www.ncbi.nlm.nih.gov/protein/149271597","Gm14680")</f>
        <v>Gm14680</v>
      </c>
      <c r="E2809" t="str">
        <f>HYPERLINK("J:\Depot - mpkCCD Fractions\Main Web Page\Web Pages_old\proteomic_fractions_linear_files/Yang_linear_img/149271597.jpg","show blot")</f>
        <v>show blot</v>
      </c>
      <c r="G2809" t="s">
        <v>2752</v>
      </c>
      <c r="I2809" s="6">
        <v>4.4528466104103064</v>
      </c>
      <c r="K2809" s="8"/>
    </row>
    <row r="2810" spans="1:11" ht="15" x14ac:dyDescent="0.25">
      <c r="A2810" s="3" t="str">
        <f>HYPERLINK("proteomic_fractions_linear_files/Yang_linear_img/309266900.jpg", "309266900")</f>
        <v>309266900</v>
      </c>
      <c r="C2810" s="3" t="str">
        <f>HYPERLINK("http://www.ncbi.nlm.nih.gov/protein/309266900","Gm14925")</f>
        <v>Gm14925</v>
      </c>
      <c r="E2810" t="str">
        <f>HYPERLINK("J:\Depot - mpkCCD Fractions\Main Web Page\Web Pages_old\proteomic_fractions_linear_files/Yang_linear_img/309266900.jpg","show blot")</f>
        <v>show blot</v>
      </c>
      <c r="G2810" t="s">
        <v>2753</v>
      </c>
      <c r="I2810" s="6">
        <v>2.9960344864068817</v>
      </c>
      <c r="K2810" s="8"/>
    </row>
    <row r="2811" spans="1:11" ht="15" x14ac:dyDescent="0.25">
      <c r="A2811" s="3" t="str">
        <f>HYPERLINK("proteomic_fractions_linear_files/Yang_linear_img/149272225.jpg", "149272225")</f>
        <v>149272225</v>
      </c>
      <c r="C2811" s="3" t="str">
        <f>HYPERLINK("http://www.ncbi.nlm.nih.gov/protein/149272225","Gm14958")</f>
        <v>Gm14958</v>
      </c>
      <c r="E2811" t="str">
        <f>HYPERLINK("J:\Depot - mpkCCD Fractions\Main Web Page\Web Pages_old\proteomic_fractions_linear_files/Yang_linear_img/149272225.jpg","show blot")</f>
        <v>show blot</v>
      </c>
      <c r="G2811" t="s">
        <v>2754</v>
      </c>
      <c r="I2811" s="6">
        <v>6.78195425651304</v>
      </c>
      <c r="K2811" s="8"/>
    </row>
    <row r="2812" spans="1:11" ht="15" x14ac:dyDescent="0.25">
      <c r="A2812" s="3" t="str">
        <f>HYPERLINK("proteomic_fractions_linear_files/Yang_linear_img/309266944.jpg", "309266944")</f>
        <v>309266944</v>
      </c>
      <c r="C2812" s="3" t="str">
        <f>HYPERLINK("http://www.ncbi.nlm.nih.gov/protein/309266944","Gm15032")</f>
        <v>Gm15032</v>
      </c>
      <c r="E2812" t="str">
        <f>HYPERLINK("J:\Depot - mpkCCD Fractions\Main Web Page\Web Pages_old\proteomic_fractions_linear_files/Yang_linear_img/309266944.jpg","show blot")</f>
        <v>show blot</v>
      </c>
      <c r="G2812" t="s">
        <v>2755</v>
      </c>
      <c r="I2812" s="6">
        <v>6.2275522762995088</v>
      </c>
      <c r="K2812" s="8"/>
    </row>
    <row r="2813" spans="1:11" ht="15" x14ac:dyDescent="0.25">
      <c r="A2813" s="3" t="str">
        <f>HYPERLINK("proteomic_fractions_linear_files/Yang_linear_img/377835587.jpg", "377835587")</f>
        <v>377835587</v>
      </c>
      <c r="C2813" s="3" t="str">
        <f>HYPERLINK("http://www.ncbi.nlm.nih.gov/protein/377835587","Gm15210")</f>
        <v>Gm15210</v>
      </c>
      <c r="E2813" t="str">
        <f>HYPERLINK("J:\Depot - mpkCCD Fractions\Main Web Page\Web Pages_old\proteomic_fractions_linear_files/Yang_linear_img/377835587.jpg","show blot")</f>
        <v>show blot</v>
      </c>
      <c r="G2813" t="s">
        <v>2756</v>
      </c>
      <c r="I2813" s="6">
        <v>5.8084269829360418</v>
      </c>
      <c r="K2813" s="8"/>
    </row>
    <row r="2814" spans="1:11" ht="15" x14ac:dyDescent="0.25">
      <c r="A2814" s="3" t="str">
        <f>HYPERLINK("proteomic_fractions_linear_files/Yang_linear_img/407262829.jpg", "407262829")</f>
        <v>407262829</v>
      </c>
      <c r="C2814" s="3" t="str">
        <f>HYPERLINK("http://www.ncbi.nlm.nih.gov/protein/407262829","Gm15453")</f>
        <v>Gm15453</v>
      </c>
      <c r="E2814" t="str">
        <f>HYPERLINK("J:\Depot - mpkCCD Fractions\Main Web Page\Web Pages_old\proteomic_fractions_linear_files/Yang_linear_img/407262829.jpg","show blot")</f>
        <v>show blot</v>
      </c>
      <c r="G2814" t="s">
        <v>2757</v>
      </c>
      <c r="I2814" s="6">
        <v>5.2316450929889315</v>
      </c>
      <c r="K2814" s="8"/>
    </row>
    <row r="2815" spans="1:11" ht="15" x14ac:dyDescent="0.25">
      <c r="A2815" s="3" t="str">
        <f>HYPERLINK("proteomic_fractions_linear_files/Yang_linear_img/309264693.jpg", "309264693")</f>
        <v>309264693</v>
      </c>
      <c r="C2815" s="3" t="str">
        <f>HYPERLINK("http://www.ncbi.nlm.nih.gov/protein/309264693","Gm15466")</f>
        <v>Gm15466</v>
      </c>
      <c r="E2815" t="str">
        <f>HYPERLINK("J:\Depot - mpkCCD Fractions\Main Web Page\Web Pages_old\proteomic_fractions_linear_files/Yang_linear_img/309264693.jpg","show blot")</f>
        <v>show blot</v>
      </c>
      <c r="G2815" t="s">
        <v>2758</v>
      </c>
      <c r="I2815" s="6">
        <v>6.2244084997709779</v>
      </c>
      <c r="K2815" s="8"/>
    </row>
    <row r="2816" spans="1:11" ht="15" x14ac:dyDescent="0.25">
      <c r="A2816" s="3" t="str">
        <f>HYPERLINK("proteomic_fractions_linear_files/Yang_linear_img/309266131.jpg", "309266131")</f>
        <v>309266131</v>
      </c>
      <c r="C2816" s="3" t="str">
        <f>HYPERLINK("http://www.ncbi.nlm.nih.gov/protein/309266131","Gm15483")</f>
        <v>Gm15483</v>
      </c>
      <c r="E2816" t="str">
        <f>HYPERLINK("J:\Depot - mpkCCD Fractions\Main Web Page\Web Pages_old\proteomic_fractions_linear_files/Yang_linear_img/309266131.jpg","show blot")</f>
        <v>show blot</v>
      </c>
      <c r="G2816" t="s">
        <v>2759</v>
      </c>
      <c r="I2816" s="6">
        <v>6.8433896980361171</v>
      </c>
      <c r="K2816" s="8"/>
    </row>
    <row r="2817" spans="1:11" ht="15" x14ac:dyDescent="0.25">
      <c r="A2817" s="3" t="str">
        <f>HYPERLINK("proteomic_fractions_linear_files/Yang_linear_img/149257598.jpg", "149257598")</f>
        <v>149257598</v>
      </c>
      <c r="C2817" s="3" t="str">
        <f>HYPERLINK("http://www.ncbi.nlm.nih.gov/protein/149257598","Gm15501")</f>
        <v>Gm15501</v>
      </c>
      <c r="E2817" t="str">
        <f>HYPERLINK("J:\Depot - mpkCCD Fractions\Main Web Page\Web Pages_old\proteomic_fractions_linear_files/Yang_linear_img/149257598.jpg","show blot")</f>
        <v>show blot</v>
      </c>
      <c r="G2817" t="s">
        <v>2760</v>
      </c>
      <c r="I2817" s="6">
        <v>7.0179263579008122</v>
      </c>
      <c r="K2817" s="8"/>
    </row>
    <row r="2818" spans="1:11" ht="15" x14ac:dyDescent="0.25">
      <c r="A2818" s="3" t="str">
        <f>HYPERLINK("proteomic_fractions_linear_files/Yang_linear_img/309265983.jpg", "309265983")</f>
        <v>309265983</v>
      </c>
      <c r="C2818" s="3" t="str">
        <f>HYPERLINK("http://www.ncbi.nlm.nih.gov/protein/309265983","Gm15501")</f>
        <v>Gm15501</v>
      </c>
      <c r="E2818" t="str">
        <f>HYPERLINK("J:\Depot - mpkCCD Fractions\Main Web Page\Web Pages_old\proteomic_fractions_linear_files/Yang_linear_img/309265983.jpg","show blot")</f>
        <v>show blot</v>
      </c>
      <c r="G2818" t="s">
        <v>2761</v>
      </c>
      <c r="I2818" s="6">
        <v>7.0179263579008122</v>
      </c>
      <c r="K2818" s="8"/>
    </row>
    <row r="2819" spans="1:11" ht="15" x14ac:dyDescent="0.25">
      <c r="A2819" s="3" t="str">
        <f>HYPERLINK("proteomic_fractions_linear_files/Yang_linear_img/149234328.jpg", "149234328")</f>
        <v>149234328</v>
      </c>
      <c r="C2819" s="3" t="str">
        <f>HYPERLINK("http://www.ncbi.nlm.nih.gov/protein/149234328","Gm15583")</f>
        <v>Gm15583</v>
      </c>
      <c r="E2819" t="str">
        <f>HYPERLINK("J:\Depot - mpkCCD Fractions\Main Web Page\Web Pages_old\proteomic_fractions_linear_files/Yang_linear_img/149234328.jpg","show blot")</f>
        <v>show blot</v>
      </c>
      <c r="G2819" t="s">
        <v>2762</v>
      </c>
      <c r="I2819" s="6">
        <v>3.7202883520722168</v>
      </c>
      <c r="K2819" s="8"/>
    </row>
    <row r="2820" spans="1:11" ht="15" x14ac:dyDescent="0.25">
      <c r="A2820" s="3" t="str">
        <f>HYPERLINK("proteomic_fractions_linear_files/Yang_linear_img/309265319.jpg", "309265319")</f>
        <v>309265319</v>
      </c>
      <c r="C2820" s="3" t="str">
        <f>HYPERLINK("http://www.ncbi.nlm.nih.gov/protein/309265319","Gm15682")</f>
        <v>Gm15682</v>
      </c>
      <c r="E2820" t="str">
        <f>HYPERLINK("J:\Depot - mpkCCD Fractions\Main Web Page\Web Pages_old\proteomic_fractions_linear_files/Yang_linear_img/309265319.jpg","show blot")</f>
        <v>show blot</v>
      </c>
      <c r="G2820" t="s">
        <v>2714</v>
      </c>
      <c r="I2820" s="6">
        <v>6.4783705015765269</v>
      </c>
      <c r="K2820" s="8"/>
    </row>
    <row r="2821" spans="1:11" ht="15" x14ac:dyDescent="0.25">
      <c r="A2821" s="3" t="str">
        <f>HYPERLINK("proteomic_fractions_linear_files/Yang_linear_img/359718915.jpg", "359718915")</f>
        <v>359718915</v>
      </c>
      <c r="C2821" s="3" t="str">
        <f>HYPERLINK("http://www.ncbi.nlm.nih.gov/protein/359718915","Gm15800")</f>
        <v>Gm15800</v>
      </c>
      <c r="E2821" t="str">
        <f>HYPERLINK("J:\Depot - mpkCCD Fractions\Main Web Page\Web Pages_old\proteomic_fractions_linear_files/Yang_linear_img/359718915.jpg","show blot")</f>
        <v>show blot</v>
      </c>
      <c r="G2821" t="s">
        <v>2763</v>
      </c>
      <c r="I2821" s="6">
        <v>3.0274471896865216</v>
      </c>
      <c r="K2821" s="8"/>
    </row>
    <row r="2822" spans="1:11" ht="15" x14ac:dyDescent="0.25">
      <c r="A2822" s="3" t="str">
        <f>HYPERLINK("proteomic_fractions_linear_files/Yang_linear_img/309264895.jpg", "309264895")</f>
        <v>309264895</v>
      </c>
      <c r="C2822" s="3" t="str">
        <f>HYPERLINK("http://www.ncbi.nlm.nih.gov/protein/309264895","Gm16500")</f>
        <v>Gm16500</v>
      </c>
      <c r="E2822" t="str">
        <f>HYPERLINK("J:\Depot - mpkCCD Fractions\Main Web Page\Web Pages_old\proteomic_fractions_linear_files/Yang_linear_img/309264895.jpg","show blot")</f>
        <v>show blot</v>
      </c>
      <c r="G2822" t="s">
        <v>2764</v>
      </c>
      <c r="I2822" s="6">
        <v>3.0675704935080628</v>
      </c>
      <c r="K2822" s="8"/>
    </row>
    <row r="2823" spans="1:11" ht="15" x14ac:dyDescent="0.25">
      <c r="A2823" s="3" t="str">
        <f>HYPERLINK("proteomic_fractions_linear_files/Yang_linear_img/13384646.jpg", "13384646")</f>
        <v>13384646</v>
      </c>
      <c r="C2823" s="3" t="str">
        <f>HYPERLINK("http://www.ncbi.nlm.nih.gov/protein/13384646","Gm16515")</f>
        <v>Gm16515</v>
      </c>
      <c r="E2823" t="str">
        <f>HYPERLINK("J:\Depot - mpkCCD Fractions\Main Web Page\Web Pages_old\proteomic_fractions_linear_files/Yang_linear_img/13384646.jpg","show blot")</f>
        <v>show blot</v>
      </c>
      <c r="G2823" t="s">
        <v>2765</v>
      </c>
      <c r="I2823" s="6">
        <v>4.5283922118889803</v>
      </c>
      <c r="K2823" s="8"/>
    </row>
    <row r="2824" spans="1:11" ht="15" x14ac:dyDescent="0.25">
      <c r="A2824" s="3" t="str">
        <f>HYPERLINK("proteomic_fractions_linear_files/Yang_linear_img/309271517.jpg", "309271517")</f>
        <v>309271517</v>
      </c>
      <c r="C2824" s="3" t="str">
        <f>HYPERLINK("http://www.ncbi.nlm.nih.gov/protein/309271517","Gm17267")</f>
        <v>Gm17267</v>
      </c>
      <c r="E2824" t="str">
        <f>HYPERLINK("J:\Depot - mpkCCD Fractions\Main Web Page\Web Pages_old\proteomic_fractions_linear_files/Yang_linear_img/309271517.jpg","show blot")</f>
        <v>show blot</v>
      </c>
      <c r="G2824" t="s">
        <v>2766</v>
      </c>
      <c r="I2824" s="6">
        <v>3.9280231966254116</v>
      </c>
      <c r="K2824" s="8"/>
    </row>
    <row r="2825" spans="1:11" ht="15" x14ac:dyDescent="0.25">
      <c r="A2825" s="3" t="str">
        <f>HYPERLINK("proteomic_fractions_linear_files/Yang_linear_img/309270883.jpg", "309270883")</f>
        <v>309270883</v>
      </c>
      <c r="C2825" s="3" t="str">
        <f>HYPERLINK("http://www.ncbi.nlm.nih.gov/protein/309270883","Gm17748")</f>
        <v>Gm17748</v>
      </c>
      <c r="E2825" t="str">
        <f>HYPERLINK("J:\Depot - mpkCCD Fractions\Main Web Page\Web Pages_old\proteomic_fractions_linear_files/Yang_linear_img/309270883.jpg","show blot")</f>
        <v>show blot</v>
      </c>
      <c r="G2825" t="s">
        <v>2767</v>
      </c>
      <c r="I2825" s="6">
        <v>5.2001859919132336</v>
      </c>
      <c r="K2825" s="8"/>
    </row>
    <row r="2826" spans="1:11" ht="15" x14ac:dyDescent="0.25">
      <c r="A2826" s="3" t="str">
        <f>HYPERLINK("proteomic_fractions_linear_files/Yang_linear_img/407262256.jpg", "407262256")</f>
        <v>407262256</v>
      </c>
      <c r="C2826" s="3" t="str">
        <f>HYPERLINK("http://www.ncbi.nlm.nih.gov/protein/407262256","Gm17748")</f>
        <v>Gm17748</v>
      </c>
      <c r="E2826" t="str">
        <f>HYPERLINK("J:\Depot - mpkCCD Fractions\Main Web Page\Web Pages_old\proteomic_fractions_linear_files/Yang_linear_img/407262256.jpg","show blot")</f>
        <v>show blot</v>
      </c>
      <c r="G2826" t="s">
        <v>2767</v>
      </c>
      <c r="I2826" s="6">
        <v>5.2001859919132336</v>
      </c>
      <c r="K2826" s="8"/>
    </row>
    <row r="2827" spans="1:11" ht="15" x14ac:dyDescent="0.25">
      <c r="A2827" s="3" t="str">
        <f>HYPERLINK("proteomic_fractions_linear_files/Yang_linear_img/467087326.jpg", "467087326")</f>
        <v>467087326</v>
      </c>
      <c r="C2827" s="3" t="str">
        <f>HYPERLINK("http://www.ncbi.nlm.nih.gov/protein/467087326","Gm1966")</f>
        <v>Gm1966</v>
      </c>
      <c r="E2827" t="str">
        <f>HYPERLINK("J:\Depot - mpkCCD Fractions\Main Web Page\Web Pages_old\proteomic_fractions_linear_files/Yang_linear_img/467087326.jpg","show blot")</f>
        <v>show blot</v>
      </c>
      <c r="G2827" t="s">
        <v>2768</v>
      </c>
      <c r="I2827" s="6">
        <v>4.2615028295492579</v>
      </c>
      <c r="K2827" s="8"/>
    </row>
    <row r="2828" spans="1:11" ht="15" x14ac:dyDescent="0.25">
      <c r="A2828" s="3" t="str">
        <f>HYPERLINK("proteomic_fractions_linear_files/Yang_linear_img/377834355.jpg", "377834355")</f>
        <v>377834355</v>
      </c>
      <c r="C2828" s="3" t="str">
        <f>HYPERLINK("http://www.ncbi.nlm.nih.gov/protein/377834355","Gm1966")</f>
        <v>Gm1966</v>
      </c>
      <c r="E2828" t="str">
        <f>HYPERLINK("J:\Depot - mpkCCD Fractions\Main Web Page\Web Pages_old\proteomic_fractions_linear_files/Yang_linear_img/377834355.jpg","show blot")</f>
        <v>show blot</v>
      </c>
      <c r="G2828" t="s">
        <v>2769</v>
      </c>
      <c r="I2828" s="6">
        <v>4.2615028295492579</v>
      </c>
      <c r="K2828" s="8"/>
    </row>
    <row r="2829" spans="1:11" ht="15" x14ac:dyDescent="0.25">
      <c r="A2829" s="3" t="str">
        <f>HYPERLINK("proteomic_fractions_linear_files/Yang_linear_img/467087326;309268933.jpg", "467087326;309268933")</f>
        <v>467087326;309268933</v>
      </c>
      <c r="C2829" s="3" t="str">
        <f>HYPERLINK("http://www.ncbi.nlm.nih.gov/protein/467087326;309268933","Gm1966")</f>
        <v>Gm1966</v>
      </c>
      <c r="E2829" t="str">
        <f>HYPERLINK("J:\Depot - mpkCCD Fractions\Main Web Page\Web Pages_old\proteomic_fractions_linear_files/Yang_linear_img/467087326;309268933.jpg","show blot")</f>
        <v>show blot</v>
      </c>
      <c r="G2829" t="s">
        <v>2768</v>
      </c>
      <c r="I2829" s="6">
        <v>4.2615028295492579</v>
      </c>
      <c r="K2829" s="8"/>
    </row>
    <row r="2830" spans="1:11" ht="15" x14ac:dyDescent="0.25">
      <c r="A2830" s="3" t="str">
        <f>HYPERLINK("proteomic_fractions_linear_files/Yang_linear_img/309268933.jpg", "309268933")</f>
        <v>309268933</v>
      </c>
      <c r="C2830" s="3" t="str">
        <f>HYPERLINK("http://www.ncbi.nlm.nih.gov/protein/309268933","Gm1966")</f>
        <v>Gm1966</v>
      </c>
      <c r="E2830" t="str">
        <f>HYPERLINK("J:\Depot - mpkCCD Fractions\Main Web Page\Web Pages_old\proteomic_fractions_linear_files/Yang_linear_img/309268933.jpg","show blot")</f>
        <v>show blot</v>
      </c>
      <c r="G2830" t="s">
        <v>2770</v>
      </c>
      <c r="I2830" s="6">
        <v>4.2615028295492579</v>
      </c>
      <c r="K2830" s="8"/>
    </row>
    <row r="2831" spans="1:11" ht="15" x14ac:dyDescent="0.25">
      <c r="A2831" s="3" t="str">
        <f>HYPERLINK("proteomic_fractions_linear_files/Yang_linear_img/407262653.jpg", "407262653")</f>
        <v>407262653</v>
      </c>
      <c r="C2831" s="3" t="str">
        <f>HYPERLINK("http://www.ncbi.nlm.nih.gov/protein/407262653","Gm19843")</f>
        <v>Gm19843</v>
      </c>
      <c r="E2831" t="str">
        <f>HYPERLINK("J:\Depot - mpkCCD Fractions\Main Web Page\Web Pages_old\proteomic_fractions_linear_files/Yang_linear_img/407262653.jpg","show blot")</f>
        <v>show blot</v>
      </c>
      <c r="G2831" t="s">
        <v>2771</v>
      </c>
      <c r="I2831" s="6">
        <v>6.8350401309909836</v>
      </c>
      <c r="K2831" s="8"/>
    </row>
    <row r="2832" spans="1:11" ht="15" x14ac:dyDescent="0.25">
      <c r="A2832" s="3" t="str">
        <f>HYPERLINK("proteomic_fractions_linear_files/Yang_linear_img/407263827.jpg", "407263827")</f>
        <v>407263827</v>
      </c>
      <c r="C2832" s="3" t="str">
        <f>HYPERLINK("http://www.ncbi.nlm.nih.gov/protein/407263827","Gm19843")</f>
        <v>Gm19843</v>
      </c>
      <c r="E2832" t="str">
        <f>HYPERLINK("J:\Depot - mpkCCD Fractions\Main Web Page\Web Pages_old\proteomic_fractions_linear_files/Yang_linear_img/407263827.jpg","show blot")</f>
        <v>show blot</v>
      </c>
      <c r="G2832" t="s">
        <v>2771</v>
      </c>
      <c r="I2832" s="6">
        <v>6.8350401309909836</v>
      </c>
      <c r="K2832" s="8"/>
    </row>
    <row r="2833" spans="1:11" ht="15" x14ac:dyDescent="0.25">
      <c r="A2833" s="3" t="str">
        <f>HYPERLINK("proteomic_fractions_linear_files/Yang_linear_img/407263802.jpg", "407263802")</f>
        <v>407263802</v>
      </c>
      <c r="C2833" s="3" t="str">
        <f>HYPERLINK("http://www.ncbi.nlm.nih.gov/protein/407263802","Gm2001")</f>
        <v>Gm2001</v>
      </c>
      <c r="E2833" t="str">
        <f>HYPERLINK("J:\Depot - mpkCCD Fractions\Main Web Page\Web Pages_old\proteomic_fractions_linear_files/Yang_linear_img/407263802.jpg","show blot")</f>
        <v>show blot</v>
      </c>
      <c r="G2833" t="s">
        <v>2772</v>
      </c>
      <c r="I2833" s="6">
        <v>5.3292336404727214</v>
      </c>
      <c r="K2833" s="8"/>
    </row>
    <row r="2834" spans="1:11" ht="15" x14ac:dyDescent="0.25">
      <c r="A2834" s="3" t="str">
        <f>HYPERLINK("proteomic_fractions_linear_files/Yang_linear_img/309263466.jpg", "309263466")</f>
        <v>309263466</v>
      </c>
      <c r="C2834" s="3" t="str">
        <f>HYPERLINK("http://www.ncbi.nlm.nih.gov/protein/309263466","Gm20056")</f>
        <v>Gm20056</v>
      </c>
      <c r="E2834" t="str">
        <f>HYPERLINK("J:\Depot - mpkCCD Fractions\Main Web Page\Web Pages_old\proteomic_fractions_linear_files/Yang_linear_img/309263466.jpg","show blot")</f>
        <v>show blot</v>
      </c>
      <c r="G2834" t="s">
        <v>2773</v>
      </c>
      <c r="I2834" s="6">
        <v>5.3476129260376153</v>
      </c>
      <c r="K2834" s="8"/>
    </row>
    <row r="2835" spans="1:11" ht="15" x14ac:dyDescent="0.25">
      <c r="A2835" s="3" t="str">
        <f>HYPERLINK("proteomic_fractions_linear_files/Yang_linear_img/309270749.jpg", "309270749")</f>
        <v>309270749</v>
      </c>
      <c r="C2835" s="3" t="str">
        <f>HYPERLINK("http://www.ncbi.nlm.nih.gov/protein/309270749","Gm20056")</f>
        <v>Gm20056</v>
      </c>
      <c r="E2835" t="str">
        <f>HYPERLINK("J:\Depot - mpkCCD Fractions\Main Web Page\Web Pages_old\proteomic_fractions_linear_files/Yang_linear_img/309270749.jpg","show blot")</f>
        <v>show blot</v>
      </c>
      <c r="G2835" t="s">
        <v>2773</v>
      </c>
      <c r="I2835" s="6">
        <v>5.3476129260376153</v>
      </c>
      <c r="K2835" s="8"/>
    </row>
    <row r="2836" spans="1:11" ht="15" x14ac:dyDescent="0.25">
      <c r="A2836" s="3" t="str">
        <f>HYPERLINK("proteomic_fractions_linear_files/Yang_linear_img/169808420.jpg", "169808420")</f>
        <v>169808420</v>
      </c>
      <c r="C2836" s="3" t="str">
        <f>HYPERLINK("http://www.ncbi.nlm.nih.gov/protein/169808420","Gm2016")</f>
        <v>Gm2016</v>
      </c>
      <c r="E2836" t="str">
        <f>HYPERLINK("J:\Depot - mpkCCD Fractions\Main Web Page\Web Pages_old\proteomic_fractions_linear_files/Yang_linear_img/169808420.jpg","show blot")</f>
        <v>show blot</v>
      </c>
      <c r="G2836" t="s">
        <v>2774</v>
      </c>
      <c r="I2836" s="6">
        <v>5.6331309333669575</v>
      </c>
      <c r="K2836" s="8"/>
    </row>
    <row r="2837" spans="1:11" ht="15" x14ac:dyDescent="0.25">
      <c r="A2837" s="3" t="str">
        <f>HYPERLINK("proteomic_fractions_linear_files/Yang_linear_img/407262742.jpg", "407262742")</f>
        <v>407262742</v>
      </c>
      <c r="C2837" s="3" t="str">
        <f>HYPERLINK("http://www.ncbi.nlm.nih.gov/protein/407262742","Gm2016")</f>
        <v>Gm2016</v>
      </c>
      <c r="E2837" t="str">
        <f>HYPERLINK("J:\Depot - mpkCCD Fractions\Main Web Page\Web Pages_old\proteomic_fractions_linear_files/Yang_linear_img/407262742.jpg","show blot")</f>
        <v>show blot</v>
      </c>
      <c r="G2837" t="s">
        <v>2775</v>
      </c>
      <c r="I2837" s="6">
        <v>5.6331309333669575</v>
      </c>
      <c r="K2837" s="8"/>
    </row>
    <row r="2838" spans="1:11" ht="15" x14ac:dyDescent="0.25">
      <c r="A2838" s="3" t="str">
        <f>HYPERLINK("proteomic_fractions_linear_files/Yang_linear_img/294832030.jpg", "294832030")</f>
        <v>294832030</v>
      </c>
      <c r="C2838" s="3" t="str">
        <f>HYPERLINK("http://www.ncbi.nlm.nih.gov/protein/294832030","Gm2022")</f>
        <v>Gm2022</v>
      </c>
      <c r="E2838" t="str">
        <f>HYPERLINK("J:\Depot - mpkCCD Fractions\Main Web Page\Web Pages_old\proteomic_fractions_linear_files/Yang_linear_img/294832030.jpg","show blot")</f>
        <v>show blot</v>
      </c>
      <c r="G2838" t="s">
        <v>2776</v>
      </c>
      <c r="I2838" s="6">
        <v>5.5628502923009471</v>
      </c>
      <c r="K2838" s="8"/>
    </row>
    <row r="2839" spans="1:11" ht="15" x14ac:dyDescent="0.25">
      <c r="A2839" s="3" t="str">
        <f>HYPERLINK("proteomic_fractions_linear_files/Yang_linear_img/407262565.jpg", "407262565")</f>
        <v>407262565</v>
      </c>
      <c r="C2839" s="3" t="str">
        <f>HYPERLINK("http://www.ncbi.nlm.nih.gov/protein/407262565","Gm2022")</f>
        <v>Gm2022</v>
      </c>
      <c r="E2839" t="str">
        <f>HYPERLINK("J:\Depot - mpkCCD Fractions\Main Web Page\Web Pages_old\proteomic_fractions_linear_files/Yang_linear_img/407262565.jpg","show blot")</f>
        <v>show blot</v>
      </c>
      <c r="G2839" t="s">
        <v>2775</v>
      </c>
      <c r="I2839" s="6">
        <v>5.5628502923009471</v>
      </c>
      <c r="K2839" s="8"/>
    </row>
    <row r="2840" spans="1:11" ht="15" x14ac:dyDescent="0.25">
      <c r="A2840" s="3" t="str">
        <f>HYPERLINK("proteomic_fractions_linear_files/Yang_linear_img/309264649.jpg", "309264649")</f>
        <v>309264649</v>
      </c>
      <c r="C2840" s="3" t="str">
        <f>HYPERLINK("http://www.ncbi.nlm.nih.gov/protein/309264649","Gm20267")</f>
        <v>Gm20267</v>
      </c>
      <c r="E2840" t="str">
        <f>HYPERLINK("J:\Depot - mpkCCD Fractions\Main Web Page\Web Pages_old\proteomic_fractions_linear_files/Yang_linear_img/309264649.jpg","show blot")</f>
        <v>show blot</v>
      </c>
      <c r="G2840" t="s">
        <v>2777</v>
      </c>
      <c r="I2840" s="6">
        <v>3.871458249786909</v>
      </c>
      <c r="K2840" s="8"/>
    </row>
    <row r="2841" spans="1:11" ht="15" x14ac:dyDescent="0.25">
      <c r="A2841" s="3" t="str">
        <f>HYPERLINK("proteomic_fractions_linear_files/Yang_linear_img/149263427.jpg", "149263427")</f>
        <v>149263427</v>
      </c>
      <c r="C2841" s="3" t="str">
        <f>HYPERLINK("http://www.ncbi.nlm.nih.gov/protein/149263427","Gm2046")</f>
        <v>Gm2046</v>
      </c>
      <c r="E2841" t="str">
        <f>HYPERLINK("J:\Depot - mpkCCD Fractions\Main Web Page\Web Pages_old\proteomic_fractions_linear_files/Yang_linear_img/149263427.jpg","show blot")</f>
        <v>show blot</v>
      </c>
      <c r="G2841" t="s">
        <v>2778</v>
      </c>
      <c r="I2841" s="6">
        <v>5.1875037981774703</v>
      </c>
      <c r="K2841" s="8"/>
    </row>
    <row r="2842" spans="1:11" ht="15" x14ac:dyDescent="0.25">
      <c r="A2842" s="3" t="str">
        <f>HYPERLINK("proteomic_fractions_linear_files/Yang_linear_img/219283246.jpg", "219283246")</f>
        <v>219283246</v>
      </c>
      <c r="C2842" s="3" t="str">
        <f>HYPERLINK("http://www.ncbi.nlm.nih.gov/protein/219283246","Gm20604")</f>
        <v>Gm20604</v>
      </c>
      <c r="E2842" t="str">
        <f>HYPERLINK("J:\Depot - mpkCCD Fractions\Main Web Page\Web Pages_old\proteomic_fractions_linear_files/Yang_linear_img/219283246.jpg","show blot")</f>
        <v>show blot</v>
      </c>
      <c r="G2842" t="s">
        <v>2779</v>
      </c>
      <c r="I2842" s="6">
        <v>4.0398851286920516</v>
      </c>
      <c r="K2842" s="8"/>
    </row>
    <row r="2843" spans="1:11" ht="15" x14ac:dyDescent="0.25">
      <c r="A2843" s="3" t="str">
        <f>HYPERLINK("proteomic_fractions_linear_files/Yang_linear_img/407263654.jpg", "407263654")</f>
        <v>407263654</v>
      </c>
      <c r="C2843" s="3" t="str">
        <f>HYPERLINK("http://www.ncbi.nlm.nih.gov/protein/407263654","Gm20746")</f>
        <v>Gm20746</v>
      </c>
      <c r="E2843" t="str">
        <f>HYPERLINK("J:\Depot - mpkCCD Fractions\Main Web Page\Web Pages_old\proteomic_fractions_linear_files/Yang_linear_img/407263654.jpg","show blot")</f>
        <v>show blot</v>
      </c>
      <c r="G2843" t="s">
        <v>2780</v>
      </c>
      <c r="I2843" s="6">
        <v>6.6419075463730097</v>
      </c>
      <c r="K2843" s="8"/>
    </row>
    <row r="2844" spans="1:11" ht="15" x14ac:dyDescent="0.25">
      <c r="A2844" s="3" t="str">
        <f>HYPERLINK("proteomic_fractions_linear_files/Yang_linear_img/149273202.jpg", "149273202")</f>
        <v>149273202</v>
      </c>
      <c r="C2844" s="3" t="str">
        <f>HYPERLINK("http://www.ncbi.nlm.nih.gov/protein/149273202","Gm20899")</f>
        <v>Gm20899</v>
      </c>
      <c r="E2844" t="str">
        <f>HYPERLINK("J:\Depot - mpkCCD Fractions\Main Web Page\Web Pages_old\proteomic_fractions_linear_files/Yang_linear_img/149273202.jpg","show blot")</f>
        <v>show blot</v>
      </c>
      <c r="G2844" t="s">
        <v>2781</v>
      </c>
      <c r="I2844" s="6">
        <v>7.6163725093943393</v>
      </c>
      <c r="K2844" s="8"/>
    </row>
    <row r="2845" spans="1:11" ht="15" x14ac:dyDescent="0.25">
      <c r="A2845" s="3" t="str">
        <f>HYPERLINK("proteomic_fractions_linear_files/Yang_linear_img/398303830.jpg", "398303830")</f>
        <v>398303830</v>
      </c>
      <c r="C2845" s="3" t="str">
        <f>HYPERLINK("http://www.ncbi.nlm.nih.gov/protein/398303830","Gm21319")</f>
        <v>Gm21319</v>
      </c>
      <c r="E2845" t="str">
        <f>HYPERLINK("J:\Depot - mpkCCD Fractions\Main Web Page\Web Pages_old\proteomic_fractions_linear_files/Yang_linear_img/398303830.jpg","show blot")</f>
        <v>show blot</v>
      </c>
      <c r="G2845" t="s">
        <v>2782</v>
      </c>
      <c r="I2845" s="6">
        <v>5.3308257411702886</v>
      </c>
      <c r="K2845" s="8"/>
    </row>
    <row r="2846" spans="1:11" ht="15" x14ac:dyDescent="0.25">
      <c r="A2846" s="3" t="str">
        <f>HYPERLINK("proteomic_fractions_linear_files/Yang_linear_img/407263560.jpg", "407263560")</f>
        <v>407263560</v>
      </c>
      <c r="C2846" s="3" t="str">
        <f>HYPERLINK("http://www.ncbi.nlm.nih.gov/protein/407263560","Gm21540")</f>
        <v>Gm21540</v>
      </c>
      <c r="E2846" t="str">
        <f>HYPERLINK("J:\Depot - mpkCCD Fractions\Main Web Page\Web Pages_old\proteomic_fractions_linear_files/Yang_linear_img/407263560.jpg","show blot")</f>
        <v>show blot</v>
      </c>
      <c r="G2846" t="s">
        <v>2783</v>
      </c>
      <c r="I2846" s="6">
        <v>5.6980518713066166</v>
      </c>
      <c r="K2846" s="8"/>
    </row>
    <row r="2847" spans="1:11" ht="15" x14ac:dyDescent="0.25">
      <c r="A2847" s="3" t="str">
        <f>HYPERLINK("proteomic_fractions_linear_files/Yang_linear_img/407262920.jpg", "407262920")</f>
        <v>407262920</v>
      </c>
      <c r="C2847" s="3" t="str">
        <f>HYPERLINK("http://www.ncbi.nlm.nih.gov/protein/407262920","Gm21596")</f>
        <v>Gm21596</v>
      </c>
      <c r="E2847" t="str">
        <f>HYPERLINK("J:\Depot - mpkCCD Fractions\Main Web Page\Web Pages_old\proteomic_fractions_linear_files/Yang_linear_img/407262920.jpg","show blot")</f>
        <v>show blot</v>
      </c>
      <c r="G2847" t="s">
        <v>2784</v>
      </c>
      <c r="I2847" s="6">
        <v>6.6654739291846337</v>
      </c>
      <c r="K2847" s="8"/>
    </row>
    <row r="2848" spans="1:11" ht="15" x14ac:dyDescent="0.25">
      <c r="A2848" s="3" t="str">
        <f>HYPERLINK("proteomic_fractions_linear_files/Yang_linear_img/309272927.jpg", "309272927")</f>
        <v>309272927</v>
      </c>
      <c r="C2848" s="3" t="str">
        <f>HYPERLINK("http://www.ncbi.nlm.nih.gov/protein/309272927","Gm2260")</f>
        <v>Gm2260</v>
      </c>
      <c r="E2848" t="str">
        <f>HYPERLINK("J:\Depot - mpkCCD Fractions\Main Web Page\Web Pages_old\proteomic_fractions_linear_files/Yang_linear_img/309272927.jpg","show blot")</f>
        <v>show blot</v>
      </c>
      <c r="G2848" t="s">
        <v>2785</v>
      </c>
      <c r="I2848" s="6">
        <v>6.5818676408945791</v>
      </c>
      <c r="K2848" s="8"/>
    </row>
    <row r="2849" spans="1:11" ht="15" x14ac:dyDescent="0.25">
      <c r="A2849" s="3" t="str">
        <f>HYPERLINK("proteomic_fractions_linear_files/Yang_linear_img/309269866.jpg", "309269866")</f>
        <v>309269866</v>
      </c>
      <c r="C2849" s="3" t="str">
        <f>HYPERLINK("http://www.ncbi.nlm.nih.gov/protein/309269866","Gm2423")</f>
        <v>Gm2423</v>
      </c>
      <c r="E2849" t="str">
        <f>HYPERLINK("J:\Depot - mpkCCD Fractions\Main Web Page\Web Pages_old\proteomic_fractions_linear_files/Yang_linear_img/309269866.jpg","show blot")</f>
        <v>show blot</v>
      </c>
      <c r="G2849" t="s">
        <v>2786</v>
      </c>
      <c r="I2849" s="6">
        <v>6.97280135476014</v>
      </c>
      <c r="K2849" s="8"/>
    </row>
    <row r="2850" spans="1:11" ht="15" x14ac:dyDescent="0.25">
      <c r="A2850" s="3" t="str">
        <f>HYPERLINK("proteomic_fractions_linear_files/Yang_linear_img/149264832.jpg", "149264832")</f>
        <v>149264832</v>
      </c>
      <c r="C2850" s="3" t="str">
        <f>HYPERLINK("http://www.ncbi.nlm.nih.gov/protein/149264832","Gm2904")</f>
        <v>Gm2904</v>
      </c>
      <c r="E2850" t="str">
        <f>HYPERLINK("J:\Depot - mpkCCD Fractions\Main Web Page\Web Pages_old\proteomic_fractions_linear_files/Yang_linear_img/149264832.jpg","show blot")</f>
        <v>show blot</v>
      </c>
      <c r="G2850" t="s">
        <v>2787</v>
      </c>
      <c r="I2850" s="6">
        <v>5.7509984327174184</v>
      </c>
      <c r="K2850" s="8"/>
    </row>
    <row r="2851" spans="1:11" ht="15" x14ac:dyDescent="0.25">
      <c r="A2851" s="3" t="str">
        <f>HYPERLINK("proteomic_fractions_linear_files/Yang_linear_img/6806917.jpg", "6806917")</f>
        <v>6806917</v>
      </c>
      <c r="C2851" s="3" t="str">
        <f>HYPERLINK("http://www.ncbi.nlm.nih.gov/protein/6806917","Gm2a")</f>
        <v>Gm2a</v>
      </c>
      <c r="E2851" t="str">
        <f>HYPERLINK("J:\Depot - mpkCCD Fractions\Main Web Page\Web Pages_old\proteomic_fractions_linear_files/Yang_linear_img/6806917.jpg","show blot")</f>
        <v>show blot</v>
      </c>
      <c r="G2851" t="s">
        <v>2788</v>
      </c>
      <c r="I2851" s="6">
        <v>5.3591569634193092</v>
      </c>
      <c r="K2851" s="8"/>
    </row>
    <row r="2852" spans="1:11" ht="15" x14ac:dyDescent="0.25">
      <c r="A2852" s="3" t="str">
        <f>HYPERLINK("proteomic_fractions_linear_files/Yang_linear_img/309267022.jpg", "309267022")</f>
        <v>309267022</v>
      </c>
      <c r="C2852" s="3" t="str">
        <f>HYPERLINK("http://www.ncbi.nlm.nih.gov/protein/309267022","Gm3141")</f>
        <v>Gm3141</v>
      </c>
      <c r="E2852" t="str">
        <f>HYPERLINK("J:\Depot - mpkCCD Fractions\Main Web Page\Web Pages_old\proteomic_fractions_linear_files/Yang_linear_img/309267022.jpg","show blot")</f>
        <v>show blot</v>
      </c>
      <c r="G2852" t="s">
        <v>2789</v>
      </c>
      <c r="I2852" s="6">
        <v>4.9005603892459604</v>
      </c>
      <c r="K2852" s="8"/>
    </row>
    <row r="2853" spans="1:11" ht="15" x14ac:dyDescent="0.25">
      <c r="A2853" s="3" t="str">
        <f>HYPERLINK("proteomic_fractions_linear_files/Yang_linear_img/309270370.jpg", "309270370")</f>
        <v>309270370</v>
      </c>
      <c r="C2853" s="3" t="str">
        <f>HYPERLINK("http://www.ncbi.nlm.nih.gov/protein/309270370","Gm3141")</f>
        <v>Gm3141</v>
      </c>
      <c r="E2853" t="str">
        <f>HYPERLINK("J:\Depot - mpkCCD Fractions\Main Web Page\Web Pages_old\proteomic_fractions_linear_files/Yang_linear_img/309270370.jpg","show blot")</f>
        <v>show blot</v>
      </c>
      <c r="G2853" t="s">
        <v>2790</v>
      </c>
      <c r="I2853" s="6">
        <v>4.9005603892459604</v>
      </c>
      <c r="K2853" s="8"/>
    </row>
    <row r="2854" spans="1:11" ht="15" x14ac:dyDescent="0.25">
      <c r="A2854" s="3" t="str">
        <f>HYPERLINK("proteomic_fractions_linear_files/Yang_linear_img/309262094.jpg", "309262094")</f>
        <v>309262094</v>
      </c>
      <c r="C2854" s="3" t="str">
        <f>HYPERLINK("http://www.ncbi.nlm.nih.gov/protein/309262094","Gm3213")</f>
        <v>Gm3213</v>
      </c>
      <c r="E2854" t="str">
        <f>HYPERLINK("J:\Depot - mpkCCD Fractions\Main Web Page\Web Pages_old\proteomic_fractions_linear_files/Yang_linear_img/309262094.jpg","show blot")</f>
        <v>show blot</v>
      </c>
      <c r="G2854" t="s">
        <v>2791</v>
      </c>
      <c r="I2854" s="6">
        <v>5.4250622286928332</v>
      </c>
      <c r="K2854" s="8"/>
    </row>
    <row r="2855" spans="1:11" ht="15" x14ac:dyDescent="0.25">
      <c r="A2855" s="3" t="str">
        <f>HYPERLINK("proteomic_fractions_linear_files/Yang_linear_img/149266669.jpg", "149266669")</f>
        <v>149266669</v>
      </c>
      <c r="C2855" s="3" t="str">
        <f>HYPERLINK("http://www.ncbi.nlm.nih.gov/protein/149266669","Gm3244")</f>
        <v>Gm3244</v>
      </c>
      <c r="E2855" t="str">
        <f>HYPERLINK("J:\Depot - mpkCCD Fractions\Main Web Page\Web Pages_old\proteomic_fractions_linear_files/Yang_linear_img/149266669.jpg","show blot")</f>
        <v>show blot</v>
      </c>
      <c r="G2855" t="s">
        <v>2792</v>
      </c>
      <c r="I2855" s="6">
        <v>5.4598091876950781</v>
      </c>
      <c r="K2855" s="8"/>
    </row>
    <row r="2856" spans="1:11" ht="15" x14ac:dyDescent="0.25">
      <c r="A2856" s="3" t="str">
        <f>HYPERLINK("proteomic_fractions_linear_files/Yang_linear_img/7949148.jpg", "7949148")</f>
        <v>7949148</v>
      </c>
      <c r="C2856" s="3" t="str">
        <f>HYPERLINK("http://www.ncbi.nlm.nih.gov/protein/7949148","Gm3258")</f>
        <v>Gm3258</v>
      </c>
      <c r="E2856" t="str">
        <f>HYPERLINK("J:\Depot - mpkCCD Fractions\Main Web Page\Web Pages_old\proteomic_fractions_linear_files/Yang_linear_img/7949148.jpg","show blot")</f>
        <v>show blot</v>
      </c>
      <c r="G2856" t="s">
        <v>2793</v>
      </c>
      <c r="I2856" s="6">
        <v>4.6753065635822919</v>
      </c>
      <c r="K2856" s="8"/>
    </row>
    <row r="2857" spans="1:11" ht="15" x14ac:dyDescent="0.25">
      <c r="A2857" s="3" t="str">
        <f>HYPERLINK("proteomic_fractions_linear_files/Yang_linear_img/309263233.jpg", "309263233")</f>
        <v>309263233</v>
      </c>
      <c r="C2857" s="3" t="str">
        <f>HYPERLINK("http://www.ncbi.nlm.nih.gov/protein/309263233","Gm3362")</f>
        <v>Gm3362</v>
      </c>
      <c r="E2857" t="str">
        <f>HYPERLINK("J:\Depot - mpkCCD Fractions\Main Web Page\Web Pages_old\proteomic_fractions_linear_files/Yang_linear_img/309263233.jpg","show blot")</f>
        <v>show blot</v>
      </c>
      <c r="G2857" t="s">
        <v>2794</v>
      </c>
      <c r="I2857" s="6">
        <v>7.0361930254764937</v>
      </c>
      <c r="K2857" s="8"/>
    </row>
    <row r="2858" spans="1:11" ht="15" x14ac:dyDescent="0.25">
      <c r="A2858" s="3" t="str">
        <f>HYPERLINK("proteomic_fractions_linear_files/Yang_linear_img/309263978.jpg", "309263978")</f>
        <v>309263978</v>
      </c>
      <c r="C2858" s="3" t="str">
        <f>HYPERLINK("http://www.ncbi.nlm.nih.gov/protein/309263978","Gm340")</f>
        <v>Gm340</v>
      </c>
      <c r="E2858" t="str">
        <f>HYPERLINK("J:\Depot - mpkCCD Fractions\Main Web Page\Web Pages_old\proteomic_fractions_linear_files/Yang_linear_img/309263978.jpg","show blot")</f>
        <v>show blot</v>
      </c>
      <c r="G2858" t="s">
        <v>2795</v>
      </c>
      <c r="I2858" s="6">
        <v>3.8954271521227071</v>
      </c>
      <c r="K2858" s="8"/>
    </row>
    <row r="2859" spans="1:11" ht="15" x14ac:dyDescent="0.25">
      <c r="A2859" s="3" t="str">
        <f>HYPERLINK("proteomic_fractions_linear_files/Yang_linear_img/309271277.jpg", "309271277")</f>
        <v>309271277</v>
      </c>
      <c r="C2859" s="3" t="str">
        <f>HYPERLINK("http://www.ncbi.nlm.nih.gov/protein/309271277","Gm340")</f>
        <v>Gm340</v>
      </c>
      <c r="E2859" t="str">
        <f>HYPERLINK("J:\Depot - mpkCCD Fractions\Main Web Page\Web Pages_old\proteomic_fractions_linear_files/Yang_linear_img/309271277.jpg","show blot")</f>
        <v>show blot</v>
      </c>
      <c r="G2859" t="s">
        <v>2795</v>
      </c>
      <c r="I2859" s="6">
        <v>3.8954271521227071</v>
      </c>
      <c r="K2859" s="8"/>
    </row>
    <row r="2860" spans="1:11" ht="15" x14ac:dyDescent="0.25">
      <c r="A2860" s="3" t="str">
        <f>HYPERLINK("proteomic_fractions_linear_files/Yang_linear_img/377833368.jpg", "377833368")</f>
        <v>377833368</v>
      </c>
      <c r="C2860" s="3" t="str">
        <f>HYPERLINK("http://www.ncbi.nlm.nih.gov/protein/377833368","Gm3552")</f>
        <v>Gm3552</v>
      </c>
      <c r="E2860" t="str">
        <f>HYPERLINK("J:\Depot - mpkCCD Fractions\Main Web Page\Web Pages_old\proteomic_fractions_linear_files/Yang_linear_img/377833368.jpg","show blot")</f>
        <v>show blot</v>
      </c>
      <c r="G2860" t="s">
        <v>2796</v>
      </c>
      <c r="I2860" s="6">
        <v>5.7678494835874528</v>
      </c>
      <c r="K2860" s="8"/>
    </row>
    <row r="2861" spans="1:11" ht="15" x14ac:dyDescent="0.25">
      <c r="A2861" s="3" t="str">
        <f>HYPERLINK("proteomic_fractions_linear_files/Yang_linear_img/377836168.jpg", "377836168")</f>
        <v>377836168</v>
      </c>
      <c r="C2861" s="3" t="str">
        <f>HYPERLINK("http://www.ncbi.nlm.nih.gov/protein/377836168","Gm3552")</f>
        <v>Gm3552</v>
      </c>
      <c r="E2861" t="str">
        <f>HYPERLINK("J:\Depot - mpkCCD Fractions\Main Web Page\Web Pages_old\proteomic_fractions_linear_files/Yang_linear_img/377836168.jpg","show blot")</f>
        <v>show blot</v>
      </c>
      <c r="G2861" t="s">
        <v>2796</v>
      </c>
      <c r="I2861" s="6">
        <v>5.7678494835874528</v>
      </c>
      <c r="K2861" s="8"/>
    </row>
    <row r="2862" spans="1:11" ht="15" x14ac:dyDescent="0.25">
      <c r="A2862" s="3" t="str">
        <f>HYPERLINK("proteomic_fractions_linear_files/Yang_linear_img/340545553.jpg", "340545553")</f>
        <v>340545553</v>
      </c>
      <c r="C2862" s="3" t="str">
        <f>HYPERLINK("http://www.ncbi.nlm.nih.gov/protein/340545553","Gm3776")</f>
        <v>Gm3776</v>
      </c>
      <c r="E2862" t="str">
        <f>HYPERLINK("J:\Depot - mpkCCD Fractions\Main Web Page\Web Pages_old\proteomic_fractions_linear_files/Yang_linear_img/340545553.jpg","show blot")</f>
        <v>show blot</v>
      </c>
      <c r="G2862" t="s">
        <v>2797</v>
      </c>
      <c r="I2862" s="6">
        <v>5.6270578885781184</v>
      </c>
      <c r="K2862" s="8"/>
    </row>
    <row r="2863" spans="1:11" ht="15" x14ac:dyDescent="0.25">
      <c r="A2863" s="3" t="str">
        <f>HYPERLINK("proteomic_fractions_linear_files/Yang_linear_img/309264292.jpg", "309264292")</f>
        <v>309264292</v>
      </c>
      <c r="C2863" s="3" t="str">
        <f>HYPERLINK("http://www.ncbi.nlm.nih.gov/protein/309264292","Gm3837")</f>
        <v>Gm3837</v>
      </c>
      <c r="E2863" t="str">
        <f>HYPERLINK("J:\Depot - mpkCCD Fractions\Main Web Page\Web Pages_old\proteomic_fractions_linear_files/Yang_linear_img/309264292.jpg","show blot")</f>
        <v>show blot</v>
      </c>
      <c r="G2863" t="s">
        <v>2798</v>
      </c>
      <c r="I2863" s="6">
        <v>5.1546046497201514</v>
      </c>
      <c r="K2863" s="8"/>
    </row>
    <row r="2864" spans="1:11" ht="15" x14ac:dyDescent="0.25">
      <c r="A2864" s="3" t="str">
        <f>HYPERLINK("proteomic_fractions_linear_files/Yang_linear_img/309264301.jpg", "309264301")</f>
        <v>309264301</v>
      </c>
      <c r="C2864" s="3" t="str">
        <f>HYPERLINK("http://www.ncbi.nlm.nih.gov/protein/309264301","Gm3934")</f>
        <v>Gm3934</v>
      </c>
      <c r="E2864" t="str">
        <f>HYPERLINK("J:\Depot - mpkCCD Fractions\Main Web Page\Web Pages_old\proteomic_fractions_linear_files/Yang_linear_img/309264301.jpg","show blot")</f>
        <v>show blot</v>
      </c>
      <c r="G2864" t="s">
        <v>2799</v>
      </c>
      <c r="I2864" s="6">
        <v>6.1704063903535102</v>
      </c>
      <c r="K2864" s="8"/>
    </row>
    <row r="2865" spans="1:11" ht="15" x14ac:dyDescent="0.25">
      <c r="A2865" s="3" t="str">
        <f>HYPERLINK("proteomic_fractions_linear_files/Yang_linear_img/309262833.jpg", "309262833")</f>
        <v>309262833</v>
      </c>
      <c r="C2865" s="3" t="str">
        <f>HYPERLINK("http://www.ncbi.nlm.nih.gov/protein/309262833","Gm4024")</f>
        <v>Gm4024</v>
      </c>
      <c r="E2865" t="str">
        <f>HYPERLINK("J:\Depot - mpkCCD Fractions\Main Web Page\Web Pages_old\proteomic_fractions_linear_files/Yang_linear_img/309262833.jpg","show blot")</f>
        <v>show blot</v>
      </c>
      <c r="G2865" t="s">
        <v>2800</v>
      </c>
      <c r="I2865" s="6">
        <v>6.2109607951402843</v>
      </c>
      <c r="K2865" s="8"/>
    </row>
    <row r="2866" spans="1:11" ht="15" x14ac:dyDescent="0.25">
      <c r="A2866" s="3" t="str">
        <f>HYPERLINK("proteomic_fractions_linear_files/Yang_linear_img/294774578;294774603.jpg", "294774578;294774603")</f>
        <v>294774578;294774603</v>
      </c>
      <c r="C2866" s="3" t="str">
        <f>HYPERLINK("http://www.ncbi.nlm.nih.gov/protein/294774578;294774603","Gm4027")</f>
        <v>Gm4027</v>
      </c>
      <c r="E2866" t="str">
        <f>HYPERLINK("J:\Depot - mpkCCD Fractions\Main Web Page\Web Pages_old\proteomic_fractions_linear_files/Yang_linear_img/294774578;294774603.jpg","show blot")</f>
        <v>show blot</v>
      </c>
      <c r="G2866" t="s">
        <v>2801</v>
      </c>
      <c r="I2866" s="6">
        <v>4.7717339932699403</v>
      </c>
      <c r="K2866" s="8"/>
    </row>
    <row r="2867" spans="1:11" ht="15" x14ac:dyDescent="0.25">
      <c r="A2867" s="3" t="str">
        <f>HYPERLINK("proteomic_fractions_linear_files/Yang_linear_img/339895904.jpg", "339895904")</f>
        <v>339895904</v>
      </c>
      <c r="C2867" s="3" t="str">
        <f>HYPERLINK("http://www.ncbi.nlm.nih.gov/protein/339895904","Gm4070")</f>
        <v>Gm4070</v>
      </c>
      <c r="E2867" t="str">
        <f>HYPERLINK("J:\Depot - mpkCCD Fractions\Main Web Page\Web Pages_old\proteomic_fractions_linear_files/Yang_linear_img/339895904.jpg","show blot")</f>
        <v>show blot</v>
      </c>
      <c r="G2867" t="s">
        <v>2802</v>
      </c>
      <c r="I2867" s="6">
        <v>1.3520794704226828</v>
      </c>
      <c r="K2867" s="8"/>
    </row>
    <row r="2868" spans="1:11" ht="15" x14ac:dyDescent="0.25">
      <c r="A2868" s="3" t="str">
        <f>HYPERLINK("proteomic_fractions_linear_files/Yang_linear_img/149267527.jpg", "149267527")</f>
        <v>149267527</v>
      </c>
      <c r="C2868" s="3" t="str">
        <f>HYPERLINK("http://www.ncbi.nlm.nih.gov/protein/149267527","Gm4581")</f>
        <v>Gm4581</v>
      </c>
      <c r="E2868" t="str">
        <f>HYPERLINK("J:\Depot - mpkCCD Fractions\Main Web Page\Web Pages_old\proteomic_fractions_linear_files/Yang_linear_img/149267527.jpg","show blot")</f>
        <v>show blot</v>
      </c>
      <c r="G2868" t="s">
        <v>2721</v>
      </c>
      <c r="I2868" s="6">
        <v>6.5200151106614053</v>
      </c>
      <c r="K2868" s="8"/>
    </row>
    <row r="2869" spans="1:11" ht="15" x14ac:dyDescent="0.25">
      <c r="A2869" s="3" t="str">
        <f>HYPERLINK("proteomic_fractions_linear_files/Yang_linear_img/309265658.jpg", "309265658")</f>
        <v>309265658</v>
      </c>
      <c r="C2869" s="3" t="str">
        <f>HYPERLINK("http://www.ncbi.nlm.nih.gov/protein/309265658","Gm4604")</f>
        <v>Gm4604</v>
      </c>
      <c r="E2869" t="str">
        <f>HYPERLINK("J:\Depot - mpkCCD Fractions\Main Web Page\Web Pages_old\proteomic_fractions_linear_files/Yang_linear_img/309265658.jpg","show blot")</f>
        <v>show blot</v>
      </c>
      <c r="G2869" t="s">
        <v>2803</v>
      </c>
      <c r="I2869" s="6">
        <v>6.9692272269592683</v>
      </c>
      <c r="K2869" s="8"/>
    </row>
    <row r="2870" spans="1:11" ht="15" x14ac:dyDescent="0.25">
      <c r="A2870" s="3" t="str">
        <f>HYPERLINK("proteomic_fractions_linear_files/Yang_linear_img/168229231.jpg", "168229231")</f>
        <v>168229231</v>
      </c>
      <c r="C2870" s="3" t="str">
        <f>HYPERLINK("http://www.ncbi.nlm.nih.gov/protein/168229231","Gm4794")</f>
        <v>Gm4794</v>
      </c>
      <c r="E2870" t="str">
        <f>HYPERLINK("J:\Depot - mpkCCD Fractions\Main Web Page\Web Pages_old\proteomic_fractions_linear_files/Yang_linear_img/168229231.jpg","show blot")</f>
        <v>show blot</v>
      </c>
      <c r="G2870" t="s">
        <v>2804</v>
      </c>
      <c r="I2870" s="6">
        <v>3.2460865315881731</v>
      </c>
      <c r="K2870" s="8"/>
    </row>
    <row r="2871" spans="1:11" ht="15" x14ac:dyDescent="0.25">
      <c r="A2871" s="3" t="str">
        <f>HYPERLINK("proteomic_fractions_linear_files/Yang_linear_img/298493250.jpg", "298493250")</f>
        <v>298493250</v>
      </c>
      <c r="C2871" s="3" t="str">
        <f>HYPERLINK("http://www.ncbi.nlm.nih.gov/protein/298493250","Gm4832")</f>
        <v>Gm4832</v>
      </c>
      <c r="E2871" t="str">
        <f>HYPERLINK("J:\Depot - mpkCCD Fractions\Main Web Page\Web Pages_old\proteomic_fractions_linear_files/Yang_linear_img/298493250.jpg","show blot")</f>
        <v>show blot</v>
      </c>
      <c r="G2871" t="s">
        <v>2805</v>
      </c>
      <c r="I2871" s="6">
        <v>3.6808777767776775</v>
      </c>
      <c r="K2871" s="8"/>
    </row>
    <row r="2872" spans="1:11" ht="15" x14ac:dyDescent="0.25">
      <c r="A2872" s="3" t="str">
        <f>HYPERLINK("proteomic_fractions_linear_files/Yang_linear_img/256221758.jpg", "256221758")</f>
        <v>256221758</v>
      </c>
      <c r="C2872" s="3" t="str">
        <f>HYPERLINK("http://www.ncbi.nlm.nih.gov/protein/256221758","Gm4846")</f>
        <v>Gm4846</v>
      </c>
      <c r="E2872" t="str">
        <f>HYPERLINK("J:\Depot - mpkCCD Fractions\Main Web Page\Web Pages_old\proteomic_fractions_linear_files/Yang_linear_img/256221758.jpg","show blot")</f>
        <v>show blot</v>
      </c>
      <c r="G2872" t="s">
        <v>2806</v>
      </c>
      <c r="I2872" s="6">
        <v>2.1775364999298623</v>
      </c>
      <c r="K2872" s="8"/>
    </row>
    <row r="2873" spans="1:11" ht="15" x14ac:dyDescent="0.25">
      <c r="A2873" s="3" t="str">
        <f>HYPERLINK("proteomic_fractions_linear_files/Yang_linear_img/256221898.jpg", "256221898")</f>
        <v>256221898</v>
      </c>
      <c r="C2873" s="3" t="str">
        <f>HYPERLINK("http://www.ncbi.nlm.nih.gov/protein/256221898","Gm4847")</f>
        <v>Gm4847</v>
      </c>
      <c r="E2873" t="str">
        <f>HYPERLINK("J:\Depot - mpkCCD Fractions\Main Web Page\Web Pages_old\proteomic_fractions_linear_files/Yang_linear_img/256221898.jpg","show blot")</f>
        <v>show blot</v>
      </c>
      <c r="G2873" t="s">
        <v>2807</v>
      </c>
      <c r="I2873" s="6">
        <v>2.1845983544173491</v>
      </c>
      <c r="K2873" s="8"/>
    </row>
    <row r="2874" spans="1:11" ht="15" x14ac:dyDescent="0.25">
      <c r="A2874" s="3" t="str">
        <f>HYPERLINK("proteomic_fractions_linear_files/Yang_linear_img/82904428.jpg", "82904428")</f>
        <v>82904428</v>
      </c>
      <c r="C2874" s="3" t="str">
        <f>HYPERLINK("http://www.ncbi.nlm.nih.gov/protein/82904428","Gm4883")</f>
        <v>Gm4883</v>
      </c>
      <c r="E2874" t="str">
        <f>HYPERLINK("J:\Depot - mpkCCD Fractions\Main Web Page\Web Pages_old\proteomic_fractions_linear_files/Yang_linear_img/82904428.jpg","show blot")</f>
        <v>show blot</v>
      </c>
      <c r="G2874" t="s">
        <v>2808</v>
      </c>
      <c r="I2874" s="6">
        <v>6.3370059338706639</v>
      </c>
      <c r="K2874" s="8"/>
    </row>
    <row r="2875" spans="1:11" ht="15" x14ac:dyDescent="0.25">
      <c r="A2875" s="3" t="str">
        <f>HYPERLINK("proteomic_fractions_linear_files/Yang_linear_img/407261549.jpg", "407261549")</f>
        <v>407261549</v>
      </c>
      <c r="C2875" s="3" t="str">
        <f>HYPERLINK("http://www.ncbi.nlm.nih.gov/protein/407261549","Gm4887")</f>
        <v>Gm4887</v>
      </c>
      <c r="E2875" t="str">
        <f>HYPERLINK("J:\Depot - mpkCCD Fractions\Main Web Page\Web Pages_old\proteomic_fractions_linear_files/Yang_linear_img/407261549.jpg","show blot")</f>
        <v>show blot</v>
      </c>
      <c r="G2875" t="s">
        <v>2809</v>
      </c>
      <c r="I2875" s="6">
        <v>5.741252648497805</v>
      </c>
      <c r="K2875" s="8"/>
    </row>
    <row r="2876" spans="1:11" ht="15" x14ac:dyDescent="0.25">
      <c r="A2876" s="3" t="str">
        <f>HYPERLINK("proteomic_fractions_linear_files/Yang_linear_img/149258537.jpg", "149258537")</f>
        <v>149258537</v>
      </c>
      <c r="C2876" s="3" t="str">
        <f>HYPERLINK("http://www.ncbi.nlm.nih.gov/protein/149258537","Gm4889")</f>
        <v>Gm4889</v>
      </c>
      <c r="E2876" t="str">
        <f>HYPERLINK("J:\Depot - mpkCCD Fractions\Main Web Page\Web Pages_old\proteomic_fractions_linear_files/Yang_linear_img/149258537.jpg","show blot")</f>
        <v>show blot</v>
      </c>
      <c r="G2876" t="s">
        <v>2727</v>
      </c>
      <c r="I2876" s="6">
        <v>6.0549492978487223</v>
      </c>
      <c r="K2876" s="8"/>
    </row>
    <row r="2877" spans="1:11" ht="15" x14ac:dyDescent="0.25">
      <c r="A2877" s="3" t="str">
        <f>HYPERLINK("proteomic_fractions_linear_files/Yang_linear_img/309266241.jpg", "309266241")</f>
        <v>309266241</v>
      </c>
      <c r="C2877" s="3" t="str">
        <f>HYPERLINK("http://www.ncbi.nlm.nih.gov/protein/309266241","Gm4889")</f>
        <v>Gm4889</v>
      </c>
      <c r="E2877" t="str">
        <f>HYPERLINK("J:\Depot - mpkCCD Fractions\Main Web Page\Web Pages_old\proteomic_fractions_linear_files/Yang_linear_img/309266241.jpg","show blot")</f>
        <v>show blot</v>
      </c>
      <c r="G2877" t="s">
        <v>2727</v>
      </c>
      <c r="I2877" s="6">
        <v>6.0549492978487223</v>
      </c>
      <c r="K2877" s="8"/>
    </row>
    <row r="2878" spans="1:11" ht="15" x14ac:dyDescent="0.25">
      <c r="A2878" s="3" t="str">
        <f>HYPERLINK("proteomic_fractions_linear_files/Yang_linear_img/309266922.jpg", "309266922")</f>
        <v>309266922</v>
      </c>
      <c r="C2878" s="3" t="str">
        <f>HYPERLINK("http://www.ncbi.nlm.nih.gov/protein/309266922","Gm4916")</f>
        <v>Gm4916</v>
      </c>
      <c r="E2878" t="str">
        <f>HYPERLINK("J:\Depot - mpkCCD Fractions\Main Web Page\Web Pages_old\proteomic_fractions_linear_files/Yang_linear_img/309266922.jpg","show blot")</f>
        <v>show blot</v>
      </c>
      <c r="G2878" t="s">
        <v>2810</v>
      </c>
      <c r="I2878" s="6">
        <v>5.5596804214113797</v>
      </c>
      <c r="K2878" s="8"/>
    </row>
    <row r="2879" spans="1:11" ht="15" x14ac:dyDescent="0.25">
      <c r="A2879" s="3" t="str">
        <f>HYPERLINK("proteomic_fractions_linear_files/Yang_linear_img/81230474.jpg", "81230474")</f>
        <v>81230474</v>
      </c>
      <c r="C2879" s="3" t="str">
        <f>HYPERLINK("http://www.ncbi.nlm.nih.gov/protein/81230474","Gm4925")</f>
        <v>Gm4925</v>
      </c>
      <c r="E2879" t="str">
        <f>HYPERLINK("J:\Depot - mpkCCD Fractions\Main Web Page\Web Pages_old\proteomic_fractions_linear_files/Yang_linear_img/81230474.jpg","show blot")</f>
        <v>show blot</v>
      </c>
      <c r="G2879" t="s">
        <v>2811</v>
      </c>
      <c r="I2879" s="6">
        <v>6.3646690712648262</v>
      </c>
      <c r="K2879" s="8"/>
    </row>
    <row r="2880" spans="1:11" ht="15" x14ac:dyDescent="0.25">
      <c r="A2880" s="3" t="str">
        <f>HYPERLINK("proteomic_fractions_linear_files/Yang_linear_img/149267789.jpg", "149267789")</f>
        <v>149267789</v>
      </c>
      <c r="C2880" s="3" t="str">
        <f>HYPERLINK("http://www.ncbi.nlm.nih.gov/protein/149267789","Gm4943")</f>
        <v>Gm4943</v>
      </c>
      <c r="E2880" t="str">
        <f>HYPERLINK("J:\Depot - mpkCCD Fractions\Main Web Page\Web Pages_old\proteomic_fractions_linear_files/Yang_linear_img/149267789.jpg","show blot")</f>
        <v>show blot</v>
      </c>
      <c r="G2880" t="s">
        <v>2812</v>
      </c>
      <c r="I2880" s="6">
        <v>4.6413042390799868</v>
      </c>
      <c r="K2880" s="8"/>
    </row>
    <row r="2881" spans="1:11" ht="15" x14ac:dyDescent="0.25">
      <c r="A2881" s="3" t="str">
        <f>HYPERLINK("proteomic_fractions_linear_files/Yang_linear_img/20846986.jpg", "20846986")</f>
        <v>20846986</v>
      </c>
      <c r="C2881" s="3" t="str">
        <f>HYPERLINK("http://www.ncbi.nlm.nih.gov/protein/20846986","Gm4963")</f>
        <v>Gm4963</v>
      </c>
      <c r="E2881" t="str">
        <f>HYPERLINK("J:\Depot - mpkCCD Fractions\Main Web Page\Web Pages_old\proteomic_fractions_linear_files/Yang_linear_img/20846986.jpg","show blot")</f>
        <v>show blot</v>
      </c>
      <c r="G2881" t="s">
        <v>2813</v>
      </c>
      <c r="I2881" s="6">
        <v>6.9866975846570512</v>
      </c>
      <c r="K2881" s="8"/>
    </row>
    <row r="2882" spans="1:11" ht="15" x14ac:dyDescent="0.25">
      <c r="A2882" s="3" t="str">
        <f>HYPERLINK("proteomic_fractions_linear_files/Yang_linear_img/307574641.jpg", "307574641")</f>
        <v>307574641</v>
      </c>
      <c r="C2882" s="3" t="str">
        <f>HYPERLINK("http://www.ncbi.nlm.nih.gov/protein/307574641","Gm4975")</f>
        <v>Gm4975</v>
      </c>
      <c r="E2882" t="str">
        <f>HYPERLINK("J:\Depot - mpkCCD Fractions\Main Web Page\Web Pages_old\proteomic_fractions_linear_files/Yang_linear_img/307574641.jpg","show blot")</f>
        <v>show blot</v>
      </c>
      <c r="G2882" t="s">
        <v>2814</v>
      </c>
      <c r="I2882" s="6">
        <v>2.7338390006971496</v>
      </c>
      <c r="K2882" s="8"/>
    </row>
    <row r="2883" spans="1:11" ht="15" x14ac:dyDescent="0.25">
      <c r="A2883" s="3" t="str">
        <f>HYPERLINK("proteomic_fractions_linear_files/Yang_linear_img/25032837.jpg", "25032837")</f>
        <v>25032837</v>
      </c>
      <c r="C2883" s="3" t="str">
        <f>HYPERLINK("http://www.ncbi.nlm.nih.gov/protein/25032837","Gm5058")</f>
        <v>Gm5058</v>
      </c>
      <c r="E2883" t="str">
        <f>HYPERLINK("J:\Depot - mpkCCD Fractions\Main Web Page\Web Pages_old\proteomic_fractions_linear_files/Yang_linear_img/25032837.jpg","show blot")</f>
        <v>show blot</v>
      </c>
      <c r="G2883" t="s">
        <v>2794</v>
      </c>
      <c r="I2883" s="6">
        <v>6.7054468858796552</v>
      </c>
      <c r="K2883" s="8"/>
    </row>
    <row r="2884" spans="1:11" ht="15" x14ac:dyDescent="0.25">
      <c r="A2884" s="3" t="str">
        <f>HYPERLINK("proteomic_fractions_linear_files/Yang_linear_img/407261991.jpg", "407261991")</f>
        <v>407261991</v>
      </c>
      <c r="C2884" s="3" t="str">
        <f>HYPERLINK("http://www.ncbi.nlm.nih.gov/protein/407261991","Gm5068")</f>
        <v>Gm5068</v>
      </c>
      <c r="E2884" t="str">
        <f>HYPERLINK("J:\Depot - mpkCCD Fractions\Main Web Page\Web Pages_old\proteomic_fractions_linear_files/Yang_linear_img/407261991.jpg","show blot")</f>
        <v>show blot</v>
      </c>
      <c r="G2884" t="s">
        <v>2815</v>
      </c>
      <c r="I2884" s="6">
        <v>5.5671329260668792</v>
      </c>
      <c r="K2884" s="8"/>
    </row>
    <row r="2885" spans="1:11" ht="15" x14ac:dyDescent="0.25">
      <c r="A2885" s="3" t="str">
        <f>HYPERLINK("proteomic_fractions_linear_files/Yang_linear_img/149263303.jpg", "149263303")</f>
        <v>149263303</v>
      </c>
      <c r="C2885" s="3" t="str">
        <f>HYPERLINK("http://www.ncbi.nlm.nih.gov/protein/149263303","Gm5068")</f>
        <v>Gm5068</v>
      </c>
      <c r="E2885" t="str">
        <f>HYPERLINK("J:\Depot - mpkCCD Fractions\Main Web Page\Web Pages_old\proteomic_fractions_linear_files/Yang_linear_img/149263303.jpg","show blot")</f>
        <v>show blot</v>
      </c>
      <c r="G2885" t="s">
        <v>2816</v>
      </c>
      <c r="I2885" s="6">
        <v>5.5671329260668792</v>
      </c>
      <c r="K2885" s="8"/>
    </row>
    <row r="2886" spans="1:11" ht="15" x14ac:dyDescent="0.25">
      <c r="A2886" s="3" t="str">
        <f>HYPERLINK("proteomic_fractions_linear_files/Yang_linear_img/82994207.jpg", "82994207")</f>
        <v>82994207</v>
      </c>
      <c r="C2886" s="3" t="str">
        <f>HYPERLINK("http://www.ncbi.nlm.nih.gov/protein/82994207","Gm5093")</f>
        <v>Gm5093</v>
      </c>
      <c r="E2886" t="str">
        <f>HYPERLINK("J:\Depot - mpkCCD Fractions\Main Web Page\Web Pages_old\proteomic_fractions_linear_files/Yang_linear_img/82994207.jpg","show blot")</f>
        <v>show blot</v>
      </c>
      <c r="G2886" t="s">
        <v>2796</v>
      </c>
      <c r="I2886" s="6">
        <v>6.5645879275906296</v>
      </c>
      <c r="K2886" s="8"/>
    </row>
    <row r="2887" spans="1:11" ht="15" x14ac:dyDescent="0.25">
      <c r="A2887" s="3" t="str">
        <f>HYPERLINK("proteomic_fractions_linear_files/Yang_linear_img/407262170.jpg", "407262170")</f>
        <v>407262170</v>
      </c>
      <c r="C2887" s="3" t="str">
        <f>HYPERLINK("http://www.ncbi.nlm.nih.gov/protein/407262170","Gm5215")</f>
        <v>Gm5215</v>
      </c>
      <c r="E2887" t="str">
        <f>HYPERLINK("J:\Depot - mpkCCD Fractions\Main Web Page\Web Pages_old\proteomic_fractions_linear_files/Yang_linear_img/407262170.jpg","show blot")</f>
        <v>show blot</v>
      </c>
      <c r="G2887" t="s">
        <v>2817</v>
      </c>
      <c r="I2887" s="6">
        <v>6.9379792901432289</v>
      </c>
      <c r="K2887" s="8"/>
    </row>
    <row r="2888" spans="1:11" ht="15" x14ac:dyDescent="0.25">
      <c r="A2888" s="3" t="str">
        <f>HYPERLINK("proteomic_fractions_linear_files/Yang_linear_img/407264077.jpg", "407264077")</f>
        <v>407264077</v>
      </c>
      <c r="C2888" s="3" t="str">
        <f>HYPERLINK("http://www.ncbi.nlm.nih.gov/protein/407264077","Gm5215")</f>
        <v>Gm5215</v>
      </c>
      <c r="E2888" t="str">
        <f>HYPERLINK("J:\Depot - mpkCCD Fractions\Main Web Page\Web Pages_old\proteomic_fractions_linear_files/Yang_linear_img/407264077.jpg","show blot")</f>
        <v>show blot</v>
      </c>
      <c r="G2888" t="s">
        <v>2817</v>
      </c>
      <c r="I2888" s="6">
        <v>6.9379792901432289</v>
      </c>
      <c r="K2888" s="8"/>
    </row>
    <row r="2889" spans="1:11" ht="15" x14ac:dyDescent="0.25">
      <c r="A2889" s="3" t="str">
        <f>HYPERLINK("proteomic_fractions_linear_files/Yang_linear_img/309263329.jpg", "309263329")</f>
        <v>309263329</v>
      </c>
      <c r="C2889" s="3" t="str">
        <f>HYPERLINK("http://www.ncbi.nlm.nih.gov/protein/309263329","Gm5218")</f>
        <v>Gm5218</v>
      </c>
      <c r="E2889" t="str">
        <f>HYPERLINK("J:\Depot - mpkCCD Fractions\Main Web Page\Web Pages_old\proteomic_fractions_linear_files/Yang_linear_img/309263329.jpg","show blot")</f>
        <v>show blot</v>
      </c>
      <c r="G2889" t="s">
        <v>2727</v>
      </c>
      <c r="I2889" s="6">
        <v>5.7534168548062325</v>
      </c>
      <c r="K2889" s="8"/>
    </row>
    <row r="2890" spans="1:11" ht="15" x14ac:dyDescent="0.25">
      <c r="A2890" s="3" t="str">
        <f>HYPERLINK("proteomic_fractions_linear_files/Yang_linear_img/94380332.jpg", "94380332")</f>
        <v>94380332</v>
      </c>
      <c r="C2890" s="3" t="str">
        <f>HYPERLINK("http://www.ncbi.nlm.nih.gov/protein/94380332","Gm5331")</f>
        <v>Gm5331</v>
      </c>
      <c r="E2890" t="str">
        <f>HYPERLINK("J:\Depot - mpkCCD Fractions\Main Web Page\Web Pages_old\proteomic_fractions_linear_files/Yang_linear_img/94380332.jpg","show blot")</f>
        <v>show blot</v>
      </c>
      <c r="G2890" t="s">
        <v>2818</v>
      </c>
      <c r="I2890" s="6">
        <v>4.1306810255410609</v>
      </c>
      <c r="K2890" s="8"/>
    </row>
    <row r="2891" spans="1:11" ht="15" x14ac:dyDescent="0.25">
      <c r="A2891" s="3" t="str">
        <f>HYPERLINK("proteomic_fractions_linear_files/Yang_linear_img/407264363.jpg", "407264363")</f>
        <v>407264363</v>
      </c>
      <c r="C2891" s="3" t="str">
        <f>HYPERLINK("http://www.ncbi.nlm.nih.gov/protein/407264363","Gm5396")</f>
        <v>Gm5396</v>
      </c>
      <c r="E2891" t="str">
        <f>HYPERLINK("J:\Depot - mpkCCD Fractions\Main Web Page\Web Pages_old\proteomic_fractions_linear_files/Yang_linear_img/407264363.jpg","show blot")</f>
        <v>show blot</v>
      </c>
      <c r="G2891" t="s">
        <v>2784</v>
      </c>
      <c r="I2891" s="6">
        <v>6.2940667501569258</v>
      </c>
      <c r="K2891" s="8"/>
    </row>
    <row r="2892" spans="1:11" ht="15" x14ac:dyDescent="0.25">
      <c r="A2892" s="3" t="str">
        <f>HYPERLINK("proteomic_fractions_linear_files/Yang_linear_img/83004259.jpg", "83004259")</f>
        <v>83004259</v>
      </c>
      <c r="C2892" s="3" t="str">
        <f>HYPERLINK("http://www.ncbi.nlm.nih.gov/protein/83004259","Gm5396")</f>
        <v>Gm5396</v>
      </c>
      <c r="E2892" t="str">
        <f>HYPERLINK("J:\Depot - mpkCCD Fractions\Main Web Page\Web Pages_old\proteomic_fractions_linear_files/Yang_linear_img/83004259.jpg","show blot")</f>
        <v>show blot</v>
      </c>
      <c r="G2892" t="s">
        <v>2784</v>
      </c>
      <c r="I2892" s="6">
        <v>6.2940667501569258</v>
      </c>
      <c r="K2892" s="8"/>
    </row>
    <row r="2893" spans="1:11" ht="15" x14ac:dyDescent="0.25">
      <c r="A2893" s="3" t="str">
        <f>HYPERLINK("proteomic_fractions_linear_files/Yang_linear_img/256017236.jpg", "256017236")</f>
        <v>256017236</v>
      </c>
      <c r="C2893" s="3" t="str">
        <f>HYPERLINK("http://www.ncbi.nlm.nih.gov/protein/256017236","Gm5415")</f>
        <v>Gm5415</v>
      </c>
      <c r="E2893" t="str">
        <f>HYPERLINK("J:\Depot - mpkCCD Fractions\Main Web Page\Web Pages_old\proteomic_fractions_linear_files/Yang_linear_img/256017236.jpg","show blot")</f>
        <v>show blot</v>
      </c>
      <c r="G2893" t="s">
        <v>2819</v>
      </c>
      <c r="I2893" s="6">
        <v>2.068392030504794</v>
      </c>
      <c r="K2893" s="8"/>
    </row>
    <row r="2894" spans="1:11" ht="15" x14ac:dyDescent="0.25">
      <c r="A2894" s="3" t="str">
        <f>HYPERLINK("proteomic_fractions_linear_files/Yang_linear_img/407261829.jpg", "407261829")</f>
        <v>407261829</v>
      </c>
      <c r="C2894" s="3" t="str">
        <f>HYPERLINK("http://www.ncbi.nlm.nih.gov/protein/407261829","Gm5428")</f>
        <v>Gm5428</v>
      </c>
      <c r="E2894" t="str">
        <f>HYPERLINK("J:\Depot - mpkCCD Fractions\Main Web Page\Web Pages_old\proteomic_fractions_linear_files/Yang_linear_img/407261829.jpg","show blot")</f>
        <v>show blot</v>
      </c>
      <c r="G2894" t="s">
        <v>2820</v>
      </c>
      <c r="I2894" s="6">
        <v>6.9454419259866675</v>
      </c>
      <c r="K2894" s="8"/>
    </row>
    <row r="2895" spans="1:11" ht="15" x14ac:dyDescent="0.25">
      <c r="A2895" s="3" t="str">
        <f>HYPERLINK("proteomic_fractions_linear_files/Yang_linear_img/82949522.jpg", "82949522")</f>
        <v>82949522</v>
      </c>
      <c r="C2895" s="3" t="str">
        <f>HYPERLINK("http://www.ncbi.nlm.nih.gov/protein/82949522","Gm5445")</f>
        <v>Gm5445</v>
      </c>
      <c r="E2895" t="str">
        <f>HYPERLINK("J:\Depot - mpkCCD Fractions\Main Web Page\Web Pages_old\proteomic_fractions_linear_files/Yang_linear_img/82949522.jpg","show blot")</f>
        <v>show blot</v>
      </c>
      <c r="G2895" t="s">
        <v>2821</v>
      </c>
      <c r="I2895" s="6">
        <v>6.4550379088130132</v>
      </c>
      <c r="K2895" s="8"/>
    </row>
    <row r="2896" spans="1:11" ht="15" x14ac:dyDescent="0.25">
      <c r="A2896" s="3" t="str">
        <f>HYPERLINK("proteomic_fractions_linear_files/Yang_linear_img/407262054.jpg", "407262054")</f>
        <v>407262054</v>
      </c>
      <c r="C2896" s="3" t="str">
        <f>HYPERLINK("http://www.ncbi.nlm.nih.gov/protein/407262054","Gm5451")</f>
        <v>Gm5451</v>
      </c>
      <c r="E2896" t="str">
        <f>HYPERLINK("J:\Depot - mpkCCD Fractions\Main Web Page\Web Pages_old\proteomic_fractions_linear_files/Yang_linear_img/407262054.jpg","show blot")</f>
        <v>show blot</v>
      </c>
      <c r="G2896" t="s">
        <v>2822</v>
      </c>
      <c r="I2896" s="6">
        <v>6.7212126779718186</v>
      </c>
      <c r="K2896" s="8"/>
    </row>
    <row r="2897" spans="1:11" ht="15" x14ac:dyDescent="0.25">
      <c r="A2897" s="3" t="str">
        <f>HYPERLINK("proteomic_fractions_linear_files/Yang_linear_img/51767763.jpg", "51767763")</f>
        <v>51767763</v>
      </c>
      <c r="C2897" s="3" t="str">
        <f>HYPERLINK("http://www.ncbi.nlm.nih.gov/protein/51767763","Gm5451")</f>
        <v>Gm5451</v>
      </c>
      <c r="E2897" t="str">
        <f>HYPERLINK("J:\Depot - mpkCCD Fractions\Main Web Page\Web Pages_old\proteomic_fractions_linear_files/Yang_linear_img/51767763.jpg","show blot")</f>
        <v>show blot</v>
      </c>
      <c r="G2897" t="s">
        <v>2823</v>
      </c>
      <c r="I2897" s="6">
        <v>6.7212126779718186</v>
      </c>
      <c r="K2897" s="8"/>
    </row>
    <row r="2898" spans="1:11" ht="15" x14ac:dyDescent="0.25">
      <c r="A2898" s="3" t="str">
        <f>HYPERLINK("proteomic_fractions_linear_files/Yang_linear_img/82951993.jpg", "82951993")</f>
        <v>82951993</v>
      </c>
      <c r="C2898" s="3" t="str">
        <f>HYPERLINK("http://www.ncbi.nlm.nih.gov/protein/82951993","Gm5453")</f>
        <v>Gm5453</v>
      </c>
      <c r="E2898" t="str">
        <f>HYPERLINK("J:\Depot - mpkCCD Fractions\Main Web Page\Web Pages_old\proteomic_fractions_linear_files/Yang_linear_img/82951993.jpg","show blot")</f>
        <v>show blot</v>
      </c>
      <c r="G2898" t="s">
        <v>2745</v>
      </c>
      <c r="I2898" s="6">
        <v>6.6502348295981486</v>
      </c>
      <c r="K2898" s="8"/>
    </row>
    <row r="2899" spans="1:11" ht="15" x14ac:dyDescent="0.25">
      <c r="A2899" s="3" t="str">
        <f>HYPERLINK("proteomic_fractions_linear_files/Yang_linear_img/82957080.jpg", "82957080")</f>
        <v>82957080</v>
      </c>
      <c r="C2899" s="3" t="str">
        <f>HYPERLINK("http://www.ncbi.nlm.nih.gov/protein/82957080","Gm5471")</f>
        <v>Gm5471</v>
      </c>
      <c r="E2899" t="str">
        <f>HYPERLINK("J:\Depot - mpkCCD Fractions\Main Web Page\Web Pages_old\proteomic_fractions_linear_files/Yang_linear_img/82957080.jpg","show blot")</f>
        <v>show blot</v>
      </c>
      <c r="G2899" t="s">
        <v>2824</v>
      </c>
      <c r="I2899" s="6">
        <v>2.7143923816249793</v>
      </c>
      <c r="K2899" s="8"/>
    </row>
    <row r="2900" spans="1:11" ht="15" x14ac:dyDescent="0.25">
      <c r="A2900" s="3" t="str">
        <f>HYPERLINK("proteomic_fractions_linear_files/Yang_linear_img/82964986.jpg", "82964986")</f>
        <v>82964986</v>
      </c>
      <c r="C2900" s="3" t="str">
        <f>HYPERLINK("http://www.ncbi.nlm.nih.gov/protein/82964986","Gm5481")</f>
        <v>Gm5481</v>
      </c>
      <c r="E2900" t="str">
        <f>HYPERLINK("J:\Depot - mpkCCD Fractions\Main Web Page\Web Pages_old\proteomic_fractions_linear_files/Yang_linear_img/82964986.jpg","show blot")</f>
        <v>show blot</v>
      </c>
      <c r="G2900" t="s">
        <v>2825</v>
      </c>
      <c r="I2900" s="6">
        <v>4.7004320764560292</v>
      </c>
      <c r="K2900" s="8"/>
    </row>
    <row r="2901" spans="1:11" ht="15" x14ac:dyDescent="0.25">
      <c r="A2901" s="3" t="str">
        <f>HYPERLINK("proteomic_fractions_linear_files/Yang_linear_img/70794816.jpg", "70794816")</f>
        <v>70794816</v>
      </c>
      <c r="C2901" s="3" t="str">
        <f>HYPERLINK("http://www.ncbi.nlm.nih.gov/protein/70794816","Gm5506")</f>
        <v>Gm5506</v>
      </c>
      <c r="E2901" t="str">
        <f>HYPERLINK("J:\Depot - mpkCCD Fractions\Main Web Page\Web Pages_old\proteomic_fractions_linear_files/Yang_linear_img/70794816.jpg","show blot")</f>
        <v>show blot</v>
      </c>
      <c r="G2901" t="s">
        <v>2826</v>
      </c>
      <c r="I2901" s="6">
        <v>7.3011619950637963</v>
      </c>
      <c r="K2901" s="8"/>
    </row>
    <row r="2902" spans="1:11" ht="15" x14ac:dyDescent="0.25">
      <c r="A2902" s="3" t="str">
        <f>HYPERLINK("proteomic_fractions_linear_files/Yang_linear_img/82879797.jpg", "82879797")</f>
        <v>82879797</v>
      </c>
      <c r="C2902" s="3" t="str">
        <f>HYPERLINK("http://www.ncbi.nlm.nih.gov/protein/82879797","Gm5528")</f>
        <v>Gm5528</v>
      </c>
      <c r="E2902" t="str">
        <f>HYPERLINK("J:\Depot - mpkCCD Fractions\Main Web Page\Web Pages_old\proteomic_fractions_linear_files/Yang_linear_img/82879797.jpg","show blot")</f>
        <v>show blot</v>
      </c>
      <c r="G2902" t="s">
        <v>2714</v>
      </c>
      <c r="I2902" s="6">
        <v>6.7437042516010051</v>
      </c>
      <c r="K2902" s="8"/>
    </row>
    <row r="2903" spans="1:11" ht="15" x14ac:dyDescent="0.25">
      <c r="A2903" s="3" t="str">
        <f>HYPERLINK("proteomic_fractions_linear_files/Yang_linear_img/82896822.jpg", "82896822")</f>
        <v>82896822</v>
      </c>
      <c r="C2903" s="3" t="str">
        <f>HYPERLINK("http://www.ncbi.nlm.nih.gov/protein/82896822","Gm5553")</f>
        <v>Gm5553</v>
      </c>
      <c r="E2903" t="str">
        <f>HYPERLINK("J:\Depot - mpkCCD Fractions\Main Web Page\Web Pages_old\proteomic_fractions_linear_files/Yang_linear_img/82896822.jpg","show blot")</f>
        <v>show blot</v>
      </c>
      <c r="G2903" t="s">
        <v>2827</v>
      </c>
      <c r="I2903" s="6">
        <v>4.191612090121672</v>
      </c>
      <c r="K2903" s="8"/>
    </row>
    <row r="2904" spans="1:11" ht="15" x14ac:dyDescent="0.25">
      <c r="A2904" s="3" t="str">
        <f>HYPERLINK("proteomic_fractions_linear_files/Yang_linear_img/94375800.jpg", "94375800")</f>
        <v>94375800</v>
      </c>
      <c r="C2904" s="3" t="str">
        <f>HYPERLINK("http://www.ncbi.nlm.nih.gov/protein/94375800","Gm5566")</f>
        <v>Gm5566</v>
      </c>
      <c r="E2904" t="str">
        <f>HYPERLINK("J:\Depot - mpkCCD Fractions\Main Web Page\Web Pages_old\proteomic_fractions_linear_files/Yang_linear_img/94375800.jpg","show blot")</f>
        <v>show blot</v>
      </c>
      <c r="G2904" t="s">
        <v>2828</v>
      </c>
      <c r="I2904" s="6">
        <v>7.0138671721676715</v>
      </c>
      <c r="K2904" s="8"/>
    </row>
    <row r="2905" spans="1:11" ht="15" x14ac:dyDescent="0.25">
      <c r="A2905" s="3" t="str">
        <f>HYPERLINK("proteomic_fractions_linear_files/Yang_linear_img/82902181.jpg", "82902181")</f>
        <v>82902181</v>
      </c>
      <c r="C2905" s="3" t="str">
        <f>HYPERLINK("http://www.ncbi.nlm.nih.gov/protein/82902181","Gm5576")</f>
        <v>Gm5576</v>
      </c>
      <c r="E2905" t="str">
        <f>HYPERLINK("J:\Depot - mpkCCD Fractions\Main Web Page\Web Pages_old\proteomic_fractions_linear_files/Yang_linear_img/82902181.jpg","show blot")</f>
        <v>show blot</v>
      </c>
      <c r="G2905" t="s">
        <v>2829</v>
      </c>
      <c r="I2905" s="6">
        <v>6.2789488003408236</v>
      </c>
      <c r="K2905" s="8"/>
    </row>
    <row r="2906" spans="1:11" ht="15" x14ac:dyDescent="0.25">
      <c r="A2906" s="3" t="str">
        <f>HYPERLINK("proteomic_fractions_linear_files/Yang_linear_img/85701806.jpg", "85701806")</f>
        <v>85701806</v>
      </c>
      <c r="C2906" s="3" t="str">
        <f>HYPERLINK("http://www.ncbi.nlm.nih.gov/protein/85701806","Gm561")</f>
        <v>Gm561</v>
      </c>
      <c r="E2906" t="str">
        <f>HYPERLINK("J:\Depot - mpkCCD Fractions\Main Web Page\Web Pages_old\proteomic_fractions_linear_files/Yang_linear_img/85701806.jpg","show blot")</f>
        <v>show blot</v>
      </c>
      <c r="G2906" t="s">
        <v>2830</v>
      </c>
      <c r="I2906" s="6">
        <v>3.3231547025040107</v>
      </c>
      <c r="K2906" s="8"/>
    </row>
    <row r="2907" spans="1:11" ht="15" x14ac:dyDescent="0.25">
      <c r="A2907" s="3" t="str">
        <f>HYPERLINK("proteomic_fractions_linear_files/Yang_linear_img/82930689.jpg", "82930689")</f>
        <v>82930689</v>
      </c>
      <c r="C2907" s="3" t="str">
        <f>HYPERLINK("http://www.ncbi.nlm.nih.gov/protein/82930689","Gm5620")</f>
        <v>Gm5620</v>
      </c>
      <c r="E2907" t="str">
        <f>HYPERLINK("J:\Depot - mpkCCD Fractions\Main Web Page\Web Pages_old\proteomic_fractions_linear_files/Yang_linear_img/82930689.jpg","show blot")</f>
        <v>show blot</v>
      </c>
      <c r="G2907" t="s">
        <v>2831</v>
      </c>
      <c r="I2907" s="6">
        <v>6.9625315335439222</v>
      </c>
      <c r="K2907" s="8"/>
    </row>
    <row r="2908" spans="1:11" ht="15" x14ac:dyDescent="0.25">
      <c r="A2908" s="3" t="str">
        <f>HYPERLINK("proteomic_fractions_linear_files/Yang_linear_img/309266590.jpg", "309266590")</f>
        <v>309266590</v>
      </c>
      <c r="C2908" s="3" t="str">
        <f>HYPERLINK("http://www.ncbi.nlm.nih.gov/protein/309266590","Gm5621")</f>
        <v>Gm5621</v>
      </c>
      <c r="E2908" t="str">
        <f>HYPERLINK("J:\Depot - mpkCCD Fractions\Main Web Page\Web Pages_old\proteomic_fractions_linear_files/Yang_linear_img/309266590.jpg","show blot")</f>
        <v>show blot</v>
      </c>
      <c r="G2908" t="s">
        <v>2832</v>
      </c>
      <c r="I2908" s="6">
        <v>6.2281967703729046</v>
      </c>
      <c r="K2908" s="8"/>
    </row>
    <row r="2909" spans="1:11" ht="15" x14ac:dyDescent="0.25">
      <c r="A2909" s="3" t="str">
        <f>HYPERLINK("proteomic_fractions_linear_files/Yang_linear_img/82931053.jpg", "82931053")</f>
        <v>82931053</v>
      </c>
      <c r="C2909" s="3" t="str">
        <f>HYPERLINK("http://www.ncbi.nlm.nih.gov/protein/82931053","Gm5621")</f>
        <v>Gm5621</v>
      </c>
      <c r="E2909" t="str">
        <f>HYPERLINK("J:\Depot - mpkCCD Fractions\Main Web Page\Web Pages_old\proteomic_fractions_linear_files/Yang_linear_img/82931053.jpg","show blot")</f>
        <v>show blot</v>
      </c>
      <c r="G2909" t="s">
        <v>2833</v>
      </c>
      <c r="I2909" s="6">
        <v>6.2281967703729046</v>
      </c>
      <c r="K2909" s="8"/>
    </row>
    <row r="2910" spans="1:11" ht="15" x14ac:dyDescent="0.25">
      <c r="A2910" s="3" t="str">
        <f>HYPERLINK("proteomic_fractions_linear_files/Yang_linear_img/149262895.jpg", "149262895")</f>
        <v>149262895</v>
      </c>
      <c r="C2910" s="3" t="str">
        <f>HYPERLINK("http://www.ncbi.nlm.nih.gov/protein/149262895","Gm5633")</f>
        <v>Gm5633</v>
      </c>
      <c r="E2910" t="str">
        <f>HYPERLINK("J:\Depot - mpkCCD Fractions\Main Web Page\Web Pages_old\proteomic_fractions_linear_files/Yang_linear_img/149262895.jpg","show blot")</f>
        <v>show blot</v>
      </c>
      <c r="G2910" t="s">
        <v>2834</v>
      </c>
      <c r="I2910" s="6">
        <v>4.9073304587303257</v>
      </c>
      <c r="K2910" s="8"/>
    </row>
    <row r="2911" spans="1:11" ht="15" x14ac:dyDescent="0.25">
      <c r="A2911" s="3" t="str">
        <f>HYPERLINK("proteomic_fractions_linear_files/Yang_linear_img/83001127.jpg", "83001127")</f>
        <v>83001127</v>
      </c>
      <c r="C2911" s="3" t="str">
        <f>HYPERLINK("http://www.ncbi.nlm.nih.gov/protein/83001127","Gm5637")</f>
        <v>Gm5637</v>
      </c>
      <c r="E2911" t="str">
        <f>HYPERLINK("J:\Depot - mpkCCD Fractions\Main Web Page\Web Pages_old\proteomic_fractions_linear_files/Yang_linear_img/83001127.jpg","show blot")</f>
        <v>show blot</v>
      </c>
      <c r="G2911" t="s">
        <v>2835</v>
      </c>
      <c r="I2911" s="6">
        <v>5.7495814896064426</v>
      </c>
      <c r="K2911" s="8"/>
    </row>
    <row r="2912" spans="1:11" ht="15" x14ac:dyDescent="0.25">
      <c r="A2912" s="3" t="str">
        <f>HYPERLINK("proteomic_fractions_linear_files/Yang_linear_img/85701506.jpg", "85701506")</f>
        <v>85701506</v>
      </c>
      <c r="C2912" s="3" t="str">
        <f>HYPERLINK("http://www.ncbi.nlm.nih.gov/protein/85701506","Gm5662")</f>
        <v>Gm5662</v>
      </c>
      <c r="E2912" t="str">
        <f>HYPERLINK("J:\Depot - mpkCCD Fractions\Main Web Page\Web Pages_old\proteomic_fractions_linear_files/Yang_linear_img/85701506.jpg","show blot")</f>
        <v>show blot</v>
      </c>
      <c r="G2912" t="s">
        <v>2776</v>
      </c>
      <c r="I2912" s="6">
        <v>5.6331309333669575</v>
      </c>
      <c r="K2912" s="8"/>
    </row>
    <row r="2913" spans="1:11" ht="15" x14ac:dyDescent="0.25">
      <c r="A2913" s="3" t="str">
        <f>HYPERLINK("proteomic_fractions_linear_files/Yang_linear_img/407262667.jpg", "407262667")</f>
        <v>407262667</v>
      </c>
      <c r="C2913" s="3" t="str">
        <f>HYPERLINK("http://www.ncbi.nlm.nih.gov/protein/407262667","Gm5662")</f>
        <v>Gm5662</v>
      </c>
      <c r="E2913" t="str">
        <f>HYPERLINK("J:\Depot - mpkCCD Fractions\Main Web Page\Web Pages_old\proteomic_fractions_linear_files/Yang_linear_img/407262667.jpg","show blot")</f>
        <v>show blot</v>
      </c>
      <c r="G2913" t="s">
        <v>2775</v>
      </c>
      <c r="I2913" s="6">
        <v>5.6331309333669575</v>
      </c>
      <c r="K2913" s="8"/>
    </row>
    <row r="2914" spans="1:11" ht="15" x14ac:dyDescent="0.25">
      <c r="A2914" s="3" t="str">
        <f>HYPERLINK("proteomic_fractions_linear_files/Yang_linear_img/82950935.jpg", "82950935")</f>
        <v>82950935</v>
      </c>
      <c r="C2914" s="3" t="str">
        <f>HYPERLINK("http://www.ncbi.nlm.nih.gov/protein/82950935","Gm5792")</f>
        <v>Gm5792</v>
      </c>
      <c r="E2914" t="str">
        <f>HYPERLINK("J:\Depot - mpkCCD Fractions\Main Web Page\Web Pages_old\proteomic_fractions_linear_files/Yang_linear_img/82950935.jpg","show blot")</f>
        <v>show blot</v>
      </c>
      <c r="G2914" t="s">
        <v>2836</v>
      </c>
      <c r="I2914" s="6">
        <v>6.1630199544054092</v>
      </c>
      <c r="K2914" s="8"/>
    </row>
    <row r="2915" spans="1:11" ht="15" x14ac:dyDescent="0.25">
      <c r="A2915" s="3" t="str">
        <f>HYPERLINK("proteomic_fractions_linear_files/Yang_linear_img/260304980.jpg", "260304980")</f>
        <v>260304980</v>
      </c>
      <c r="C2915" s="3" t="str">
        <f>HYPERLINK("http://www.ncbi.nlm.nih.gov/protein/260304980","Gm5803")</f>
        <v>Gm5803</v>
      </c>
      <c r="E2915" t="str">
        <f>HYPERLINK("J:\Depot - mpkCCD Fractions\Main Web Page\Web Pages_old\proteomic_fractions_linear_files/Yang_linear_img/260304980.jpg","show blot")</f>
        <v>show blot</v>
      </c>
      <c r="G2915" t="s">
        <v>2837</v>
      </c>
      <c r="I2915" s="6">
        <v>6.5755229562686948</v>
      </c>
      <c r="K2915" s="8"/>
    </row>
    <row r="2916" spans="1:11" ht="15" x14ac:dyDescent="0.25">
      <c r="A2916" s="3" t="str">
        <f>HYPERLINK("proteomic_fractions_linear_files/Yang_linear_img/309270629.jpg", "309270629")</f>
        <v>309270629</v>
      </c>
      <c r="C2916" s="3" t="str">
        <f>HYPERLINK("http://www.ncbi.nlm.nih.gov/protein/309270629","Gm5806")</f>
        <v>Gm5806</v>
      </c>
      <c r="E2916" t="str">
        <f>HYPERLINK("J:\Depot - mpkCCD Fractions\Main Web Page\Web Pages_old\proteomic_fractions_linear_files/Yang_linear_img/309270629.jpg","show blot")</f>
        <v>show blot</v>
      </c>
      <c r="G2916" t="s">
        <v>2838</v>
      </c>
      <c r="I2916" s="6">
        <v>3.103133827919657</v>
      </c>
      <c r="K2916" s="8"/>
    </row>
    <row r="2917" spans="1:11" ht="15" x14ac:dyDescent="0.25">
      <c r="A2917" s="3" t="str">
        <f>HYPERLINK("proteomic_fractions_linear_files/Yang_linear_img/309264759.jpg", "309264759")</f>
        <v>309264759</v>
      </c>
      <c r="C2917" s="3" t="str">
        <f>HYPERLINK("http://www.ncbi.nlm.nih.gov/protein/309264759","Gm5848")</f>
        <v>Gm5848</v>
      </c>
      <c r="E2917" t="str">
        <f>HYPERLINK("J:\Depot - mpkCCD Fractions\Main Web Page\Web Pages_old\proteomic_fractions_linear_files/Yang_linear_img/309264759.jpg","show blot")</f>
        <v>show blot</v>
      </c>
      <c r="G2917" t="s">
        <v>2839</v>
      </c>
      <c r="I2917" s="6">
        <v>6.3198727226585572</v>
      </c>
      <c r="K2917" s="8"/>
    </row>
    <row r="2918" spans="1:11" ht="15" x14ac:dyDescent="0.25">
      <c r="A2918" s="3" t="str">
        <f>HYPERLINK("proteomic_fractions_linear_files/Yang_linear_img/63501063.jpg", "63501063")</f>
        <v>63501063</v>
      </c>
      <c r="C2918" s="3" t="str">
        <f>HYPERLINK("http://www.ncbi.nlm.nih.gov/protein/63501063","Gm5848")</f>
        <v>Gm5848</v>
      </c>
      <c r="E2918" t="str">
        <f>HYPERLINK("J:\Depot - mpkCCD Fractions\Main Web Page\Web Pages_old\proteomic_fractions_linear_files/Yang_linear_img/63501063.jpg","show blot")</f>
        <v>show blot</v>
      </c>
      <c r="G2918" t="s">
        <v>2839</v>
      </c>
      <c r="I2918" s="6">
        <v>6.3198727226585572</v>
      </c>
      <c r="K2918" s="8"/>
    </row>
    <row r="2919" spans="1:11" ht="15" x14ac:dyDescent="0.25">
      <c r="A2919" s="3" t="str">
        <f>HYPERLINK("proteomic_fractions_linear_files/Yang_linear_img/82891539.jpg", "82891539")</f>
        <v>82891539</v>
      </c>
      <c r="C2919" s="3" t="str">
        <f>HYPERLINK("http://www.ncbi.nlm.nih.gov/protein/82891539","Gm5858")</f>
        <v>Gm5858</v>
      </c>
      <c r="E2919" t="str">
        <f>HYPERLINK("J:\Depot - mpkCCD Fractions\Main Web Page\Web Pages_old\proteomic_fractions_linear_files/Yang_linear_img/82891539.jpg","show blot")</f>
        <v>show blot</v>
      </c>
      <c r="G2919" t="s">
        <v>2840</v>
      </c>
      <c r="I2919" s="6">
        <v>5.6887073617697137</v>
      </c>
      <c r="K2919" s="8"/>
    </row>
    <row r="2920" spans="1:11" ht="15" x14ac:dyDescent="0.25">
      <c r="A2920" s="3" t="str">
        <f>HYPERLINK("proteomic_fractions_linear_files/Yang_linear_img/309266232.jpg", "309266232")</f>
        <v>309266232</v>
      </c>
      <c r="C2920" s="3" t="str">
        <f>HYPERLINK("http://www.ncbi.nlm.nih.gov/protein/309266232","Gm5908")</f>
        <v>Gm5908</v>
      </c>
      <c r="E2920" t="str">
        <f>HYPERLINK("J:\Depot - mpkCCD Fractions\Main Web Page\Web Pages_old\proteomic_fractions_linear_files/Yang_linear_img/309266232.jpg","show blot")</f>
        <v>show blot</v>
      </c>
      <c r="G2920" t="s">
        <v>2745</v>
      </c>
      <c r="I2920" s="6">
        <v>6.5634071826893408</v>
      </c>
      <c r="K2920" s="8"/>
    </row>
    <row r="2921" spans="1:11" ht="15" x14ac:dyDescent="0.25">
      <c r="A2921" s="3" t="str">
        <f>HYPERLINK("proteomic_fractions_linear_files/Yang_linear_img/82965725.jpg", "82965725")</f>
        <v>82965725</v>
      </c>
      <c r="C2921" s="3" t="str">
        <f>HYPERLINK("http://www.ncbi.nlm.nih.gov/protein/82965725","Gm5963")</f>
        <v>Gm5963</v>
      </c>
      <c r="E2921" t="str">
        <f>HYPERLINK("J:\Depot - mpkCCD Fractions\Main Web Page\Web Pages_old\proteomic_fractions_linear_files/Yang_linear_img/82965725.jpg","show blot")</f>
        <v>show blot</v>
      </c>
      <c r="G2921" t="s">
        <v>2841</v>
      </c>
      <c r="I2921" s="6">
        <v>5.8433720684146984</v>
      </c>
      <c r="K2921" s="8"/>
    </row>
    <row r="2922" spans="1:11" ht="15" x14ac:dyDescent="0.25">
      <c r="A2922" s="3" t="str">
        <f>HYPERLINK("proteomic_fractions_linear_files/Yang_linear_img/82952096.jpg", "82952096")</f>
        <v>82952096</v>
      </c>
      <c r="C2922" s="3" t="str">
        <f>HYPERLINK("http://www.ncbi.nlm.nih.gov/protein/82952096","Gm6109")</f>
        <v>Gm6109</v>
      </c>
      <c r="E2922" t="str">
        <f>HYPERLINK("J:\Depot - mpkCCD Fractions\Main Web Page\Web Pages_old\proteomic_fractions_linear_files/Yang_linear_img/82952096.jpg","show blot")</f>
        <v>show blot</v>
      </c>
      <c r="G2922" t="s">
        <v>2825</v>
      </c>
      <c r="I2922" s="6">
        <v>6.1412854139109916</v>
      </c>
      <c r="K2922" s="8"/>
    </row>
    <row r="2923" spans="1:11" ht="15" x14ac:dyDescent="0.25">
      <c r="A2923" s="3" t="str">
        <f>HYPERLINK("proteomic_fractions_linear_files/Yang_linear_img/407262070.jpg", "407262070")</f>
        <v>407262070</v>
      </c>
      <c r="C2923" s="3" t="str">
        <f>HYPERLINK("http://www.ncbi.nlm.nih.gov/protein/407262070","Gm6115")</f>
        <v>Gm6115</v>
      </c>
      <c r="E2923" t="str">
        <f>HYPERLINK("J:\Depot - mpkCCD Fractions\Main Web Page\Web Pages_old\proteomic_fractions_linear_files/Yang_linear_img/407262070.jpg","show blot")</f>
        <v>show blot</v>
      </c>
      <c r="G2923" t="s">
        <v>2784</v>
      </c>
      <c r="I2923" s="6">
        <v>6.5564536057788354</v>
      </c>
      <c r="K2923" s="8"/>
    </row>
    <row r="2924" spans="1:11" ht="15" x14ac:dyDescent="0.25">
      <c r="A2924" s="3" t="str">
        <f>HYPERLINK("proteomic_fractions_linear_files/Yang_linear_img/407263905.jpg", "407263905")</f>
        <v>407263905</v>
      </c>
      <c r="C2924" s="3" t="str">
        <f>HYPERLINK("http://www.ncbi.nlm.nih.gov/protein/407263905","Gm6115")</f>
        <v>Gm6115</v>
      </c>
      <c r="E2924" t="str">
        <f>HYPERLINK("J:\Depot - mpkCCD Fractions\Main Web Page\Web Pages_old\proteomic_fractions_linear_files/Yang_linear_img/407263905.jpg","show blot")</f>
        <v>show blot</v>
      </c>
      <c r="G2924" t="s">
        <v>2842</v>
      </c>
      <c r="I2924" s="6">
        <v>6.5564536057788354</v>
      </c>
      <c r="K2924" s="8"/>
    </row>
    <row r="2925" spans="1:11" ht="15" x14ac:dyDescent="0.25">
      <c r="A2925" s="3" t="str">
        <f>HYPERLINK("proteomic_fractions_linear_files/Yang_linear_img/407261316.jpg", "407261316")</f>
        <v>407261316</v>
      </c>
      <c r="C2925" s="3" t="str">
        <f>HYPERLINK("http://www.ncbi.nlm.nih.gov/protein/407261316","Gm6139")</f>
        <v>Gm6139</v>
      </c>
      <c r="E2925" t="str">
        <f>HYPERLINK("J:\Depot - mpkCCD Fractions\Main Web Page\Web Pages_old\proteomic_fractions_linear_files/Yang_linear_img/407261316.jpg","show blot")</f>
        <v>show blot</v>
      </c>
      <c r="G2925" t="s">
        <v>2843</v>
      </c>
      <c r="I2925" s="6">
        <v>6.846565652517639</v>
      </c>
      <c r="K2925" s="8"/>
    </row>
    <row r="2926" spans="1:11" ht="15" x14ac:dyDescent="0.25">
      <c r="A2926" s="3" t="str">
        <f>HYPERLINK("proteomic_fractions_linear_files/Yang_linear_img/85701852.jpg", "85701852")</f>
        <v>85701852</v>
      </c>
      <c r="C2926" s="3" t="str">
        <f>HYPERLINK("http://www.ncbi.nlm.nih.gov/protein/85701852","Gm614")</f>
        <v>Gm614</v>
      </c>
      <c r="E2926" t="str">
        <f>HYPERLINK("J:\Depot - mpkCCD Fractions\Main Web Page\Web Pages_old\proteomic_fractions_linear_files/Yang_linear_img/85701852.jpg","show blot")</f>
        <v>show blot</v>
      </c>
      <c r="G2926" t="s">
        <v>2844</v>
      </c>
      <c r="I2926" s="6">
        <v>2.8887409606828927</v>
      </c>
      <c r="K2926" s="8"/>
    </row>
    <row r="2927" spans="1:11" ht="15" x14ac:dyDescent="0.25">
      <c r="A2927" s="3" t="str">
        <f>HYPERLINK("proteomic_fractions_linear_files/Yang_linear_img/309265975.jpg", "309265975")</f>
        <v>309265975</v>
      </c>
      <c r="C2927" s="3" t="str">
        <f>HYPERLINK("http://www.ncbi.nlm.nih.gov/protein/309265975","Gm6155")</f>
        <v>Gm6155</v>
      </c>
      <c r="E2927" t="str">
        <f>HYPERLINK("J:\Depot - mpkCCD Fractions\Main Web Page\Web Pages_old\proteomic_fractions_linear_files/Yang_linear_img/309265975.jpg","show blot")</f>
        <v>show blot</v>
      </c>
      <c r="G2927" t="s">
        <v>2824</v>
      </c>
      <c r="I2927" s="6">
        <v>5.2677540587595653</v>
      </c>
      <c r="K2927" s="8"/>
    </row>
    <row r="2928" spans="1:11" ht="15" x14ac:dyDescent="0.25">
      <c r="A2928" s="3" t="str">
        <f>HYPERLINK("proteomic_fractions_linear_files/Yang_linear_img/309268860.jpg", "309268860")</f>
        <v>309268860</v>
      </c>
      <c r="C2928" s="3" t="str">
        <f>HYPERLINK("http://www.ncbi.nlm.nih.gov/protein/309268860","Gm6155")</f>
        <v>Gm6155</v>
      </c>
      <c r="E2928" t="str">
        <f>HYPERLINK("J:\Depot - mpkCCD Fractions\Main Web Page\Web Pages_old\proteomic_fractions_linear_files/Yang_linear_img/309268860.jpg","show blot")</f>
        <v>show blot</v>
      </c>
      <c r="G2928" t="s">
        <v>2824</v>
      </c>
      <c r="I2928" s="6">
        <v>5.2677540587595653</v>
      </c>
      <c r="K2928" s="8"/>
    </row>
    <row r="2929" spans="1:11" ht="15" x14ac:dyDescent="0.25">
      <c r="A2929" s="3" t="str">
        <f>HYPERLINK("proteomic_fractions_linear_files/Yang_linear_img/407262102.jpg", "407262102")</f>
        <v>407262102</v>
      </c>
      <c r="C2929" s="3" t="str">
        <f>HYPERLINK("http://www.ncbi.nlm.nih.gov/protein/407262102","Gm6158")</f>
        <v>Gm6158</v>
      </c>
      <c r="E2929" t="str">
        <f>HYPERLINK("J:\Depot - mpkCCD Fractions\Main Web Page\Web Pages_old\proteomic_fractions_linear_files/Yang_linear_img/407262102.jpg","show blot")</f>
        <v>show blot</v>
      </c>
      <c r="G2929" t="s">
        <v>2845</v>
      </c>
      <c r="I2929" s="6">
        <v>4.9800406574117426</v>
      </c>
      <c r="K2929" s="8"/>
    </row>
    <row r="2930" spans="1:11" ht="15" x14ac:dyDescent="0.25">
      <c r="A2930" s="3" t="str">
        <f>HYPERLINK("proteomic_fractions_linear_files/Yang_linear_img/377833664.jpg", "377833664")</f>
        <v>377833664</v>
      </c>
      <c r="C2930" s="3" t="str">
        <f>HYPERLINK("http://www.ncbi.nlm.nih.gov/protein/377833664","Gm6177")</f>
        <v>Gm6177</v>
      </c>
      <c r="E2930" t="str">
        <f>HYPERLINK("J:\Depot - mpkCCD Fractions\Main Web Page\Web Pages_old\proteomic_fractions_linear_files/Yang_linear_img/377833664.jpg","show blot")</f>
        <v>show blot</v>
      </c>
      <c r="G2930" t="s">
        <v>2846</v>
      </c>
      <c r="I2930" s="6">
        <v>6.1455880801232947</v>
      </c>
      <c r="K2930" s="8"/>
    </row>
    <row r="2931" spans="1:11" ht="15" x14ac:dyDescent="0.25">
      <c r="A2931" s="3" t="str">
        <f>HYPERLINK("proteomic_fractions_linear_files/Yang_linear_img/82883044.jpg", "82883044")</f>
        <v>82883044</v>
      </c>
      <c r="C2931" s="3" t="str">
        <f>HYPERLINK("http://www.ncbi.nlm.nih.gov/protein/82883044","Gm6177")</f>
        <v>Gm6177</v>
      </c>
      <c r="E2931" t="str">
        <f>HYPERLINK("J:\Depot - mpkCCD Fractions\Main Web Page\Web Pages_old\proteomic_fractions_linear_files/Yang_linear_img/82883044.jpg","show blot")</f>
        <v>show blot</v>
      </c>
      <c r="G2931" t="s">
        <v>2846</v>
      </c>
      <c r="I2931" s="6">
        <v>6.1455880801232947</v>
      </c>
      <c r="K2931" s="8"/>
    </row>
    <row r="2932" spans="1:11" ht="15" x14ac:dyDescent="0.25">
      <c r="A2932" s="3" t="str">
        <f>HYPERLINK("proteomic_fractions_linear_files/Yang_linear_img/82795390.jpg", "82795390")</f>
        <v>82795390</v>
      </c>
      <c r="C2932" s="3" t="str">
        <f>HYPERLINK("http://www.ncbi.nlm.nih.gov/protein/82795390","Gm6195")</f>
        <v>Gm6195</v>
      </c>
      <c r="E2932" t="str">
        <f>HYPERLINK("J:\Depot - mpkCCD Fractions\Main Web Page\Web Pages_old\proteomic_fractions_linear_files/Yang_linear_img/82795390.jpg","show blot")</f>
        <v>show blot</v>
      </c>
      <c r="G2932" t="s">
        <v>2847</v>
      </c>
      <c r="I2932" s="6">
        <v>5.3447087063945702</v>
      </c>
      <c r="K2932" s="8"/>
    </row>
    <row r="2933" spans="1:11" ht="15" x14ac:dyDescent="0.25">
      <c r="A2933" s="3" t="str">
        <f>HYPERLINK("proteomic_fractions_linear_files/Yang_linear_img/82795935.jpg", "82795935")</f>
        <v>82795935</v>
      </c>
      <c r="C2933" s="3" t="str">
        <f>HYPERLINK("http://www.ncbi.nlm.nih.gov/protein/82795935","Gm6195")</f>
        <v>Gm6195</v>
      </c>
      <c r="E2933" t="str">
        <f>HYPERLINK("J:\Depot - mpkCCD Fractions\Main Web Page\Web Pages_old\proteomic_fractions_linear_files/Yang_linear_img/82795935.jpg","show blot")</f>
        <v>show blot</v>
      </c>
      <c r="G2933" t="s">
        <v>2847</v>
      </c>
      <c r="I2933" s="6">
        <v>5.3447087063945702</v>
      </c>
      <c r="K2933" s="8"/>
    </row>
    <row r="2934" spans="1:11" ht="15" x14ac:dyDescent="0.25">
      <c r="A2934" s="3" t="str">
        <f>HYPERLINK("proteomic_fractions_linear_files/Yang_linear_img/283945554.jpg", "283945554")</f>
        <v>283945554</v>
      </c>
      <c r="C2934" s="3" t="str">
        <f>HYPERLINK("http://www.ncbi.nlm.nih.gov/protein/283945554","Gm6251")</f>
        <v>Gm6251</v>
      </c>
      <c r="E2934" t="str">
        <f>HYPERLINK("J:\Depot - mpkCCD Fractions\Main Web Page\Web Pages_old\proteomic_fractions_linear_files/Yang_linear_img/283945554.jpg","show blot")</f>
        <v>show blot</v>
      </c>
      <c r="G2934" t="s">
        <v>2848</v>
      </c>
      <c r="I2934" s="6">
        <v>6.0357869253857634</v>
      </c>
      <c r="K2934" s="8"/>
    </row>
    <row r="2935" spans="1:11" ht="15" x14ac:dyDescent="0.25">
      <c r="A2935" s="3" t="str">
        <f>HYPERLINK("proteomic_fractions_linear_files/Yang_linear_img/309265684.jpg", "309265684")</f>
        <v>309265684</v>
      </c>
      <c r="C2935" s="3" t="str">
        <f>HYPERLINK("http://www.ncbi.nlm.nih.gov/protein/309265684","Gm6253")</f>
        <v>Gm6253</v>
      </c>
      <c r="E2935" t="str">
        <f>HYPERLINK("J:\Depot - mpkCCD Fractions\Main Web Page\Web Pages_old\proteomic_fractions_linear_files/Yang_linear_img/309265684.jpg","show blot")</f>
        <v>show blot</v>
      </c>
      <c r="G2935" t="s">
        <v>2849</v>
      </c>
      <c r="I2935" s="6">
        <v>3.4589606161194921</v>
      </c>
      <c r="K2935" s="8"/>
    </row>
    <row r="2936" spans="1:11" ht="15" x14ac:dyDescent="0.25">
      <c r="A2936" s="3" t="str">
        <f>HYPERLINK("proteomic_fractions_linear_files/Yang_linear_img/82914650.jpg", "82914650")</f>
        <v>82914650</v>
      </c>
      <c r="C2936" s="3" t="str">
        <f>HYPERLINK("http://www.ncbi.nlm.nih.gov/protein/82914650","Gm6314")</f>
        <v>Gm6314</v>
      </c>
      <c r="E2936" t="str">
        <f>HYPERLINK("J:\Depot - mpkCCD Fractions\Main Web Page\Web Pages_old\proteomic_fractions_linear_files/Yang_linear_img/82914650.jpg","show blot")</f>
        <v>show blot</v>
      </c>
      <c r="G2936" t="s">
        <v>2850</v>
      </c>
      <c r="I2936" s="6">
        <v>4.2937238735202081</v>
      </c>
      <c r="K2936" s="8"/>
    </row>
    <row r="2937" spans="1:11" ht="15" x14ac:dyDescent="0.25">
      <c r="A2937" s="3" t="str">
        <f>HYPERLINK("proteomic_fractions_linear_files/Yang_linear_img/407264048.jpg", "407264048")</f>
        <v>407264048</v>
      </c>
      <c r="C2937" s="3" t="str">
        <f>HYPERLINK("http://www.ncbi.nlm.nih.gov/protein/407264048","Gm6330")</f>
        <v>Gm6330</v>
      </c>
      <c r="E2937" t="str">
        <f>HYPERLINK("J:\Depot - mpkCCD Fractions\Main Web Page\Web Pages_old\proteomic_fractions_linear_files/Yang_linear_img/407264048.jpg","show blot")</f>
        <v>show blot</v>
      </c>
      <c r="G2937" t="s">
        <v>2851</v>
      </c>
      <c r="I2937" s="6">
        <v>3.105811136261829</v>
      </c>
      <c r="K2937" s="8"/>
    </row>
    <row r="2938" spans="1:11" ht="15" x14ac:dyDescent="0.25">
      <c r="A2938" s="3" t="str">
        <f>HYPERLINK("proteomic_fractions_linear_files/Yang_linear_img/407263925.jpg", "407263925")</f>
        <v>407263925</v>
      </c>
      <c r="C2938" s="3" t="str">
        <f>HYPERLINK("http://www.ncbi.nlm.nih.gov/protein/407263925","Gm6404")</f>
        <v>Gm6404</v>
      </c>
      <c r="E2938" t="str">
        <f>HYPERLINK("J:\Depot - mpkCCD Fractions\Main Web Page\Web Pages_old\proteomic_fractions_linear_files/Yang_linear_img/407263925.jpg","show blot")</f>
        <v>show blot</v>
      </c>
      <c r="G2938" t="s">
        <v>2852</v>
      </c>
      <c r="I2938" s="6">
        <v>6.073868719784798</v>
      </c>
      <c r="K2938" s="8"/>
    </row>
    <row r="2939" spans="1:11" ht="15" x14ac:dyDescent="0.25">
      <c r="A2939" s="3" t="str">
        <f>HYPERLINK("proteomic_fractions_linear_files/Yang_linear_img/309265963.jpg", "309265963")</f>
        <v>309265963</v>
      </c>
      <c r="C2939" s="3" t="str">
        <f>HYPERLINK("http://www.ncbi.nlm.nih.gov/protein/309265963","Gm6415")</f>
        <v>Gm6415</v>
      </c>
      <c r="E2939" t="str">
        <f>HYPERLINK("J:\Depot - mpkCCD Fractions\Main Web Page\Web Pages_old\proteomic_fractions_linear_files/Yang_linear_img/309265963.jpg","show blot")</f>
        <v>show blot</v>
      </c>
      <c r="G2939" t="s">
        <v>2853</v>
      </c>
      <c r="I2939" s="6">
        <v>5.1758965290055308</v>
      </c>
      <c r="K2939" s="8"/>
    </row>
    <row r="2940" spans="1:11" ht="15" x14ac:dyDescent="0.25">
      <c r="A2940" s="3" t="str">
        <f>HYPERLINK("proteomic_fractions_linear_files/Yang_linear_img/82906344.jpg", "82906344")</f>
        <v>82906344</v>
      </c>
      <c r="C2940" s="3" t="str">
        <f>HYPERLINK("http://www.ncbi.nlm.nih.gov/protein/82906344","Gm6415")</f>
        <v>Gm6415</v>
      </c>
      <c r="E2940" t="str">
        <f>HYPERLINK("J:\Depot - mpkCCD Fractions\Main Web Page\Web Pages_old\proteomic_fractions_linear_files/Yang_linear_img/82906344.jpg","show blot")</f>
        <v>show blot</v>
      </c>
      <c r="G2940" t="s">
        <v>2853</v>
      </c>
      <c r="I2940" s="6">
        <v>5.1758965290055308</v>
      </c>
      <c r="K2940" s="8"/>
    </row>
    <row r="2941" spans="1:11" ht="15" x14ac:dyDescent="0.25">
      <c r="A2941" s="3" t="str">
        <f>HYPERLINK("proteomic_fractions_linear_files/Yang_linear_img/348041355.jpg", "348041355")</f>
        <v>348041355</v>
      </c>
      <c r="C2941" s="3" t="str">
        <f>HYPERLINK("http://www.ncbi.nlm.nih.gov/protein/348041355","Gm6432")</f>
        <v>Gm6432</v>
      </c>
      <c r="E2941" t="str">
        <f>HYPERLINK("J:\Depot - mpkCCD Fractions\Main Web Page\Web Pages_old\proteomic_fractions_linear_files/Yang_linear_img/348041355.jpg","show blot")</f>
        <v>show blot</v>
      </c>
      <c r="G2941" t="s">
        <v>2854</v>
      </c>
      <c r="I2941" s="6">
        <v>3.827651828495914</v>
      </c>
      <c r="K2941" s="8"/>
    </row>
    <row r="2942" spans="1:11" ht="15" x14ac:dyDescent="0.25">
      <c r="A2942" s="3" t="str">
        <f>HYPERLINK("proteomic_fractions_linear_files/Yang_linear_img/82952669.jpg", "82952669")</f>
        <v>82952669</v>
      </c>
      <c r="C2942" s="3" t="str">
        <f>HYPERLINK("http://www.ncbi.nlm.nih.gov/protein/82952669","Gm6436")</f>
        <v>Gm6436</v>
      </c>
      <c r="E2942" t="str">
        <f>HYPERLINK("J:\Depot - mpkCCD Fractions\Main Web Page\Web Pages_old\proteomic_fractions_linear_files/Yang_linear_img/82952669.jpg","show blot")</f>
        <v>show blot</v>
      </c>
      <c r="G2942" t="s">
        <v>2855</v>
      </c>
      <c r="I2942" s="6">
        <v>6.8340666510431634</v>
      </c>
      <c r="K2942" s="8"/>
    </row>
    <row r="2943" spans="1:11" ht="15" x14ac:dyDescent="0.25">
      <c r="A2943" s="3" t="str">
        <f>HYPERLINK("proteomic_fractions_linear_files/Yang_linear_img/407262458.jpg", "407262458")</f>
        <v>407262458</v>
      </c>
      <c r="C2943" s="3" t="str">
        <f>HYPERLINK("http://www.ncbi.nlm.nih.gov/protein/407262458","Gm6500")</f>
        <v>Gm6500</v>
      </c>
      <c r="E2943" t="str">
        <f>HYPERLINK("J:\Depot - mpkCCD Fractions\Main Web Page\Web Pages_old\proteomic_fractions_linear_files/Yang_linear_img/407262458.jpg","show blot")</f>
        <v>show blot</v>
      </c>
      <c r="G2943" t="s">
        <v>2856</v>
      </c>
      <c r="I2943" s="6">
        <v>4.5364657651800364</v>
      </c>
      <c r="K2943" s="8"/>
    </row>
    <row r="2944" spans="1:11" ht="15" x14ac:dyDescent="0.25">
      <c r="A2944" s="3" t="str">
        <f>HYPERLINK("proteomic_fractions_linear_files/Yang_linear_img/407264342.jpg", "407264342")</f>
        <v>407264342</v>
      </c>
      <c r="C2944" s="3" t="str">
        <f>HYPERLINK("http://www.ncbi.nlm.nih.gov/protein/407264342","Gm6500")</f>
        <v>Gm6500</v>
      </c>
      <c r="E2944" t="str">
        <f>HYPERLINK("J:\Depot - mpkCCD Fractions\Main Web Page\Web Pages_old\proteomic_fractions_linear_files/Yang_linear_img/407264342.jpg","show blot")</f>
        <v>show blot</v>
      </c>
      <c r="G2944" t="s">
        <v>2856</v>
      </c>
      <c r="I2944" s="6">
        <v>4.5364657651800364</v>
      </c>
      <c r="K2944" s="8"/>
    </row>
    <row r="2945" spans="1:11" ht="15" x14ac:dyDescent="0.25">
      <c r="A2945" s="3" t="str">
        <f>HYPERLINK("proteomic_fractions_linear_files/Yang_linear_img/85702318.jpg", "85702318")</f>
        <v>85702318</v>
      </c>
      <c r="C2945" s="3" t="str">
        <f>HYPERLINK("http://www.ncbi.nlm.nih.gov/protein/85702318","Gm6531")</f>
        <v>Gm6531</v>
      </c>
      <c r="E2945" t="str">
        <f>HYPERLINK("J:\Depot - mpkCCD Fractions\Main Web Page\Web Pages_old\proteomic_fractions_linear_files/Yang_linear_img/85702318.jpg","show blot")</f>
        <v>show blot</v>
      </c>
      <c r="G2945" t="s">
        <v>2857</v>
      </c>
      <c r="I2945" s="6">
        <v>3.9917999394665178</v>
      </c>
      <c r="K2945" s="8"/>
    </row>
    <row r="2946" spans="1:11" ht="15" x14ac:dyDescent="0.25">
      <c r="A2946" s="3" t="str">
        <f>HYPERLINK("proteomic_fractions_linear_files/Yang_linear_img/149251558.jpg", "149251558")</f>
        <v>149251558</v>
      </c>
      <c r="C2946" s="3" t="str">
        <f>HYPERLINK("http://www.ncbi.nlm.nih.gov/protein/149251558","Gm6570")</f>
        <v>Gm6570</v>
      </c>
      <c r="E2946" t="str">
        <f>HYPERLINK("J:\Depot - mpkCCD Fractions\Main Web Page\Web Pages_old\proteomic_fractions_linear_files/Yang_linear_img/149251558.jpg","show blot")</f>
        <v>show blot</v>
      </c>
      <c r="G2946" t="s">
        <v>2825</v>
      </c>
      <c r="I2946" s="6">
        <v>6.7075691031744507</v>
      </c>
      <c r="K2946" s="8"/>
    </row>
    <row r="2947" spans="1:11" ht="15" x14ac:dyDescent="0.25">
      <c r="A2947" s="3" t="str">
        <f>HYPERLINK("proteomic_fractions_linear_files/Yang_linear_img/82890078.jpg", "82890078")</f>
        <v>82890078</v>
      </c>
      <c r="C2947" s="3" t="str">
        <f>HYPERLINK("http://www.ncbi.nlm.nih.gov/protein/82890078","Gm6570")</f>
        <v>Gm6570</v>
      </c>
      <c r="E2947" t="str">
        <f>HYPERLINK("J:\Depot - mpkCCD Fractions\Main Web Page\Web Pages_old\proteomic_fractions_linear_files/Yang_linear_img/82890078.jpg","show blot")</f>
        <v>show blot</v>
      </c>
      <c r="G2947" t="s">
        <v>2825</v>
      </c>
      <c r="I2947" s="6">
        <v>6.7075691031744507</v>
      </c>
      <c r="K2947" s="8"/>
    </row>
    <row r="2948" spans="1:11" ht="15" x14ac:dyDescent="0.25">
      <c r="A2948" s="3" t="str">
        <f>HYPERLINK("proteomic_fractions_linear_files/Yang_linear_img/309262251.jpg", "309262251")</f>
        <v>309262251</v>
      </c>
      <c r="C2948" s="3" t="str">
        <f>HYPERLINK("http://www.ncbi.nlm.nih.gov/protein/309262251","Gm6613")</f>
        <v>Gm6613</v>
      </c>
      <c r="E2948" t="str">
        <f>HYPERLINK("J:\Depot - mpkCCD Fractions\Main Web Page\Web Pages_old\proteomic_fractions_linear_files/Yang_linear_img/309262251.jpg","show blot")</f>
        <v>show blot</v>
      </c>
      <c r="G2948" t="s">
        <v>2719</v>
      </c>
      <c r="I2948" s="6">
        <v>6.2989892824654046</v>
      </c>
      <c r="K2948" s="8"/>
    </row>
    <row r="2949" spans="1:11" ht="15" x14ac:dyDescent="0.25">
      <c r="A2949" s="3" t="str">
        <f>HYPERLINK("proteomic_fractions_linear_files/Yang_linear_img/309271811.jpg", "309271811")</f>
        <v>309271811</v>
      </c>
      <c r="C2949" s="3" t="str">
        <f>HYPERLINK("http://www.ncbi.nlm.nih.gov/protein/309271811","Gm6625")</f>
        <v>Gm6625</v>
      </c>
      <c r="E2949" t="str">
        <f>HYPERLINK("J:\Depot - mpkCCD Fractions\Main Web Page\Web Pages_old\proteomic_fractions_linear_files/Yang_linear_img/309271811.jpg","show blot")</f>
        <v>show blot</v>
      </c>
      <c r="G2949" t="s">
        <v>2758</v>
      </c>
      <c r="I2949" s="6">
        <v>6.2222899055610306</v>
      </c>
      <c r="K2949" s="8"/>
    </row>
    <row r="2950" spans="1:11" ht="15" x14ac:dyDescent="0.25">
      <c r="A2950" s="3" t="str">
        <f>HYPERLINK("proteomic_fractions_linear_files/Yang_linear_img/407264254.jpg", "407264254")</f>
        <v>407264254</v>
      </c>
      <c r="C2950" s="3" t="str">
        <f>HYPERLINK("http://www.ncbi.nlm.nih.gov/protein/407264254","Gm6747")</f>
        <v>Gm6747</v>
      </c>
      <c r="E2950" t="str">
        <f>HYPERLINK("J:\Depot - mpkCCD Fractions\Main Web Page\Web Pages_old\proteomic_fractions_linear_files/Yang_linear_img/407264254.jpg","show blot")</f>
        <v>show blot</v>
      </c>
      <c r="G2950" t="s">
        <v>2858</v>
      </c>
      <c r="I2950" s="6">
        <v>3.262079912460436</v>
      </c>
      <c r="K2950" s="8"/>
    </row>
    <row r="2951" spans="1:11" ht="15" x14ac:dyDescent="0.25">
      <c r="A2951" s="3" t="str">
        <f>HYPERLINK("proteomic_fractions_linear_files/Yang_linear_img/82998543.jpg", "82998543")</f>
        <v>82998543</v>
      </c>
      <c r="C2951" s="3" t="str">
        <f>HYPERLINK("http://www.ncbi.nlm.nih.gov/protein/82998543","Gm6747")</f>
        <v>Gm6747</v>
      </c>
      <c r="E2951" t="str">
        <f>HYPERLINK("J:\Depot - mpkCCD Fractions\Main Web Page\Web Pages_old\proteomic_fractions_linear_files/Yang_linear_img/82998543.jpg","show blot")</f>
        <v>show blot</v>
      </c>
      <c r="G2951" t="s">
        <v>2859</v>
      </c>
      <c r="I2951" s="6">
        <v>3.262079912460436</v>
      </c>
      <c r="K2951" s="8"/>
    </row>
    <row r="2952" spans="1:11" ht="15" x14ac:dyDescent="0.25">
      <c r="A2952" s="3" t="str">
        <f>HYPERLINK("proteomic_fractions_linear_files/Yang_linear_img/149255259.jpg", "149255259")</f>
        <v>149255259</v>
      </c>
      <c r="C2952" s="3" t="str">
        <f>HYPERLINK("http://www.ncbi.nlm.nih.gov/protein/149255259","Gm6749")</f>
        <v>Gm6749</v>
      </c>
      <c r="E2952" t="str">
        <f>HYPERLINK("J:\Depot - mpkCCD Fractions\Main Web Page\Web Pages_old\proteomic_fractions_linear_files/Yang_linear_img/149255259.jpg","show blot")</f>
        <v>show blot</v>
      </c>
      <c r="G2952" t="s">
        <v>2722</v>
      </c>
      <c r="I2952" s="6">
        <v>7.6981872305721124</v>
      </c>
      <c r="K2952" s="8"/>
    </row>
    <row r="2953" spans="1:11" ht="15" x14ac:dyDescent="0.25">
      <c r="A2953" s="3" t="str">
        <f>HYPERLINK("proteomic_fractions_linear_files/Yang_linear_img/309265661.jpg", "309265661")</f>
        <v>309265661</v>
      </c>
      <c r="C2953" s="3" t="str">
        <f>HYPERLINK("http://www.ncbi.nlm.nih.gov/protein/309265661","Gm6749")</f>
        <v>Gm6749</v>
      </c>
      <c r="E2953" t="str">
        <f>HYPERLINK("J:\Depot - mpkCCD Fractions\Main Web Page\Web Pages_old\proteomic_fractions_linear_files/Yang_linear_img/309265661.jpg","show blot")</f>
        <v>show blot</v>
      </c>
      <c r="G2953" t="s">
        <v>2722</v>
      </c>
      <c r="I2953" s="6">
        <v>7.6981872305721124</v>
      </c>
      <c r="K2953" s="8"/>
    </row>
    <row r="2954" spans="1:11" ht="15" x14ac:dyDescent="0.25">
      <c r="A2954" s="3" t="str">
        <f>HYPERLINK("proteomic_fractions_linear_files/Yang_linear_img/309266388.jpg", "309266388")</f>
        <v>309266388</v>
      </c>
      <c r="C2954" s="3" t="str">
        <f>HYPERLINK("http://www.ncbi.nlm.nih.gov/protein/309266388","Gm6834")</f>
        <v>Gm6834</v>
      </c>
      <c r="E2954" t="str">
        <f>HYPERLINK("J:\Depot - mpkCCD Fractions\Main Web Page\Web Pages_old\proteomic_fractions_linear_files/Yang_linear_img/309266388.jpg","show blot")</f>
        <v>show blot</v>
      </c>
      <c r="G2954" t="s">
        <v>2759</v>
      </c>
      <c r="I2954" s="6">
        <v>6.8447671969836783</v>
      </c>
      <c r="K2954" s="8"/>
    </row>
    <row r="2955" spans="1:11" ht="15" x14ac:dyDescent="0.25">
      <c r="A2955" s="3" t="str">
        <f>HYPERLINK("proteomic_fractions_linear_files/Yang_linear_img/82905251.jpg", "82905251")</f>
        <v>82905251</v>
      </c>
      <c r="C2955" s="3" t="str">
        <f>HYPERLINK("http://www.ncbi.nlm.nih.gov/protein/82905251","Gm6851")</f>
        <v>Gm6851</v>
      </c>
      <c r="E2955" t="str">
        <f>HYPERLINK("J:\Depot - mpkCCD Fractions\Main Web Page\Web Pages_old\proteomic_fractions_linear_files/Yang_linear_img/82905251.jpg","show blot")</f>
        <v>show blot</v>
      </c>
      <c r="G2955" t="s">
        <v>2860</v>
      </c>
      <c r="I2955" s="6">
        <v>4.9881207268042251</v>
      </c>
      <c r="K2955" s="8"/>
    </row>
    <row r="2956" spans="1:11" ht="15" x14ac:dyDescent="0.25">
      <c r="A2956" s="3" t="str">
        <f>HYPERLINK("proteomic_fractions_linear_files/Yang_linear_img/82950919.jpg", "82950919")</f>
        <v>82950919</v>
      </c>
      <c r="C2956" s="3" t="str">
        <f>HYPERLINK("http://www.ncbi.nlm.nih.gov/protein/82950919","Gm6901")</f>
        <v>Gm6901</v>
      </c>
      <c r="E2956" t="str">
        <f>HYPERLINK("J:\Depot - mpkCCD Fractions\Main Web Page\Web Pages_old\proteomic_fractions_linear_files/Yang_linear_img/82950919.jpg","show blot")</f>
        <v>show blot</v>
      </c>
      <c r="G2956" t="s">
        <v>2836</v>
      </c>
      <c r="I2956" s="6">
        <v>6.1630199544054092</v>
      </c>
      <c r="K2956" s="8"/>
    </row>
    <row r="2957" spans="1:11" ht="15" x14ac:dyDescent="0.25">
      <c r="A2957" s="3" t="str">
        <f>HYPERLINK("proteomic_fractions_linear_files/Yang_linear_img/407263864.jpg", "407263864")</f>
        <v>407263864</v>
      </c>
      <c r="C2957" s="3" t="str">
        <f>HYPERLINK("http://www.ncbi.nlm.nih.gov/protein/407263864","Gm6910")</f>
        <v>Gm6910</v>
      </c>
      <c r="E2957" t="str">
        <f>HYPERLINK("J:\Depot - mpkCCD Fractions\Main Web Page\Web Pages_old\proteomic_fractions_linear_files/Yang_linear_img/407263864.jpg","show blot")</f>
        <v>show blot</v>
      </c>
      <c r="G2957" t="s">
        <v>2861</v>
      </c>
      <c r="I2957" s="6">
        <v>2.3054569886514784</v>
      </c>
      <c r="K2957" s="8"/>
    </row>
    <row r="2958" spans="1:11" ht="15" x14ac:dyDescent="0.25">
      <c r="A2958" s="3" t="str">
        <f>HYPERLINK("proteomic_fractions_linear_files/Yang_linear_img/309267035.jpg", "309267035")</f>
        <v>309267035</v>
      </c>
      <c r="C2958" s="3" t="str">
        <f>HYPERLINK("http://www.ncbi.nlm.nih.gov/protein/309267035","Gm6917")</f>
        <v>Gm6917</v>
      </c>
      <c r="E2958" t="str">
        <f>HYPERLINK("J:\Depot - mpkCCD Fractions\Main Web Page\Web Pages_old\proteomic_fractions_linear_files/Yang_linear_img/309267035.jpg","show blot")</f>
        <v>show blot</v>
      </c>
      <c r="G2958" t="s">
        <v>2836</v>
      </c>
      <c r="I2958" s="6">
        <v>6.1950589566995324</v>
      </c>
      <c r="K2958" s="8"/>
    </row>
    <row r="2959" spans="1:11" ht="15" x14ac:dyDescent="0.25">
      <c r="A2959" s="3" t="str">
        <f>HYPERLINK("proteomic_fractions_linear_files/Yang_linear_img/309269987.jpg", "309269987")</f>
        <v>309269987</v>
      </c>
      <c r="C2959" s="3" t="str">
        <f>HYPERLINK("http://www.ncbi.nlm.nih.gov/protein/309269987","Gm6917")</f>
        <v>Gm6917</v>
      </c>
      <c r="E2959" t="str">
        <f>HYPERLINK("J:\Depot - mpkCCD Fractions\Main Web Page\Web Pages_old\proteomic_fractions_linear_files/Yang_linear_img/309269987.jpg","show blot")</f>
        <v>show blot</v>
      </c>
      <c r="G2959" t="s">
        <v>2836</v>
      </c>
      <c r="I2959" s="6">
        <v>6.1950589566995324</v>
      </c>
      <c r="K2959" s="8"/>
    </row>
    <row r="2960" spans="1:11" ht="15" x14ac:dyDescent="0.25">
      <c r="A2960" s="3" t="str">
        <f>HYPERLINK("proteomic_fractions_linear_files/Yang_linear_img/309266416.jpg", "309266416")</f>
        <v>309266416</v>
      </c>
      <c r="C2960" s="3" t="str">
        <f>HYPERLINK("http://www.ncbi.nlm.nih.gov/protein/309266416","Gm6921")</f>
        <v>Gm6921</v>
      </c>
      <c r="E2960" t="str">
        <f>HYPERLINK("J:\Depot - mpkCCD Fractions\Main Web Page\Web Pages_old\proteomic_fractions_linear_files/Yang_linear_img/309266416.jpg","show blot")</f>
        <v>show blot</v>
      </c>
      <c r="G2960" t="s">
        <v>2862</v>
      </c>
      <c r="I2960" s="6">
        <v>5.8999130779790026</v>
      </c>
      <c r="K2960" s="8"/>
    </row>
    <row r="2961" spans="1:11" ht="15" x14ac:dyDescent="0.25">
      <c r="A2961" s="3" t="str">
        <f>HYPERLINK("proteomic_fractions_linear_files/Yang_linear_img/82918545.jpg", "82918545")</f>
        <v>82918545</v>
      </c>
      <c r="C2961" s="3" t="str">
        <f>HYPERLINK("http://www.ncbi.nlm.nih.gov/protein/82918545","Gm6921")</f>
        <v>Gm6921</v>
      </c>
      <c r="E2961" t="str">
        <f>HYPERLINK("J:\Depot - mpkCCD Fractions\Main Web Page\Web Pages_old\proteomic_fractions_linear_files/Yang_linear_img/82918545.jpg","show blot")</f>
        <v>show blot</v>
      </c>
      <c r="G2961" t="s">
        <v>2863</v>
      </c>
      <c r="I2961" s="6">
        <v>5.8999130779790026</v>
      </c>
      <c r="K2961" s="8"/>
    </row>
    <row r="2962" spans="1:11" ht="15" x14ac:dyDescent="0.25">
      <c r="A2962" s="3" t="str">
        <f>HYPERLINK("proteomic_fractions_linear_files/Yang_linear_img/149267906.jpg", "149267906")</f>
        <v>149267906</v>
      </c>
      <c r="C2962" s="3" t="str">
        <f>HYPERLINK("http://www.ncbi.nlm.nih.gov/protein/149267906","Gm6958")</f>
        <v>Gm6958</v>
      </c>
      <c r="E2962" t="str">
        <f>HYPERLINK("J:\Depot - mpkCCD Fractions\Main Web Page\Web Pages_old\proteomic_fractions_linear_files/Yang_linear_img/149267906.jpg","show blot")</f>
        <v>show blot</v>
      </c>
      <c r="G2962" t="s">
        <v>2864</v>
      </c>
      <c r="I2962" s="6">
        <v>4.6574136782293243</v>
      </c>
      <c r="K2962" s="8"/>
    </row>
    <row r="2963" spans="1:11" ht="15" x14ac:dyDescent="0.25">
      <c r="A2963" s="3" t="str">
        <f>HYPERLINK("proteomic_fractions_linear_files/Yang_linear_img/83002589.jpg", "83002589")</f>
        <v>83002589</v>
      </c>
      <c r="C2963" s="3" t="str">
        <f>HYPERLINK("http://www.ncbi.nlm.nih.gov/protein/83002589","Gm6987")</f>
        <v>Gm6987</v>
      </c>
      <c r="E2963" t="str">
        <f>HYPERLINK("J:\Depot - mpkCCD Fractions\Main Web Page\Web Pages_old\proteomic_fractions_linear_files/Yang_linear_img/83002589.jpg","show blot")</f>
        <v>show blot</v>
      </c>
      <c r="G2963" t="s">
        <v>2865</v>
      </c>
      <c r="I2963" s="6">
        <v>6.2013658880341254</v>
      </c>
      <c r="K2963" s="8"/>
    </row>
    <row r="2964" spans="1:11" ht="15" x14ac:dyDescent="0.25">
      <c r="A2964" s="3" t="str">
        <f>HYPERLINK("proteomic_fractions_linear_files/Yang_linear_img/309262778.jpg", "309262778")</f>
        <v>309262778</v>
      </c>
      <c r="C2964" s="3" t="str">
        <f>HYPERLINK("http://www.ncbi.nlm.nih.gov/protein/309262778","Gm6988")</f>
        <v>Gm6988</v>
      </c>
      <c r="E2964" t="str">
        <f>HYPERLINK("J:\Depot - mpkCCD Fractions\Main Web Page\Web Pages_old\proteomic_fractions_linear_files/Yang_linear_img/309262778.jpg","show blot")</f>
        <v>show blot</v>
      </c>
      <c r="G2964" t="s">
        <v>2813</v>
      </c>
      <c r="I2964" s="6">
        <v>6.8561138970319204</v>
      </c>
      <c r="K2964" s="8"/>
    </row>
    <row r="2965" spans="1:11" ht="15" x14ac:dyDescent="0.25">
      <c r="A2965" s="3" t="str">
        <f>HYPERLINK("proteomic_fractions_linear_files/Yang_linear_img/82943174.jpg", "82943174")</f>
        <v>82943174</v>
      </c>
      <c r="C2965" s="3" t="str">
        <f>HYPERLINK("http://www.ncbi.nlm.nih.gov/protein/82943174","Gm6988")</f>
        <v>Gm6988</v>
      </c>
      <c r="E2965" t="str">
        <f>HYPERLINK("J:\Depot - mpkCCD Fractions\Main Web Page\Web Pages_old\proteomic_fractions_linear_files/Yang_linear_img/82943174.jpg","show blot")</f>
        <v>show blot</v>
      </c>
      <c r="G2965" t="s">
        <v>2813</v>
      </c>
      <c r="I2965" s="6">
        <v>6.8561138970319204</v>
      </c>
      <c r="K2965" s="8"/>
    </row>
    <row r="2966" spans="1:11" ht="15" x14ac:dyDescent="0.25">
      <c r="A2966" s="3" t="str">
        <f>HYPERLINK("proteomic_fractions_linear_files/Yang_linear_img/309266895.jpg", "309266895")</f>
        <v>309266895</v>
      </c>
      <c r="C2966" s="3" t="str">
        <f>HYPERLINK("http://www.ncbi.nlm.nih.gov/protein/309266895","Gm7061")</f>
        <v>Gm7061</v>
      </c>
      <c r="E2966" t="str">
        <f>HYPERLINK("J:\Depot - mpkCCD Fractions\Main Web Page\Web Pages_old\proteomic_fractions_linear_files/Yang_linear_img/309266895.jpg","show blot")</f>
        <v>show blot</v>
      </c>
      <c r="G2966" t="s">
        <v>2866</v>
      </c>
      <c r="I2966" s="6">
        <v>5.8223147505209063</v>
      </c>
      <c r="K2966" s="8"/>
    </row>
    <row r="2967" spans="1:11" ht="15" x14ac:dyDescent="0.25">
      <c r="A2967" s="3" t="str">
        <f>HYPERLINK("proteomic_fractions_linear_files/Yang_linear_img/309271453.jpg", "309271453")</f>
        <v>309271453</v>
      </c>
      <c r="C2967" s="3" t="str">
        <f>HYPERLINK("http://www.ncbi.nlm.nih.gov/protein/309271453","Gm7061")</f>
        <v>Gm7061</v>
      </c>
      <c r="E2967" t="str">
        <f>HYPERLINK("J:\Depot - mpkCCD Fractions\Main Web Page\Web Pages_old\proteomic_fractions_linear_files/Yang_linear_img/309271453.jpg","show blot")</f>
        <v>show blot</v>
      </c>
      <c r="G2967" t="s">
        <v>2867</v>
      </c>
      <c r="I2967" s="6">
        <v>5.8223147505209063</v>
      </c>
      <c r="K2967" s="8"/>
    </row>
    <row r="2968" spans="1:11" ht="15" x14ac:dyDescent="0.25">
      <c r="A2968" s="3" t="str">
        <f>HYPERLINK("proteomic_fractions_linear_files/Yang_linear_img/377834609.jpg", "377834609")</f>
        <v>377834609</v>
      </c>
      <c r="C2968" s="3" t="str">
        <f>HYPERLINK("http://www.ncbi.nlm.nih.gov/protein/377834609","Gm7061")</f>
        <v>Gm7061</v>
      </c>
      <c r="E2968" t="str">
        <f>HYPERLINK("J:\Depot - mpkCCD Fractions\Main Web Page\Web Pages_old\proteomic_fractions_linear_files/Yang_linear_img/377834609.jpg","show blot")</f>
        <v>show blot</v>
      </c>
      <c r="G2968" t="s">
        <v>2868</v>
      </c>
      <c r="I2968" s="6">
        <v>5.8223147505209063</v>
      </c>
      <c r="K2968" s="8"/>
    </row>
    <row r="2969" spans="1:11" ht="15" x14ac:dyDescent="0.25">
      <c r="A2969" s="3" t="str">
        <f>HYPERLINK("proteomic_fractions_linear_files/Yang_linear_img/407262228.jpg", "407262228")</f>
        <v>407262228</v>
      </c>
      <c r="C2969" s="3" t="str">
        <f>HYPERLINK("http://www.ncbi.nlm.nih.gov/protein/407262228","Gm7250")</f>
        <v>Gm7250</v>
      </c>
      <c r="E2969" t="str">
        <f>HYPERLINK("J:\Depot - mpkCCD Fractions\Main Web Page\Web Pages_old\proteomic_fractions_linear_files/Yang_linear_img/407262228.jpg","show blot")</f>
        <v>show blot</v>
      </c>
      <c r="G2969" t="s">
        <v>2869</v>
      </c>
      <c r="I2969" s="6">
        <v>5.0204679713979239</v>
      </c>
      <c r="K2969" s="8"/>
    </row>
    <row r="2970" spans="1:11" ht="15" x14ac:dyDescent="0.25">
      <c r="A2970" s="3" t="str">
        <f>HYPERLINK("proteomic_fractions_linear_files/Yang_linear_img/94408110.jpg", "94408110")</f>
        <v>94408110</v>
      </c>
      <c r="C2970" s="3" t="str">
        <f>HYPERLINK("http://www.ncbi.nlm.nih.gov/protein/94408110","Gm7429")</f>
        <v>Gm7429</v>
      </c>
      <c r="E2970" t="str">
        <f>HYPERLINK("J:\Depot - mpkCCD Fractions\Main Web Page\Web Pages_old\proteomic_fractions_linear_files/Yang_linear_img/94408110.jpg","show blot")</f>
        <v>show blot</v>
      </c>
      <c r="G2970" t="s">
        <v>2825</v>
      </c>
      <c r="I2970" s="6">
        <v>7.0007955537111854</v>
      </c>
      <c r="K2970" s="8"/>
    </row>
    <row r="2971" spans="1:11" ht="15" x14ac:dyDescent="0.25">
      <c r="A2971" s="3" t="str">
        <f>HYPERLINK("proteomic_fractions_linear_files/Yang_linear_img/309265940.jpg", "309265940")</f>
        <v>309265940</v>
      </c>
      <c r="C2971" s="3" t="str">
        <f>HYPERLINK("http://www.ncbi.nlm.nih.gov/protein/309265940","Gm7546")</f>
        <v>Gm7546</v>
      </c>
      <c r="E2971" t="str">
        <f>HYPERLINK("J:\Depot - mpkCCD Fractions\Main Web Page\Web Pages_old\proteomic_fractions_linear_files/Yang_linear_img/309265940.jpg","show blot")</f>
        <v>show blot</v>
      </c>
      <c r="G2971" t="s">
        <v>2870</v>
      </c>
      <c r="I2971" s="6">
        <v>3.9713505341859112</v>
      </c>
      <c r="K2971" s="8"/>
    </row>
    <row r="2972" spans="1:11" ht="15" x14ac:dyDescent="0.25">
      <c r="A2972" s="3" t="str">
        <f>HYPERLINK("proteomic_fractions_linear_files/Yang_linear_img/312176359.jpg", "312176359")</f>
        <v>312176359</v>
      </c>
      <c r="C2972" s="3" t="str">
        <f>HYPERLINK("http://www.ncbi.nlm.nih.gov/protein/312176359","Gm7694")</f>
        <v>Gm7694</v>
      </c>
      <c r="E2972" t="str">
        <f>HYPERLINK("J:\Depot - mpkCCD Fractions\Main Web Page\Web Pages_old\proteomic_fractions_linear_files/Yang_linear_img/312176359.jpg","show blot")</f>
        <v>show blot</v>
      </c>
      <c r="G2972" t="s">
        <v>2871</v>
      </c>
      <c r="I2972" s="6">
        <v>1.6334684555795864</v>
      </c>
      <c r="K2972" s="8"/>
    </row>
    <row r="2973" spans="1:11" ht="15" x14ac:dyDescent="0.25">
      <c r="A2973" s="3" t="str">
        <f>HYPERLINK("proteomic_fractions_linear_files/Yang_linear_img/407264240.jpg", "407264240")</f>
        <v>407264240</v>
      </c>
      <c r="C2973" s="3" t="str">
        <f>HYPERLINK("http://www.ncbi.nlm.nih.gov/protein/407264240","Gm7810")</f>
        <v>Gm7810</v>
      </c>
      <c r="E2973" t="str">
        <f>HYPERLINK("J:\Depot - mpkCCD Fractions\Main Web Page\Web Pages_old\proteomic_fractions_linear_files/Yang_linear_img/407264240.jpg","show blot")</f>
        <v>show blot</v>
      </c>
      <c r="G2973" t="s">
        <v>2872</v>
      </c>
      <c r="I2973" s="6">
        <v>6.2837280450696902</v>
      </c>
      <c r="K2973" s="8"/>
    </row>
    <row r="2974" spans="1:11" ht="15" x14ac:dyDescent="0.25">
      <c r="A2974" s="3" t="str">
        <f>HYPERLINK("proteomic_fractions_linear_files/Yang_linear_img/149260017.jpg", "149260017")</f>
        <v>149260017</v>
      </c>
      <c r="C2974" s="3" t="str">
        <f>HYPERLINK("http://www.ncbi.nlm.nih.gov/protein/149260017","Gm7866")</f>
        <v>Gm7866</v>
      </c>
      <c r="E2974" t="str">
        <f>HYPERLINK("J:\Depot - mpkCCD Fractions\Main Web Page\Web Pages_old\proteomic_fractions_linear_files/Yang_linear_img/149260017.jpg","show blot")</f>
        <v>show blot</v>
      </c>
      <c r="G2974" t="s">
        <v>2873</v>
      </c>
      <c r="I2974" s="6">
        <v>7.2145889915920538</v>
      </c>
      <c r="K2974" s="8"/>
    </row>
    <row r="2975" spans="1:11" ht="15" x14ac:dyDescent="0.25">
      <c r="A2975" s="3" t="str">
        <f>HYPERLINK("proteomic_fractions_linear_files/Yang_linear_img/309266537.jpg", "309266537")</f>
        <v>309266537</v>
      </c>
      <c r="C2975" s="3" t="str">
        <f>HYPERLINK("http://www.ncbi.nlm.nih.gov/protein/309266537","Gm7866")</f>
        <v>Gm7866</v>
      </c>
      <c r="E2975" t="str">
        <f>HYPERLINK("J:\Depot - mpkCCD Fractions\Main Web Page\Web Pages_old\proteomic_fractions_linear_files/Yang_linear_img/309266537.jpg","show blot")</f>
        <v>show blot</v>
      </c>
      <c r="G2975" t="s">
        <v>2873</v>
      </c>
      <c r="I2975" s="6">
        <v>7.2145889915920538</v>
      </c>
      <c r="K2975" s="8"/>
    </row>
    <row r="2976" spans="1:11" ht="15" x14ac:dyDescent="0.25">
      <c r="A2976" s="3" t="str">
        <f>HYPERLINK("proteomic_fractions_linear_files/Yang_linear_img/407262833.jpg", "407262833")</f>
        <v>407262833</v>
      </c>
      <c r="C2976" s="3" t="str">
        <f>HYPERLINK("http://www.ncbi.nlm.nih.gov/protein/407262833","Gm7889")</f>
        <v>Gm7889</v>
      </c>
      <c r="E2976" t="str">
        <f>HYPERLINK("J:\Depot - mpkCCD Fractions\Main Web Page\Web Pages_old\proteomic_fractions_linear_files/Yang_linear_img/407262833.jpg","show blot")</f>
        <v>show blot</v>
      </c>
      <c r="G2976" t="s">
        <v>2874</v>
      </c>
      <c r="I2976" s="6">
        <v>3.7967133866327258</v>
      </c>
      <c r="K2976" s="8"/>
    </row>
    <row r="2977" spans="1:11" ht="15" x14ac:dyDescent="0.25">
      <c r="A2977" s="3" t="str">
        <f>HYPERLINK("proteomic_fractions_linear_files/Yang_linear_img/94374770.jpg", "94374770")</f>
        <v>94374770</v>
      </c>
      <c r="C2977" s="3" t="str">
        <f>HYPERLINK("http://www.ncbi.nlm.nih.gov/protein/94374770","Gm8069")</f>
        <v>Gm8069</v>
      </c>
      <c r="E2977" t="str">
        <f>HYPERLINK("J:\Depot - mpkCCD Fractions\Main Web Page\Web Pages_old\proteomic_fractions_linear_files/Yang_linear_img/94374770.jpg","show blot")</f>
        <v>show blot</v>
      </c>
      <c r="G2977" t="s">
        <v>2875</v>
      </c>
      <c r="I2977" s="6">
        <v>5.1410257494366105</v>
      </c>
      <c r="K2977" s="8"/>
    </row>
    <row r="2978" spans="1:11" ht="15" x14ac:dyDescent="0.25">
      <c r="A2978" s="3" t="str">
        <f>HYPERLINK("proteomic_fractions_linear_files/Yang_linear_img/94388464.jpg", "94388464")</f>
        <v>94388464</v>
      </c>
      <c r="C2978" s="3" t="str">
        <f>HYPERLINK("http://www.ncbi.nlm.nih.gov/protein/94388464","Gm8112")</f>
        <v>Gm8112</v>
      </c>
      <c r="E2978" t="str">
        <f>HYPERLINK("J:\Depot - mpkCCD Fractions\Main Web Page\Web Pages_old\proteomic_fractions_linear_files/Yang_linear_img/94388464.jpg","show blot")</f>
        <v>show blot</v>
      </c>
      <c r="G2978" t="s">
        <v>2794</v>
      </c>
      <c r="I2978" s="6">
        <v>6.9618747113573853</v>
      </c>
      <c r="K2978" s="8"/>
    </row>
    <row r="2979" spans="1:11" ht="15" x14ac:dyDescent="0.25">
      <c r="A2979" s="3" t="str">
        <f>HYPERLINK("proteomic_fractions_linear_files/Yang_linear_img/94388474.jpg", "94388474")</f>
        <v>94388474</v>
      </c>
      <c r="C2979" s="3" t="str">
        <f>HYPERLINK("http://www.ncbi.nlm.nih.gov/protein/94388474","Gm8137")</f>
        <v>Gm8137</v>
      </c>
      <c r="E2979" t="str">
        <f>HYPERLINK("J:\Depot - mpkCCD Fractions\Main Web Page\Web Pages_old\proteomic_fractions_linear_files/Yang_linear_img/94388474.jpg","show blot")</f>
        <v>show blot</v>
      </c>
      <c r="G2979" t="s">
        <v>2794</v>
      </c>
      <c r="I2979" s="6">
        <v>6.9613954458173257</v>
      </c>
      <c r="K2979" s="8"/>
    </row>
    <row r="2980" spans="1:11" ht="15" x14ac:dyDescent="0.25">
      <c r="A2980" s="3" t="str">
        <f>HYPERLINK("proteomic_fractions_linear_files/Yang_linear_img/94363330.jpg", "94363330")</f>
        <v>94363330</v>
      </c>
      <c r="C2980" s="3" t="str">
        <f>HYPERLINK("http://www.ncbi.nlm.nih.gov/protein/94363330","Gm8210")</f>
        <v>Gm8210</v>
      </c>
      <c r="E2980" t="str">
        <f>HYPERLINK("J:\Depot - mpkCCD Fractions\Main Web Page\Web Pages_old\proteomic_fractions_linear_files/Yang_linear_img/94363330.jpg","show blot")</f>
        <v>show blot</v>
      </c>
      <c r="G2980" t="s">
        <v>2727</v>
      </c>
      <c r="I2980" s="6">
        <v>6.1833819262454011</v>
      </c>
      <c r="K2980" s="8"/>
    </row>
    <row r="2981" spans="1:11" ht="15" x14ac:dyDescent="0.25">
      <c r="A2981" s="3" t="str">
        <f>HYPERLINK("proteomic_fractions_linear_files/Yang_linear_img/309265674.jpg", "309265674")</f>
        <v>309265674</v>
      </c>
      <c r="C2981" s="3" t="str">
        <f>HYPERLINK("http://www.ncbi.nlm.nih.gov/protein/309265674","Gm8213")</f>
        <v>Gm8213</v>
      </c>
      <c r="E2981" t="str">
        <f>HYPERLINK("J:\Depot - mpkCCD Fractions\Main Web Page\Web Pages_old\proteomic_fractions_linear_files/Yang_linear_img/309265674.jpg","show blot")</f>
        <v>show blot</v>
      </c>
      <c r="G2981" t="s">
        <v>2745</v>
      </c>
      <c r="I2981" s="6">
        <v>6.3836673659138068</v>
      </c>
      <c r="K2981" s="8"/>
    </row>
    <row r="2982" spans="1:11" ht="15" x14ac:dyDescent="0.25">
      <c r="A2982" s="3" t="str">
        <f>HYPERLINK("proteomic_fractions_linear_files/Yang_linear_img/94388507.jpg", "94388507")</f>
        <v>94388507</v>
      </c>
      <c r="C2982" s="3" t="str">
        <f>HYPERLINK("http://www.ncbi.nlm.nih.gov/protein/94388507","Gm8290")</f>
        <v>Gm8290</v>
      </c>
      <c r="E2982" t="str">
        <f>HYPERLINK("J:\Depot - mpkCCD Fractions\Main Web Page\Web Pages_old\proteomic_fractions_linear_files/Yang_linear_img/94388507.jpg","show blot")</f>
        <v>show blot</v>
      </c>
      <c r="G2982" t="s">
        <v>2794</v>
      </c>
      <c r="I2982" s="6">
        <v>6.9777138406899155</v>
      </c>
      <c r="K2982" s="8"/>
    </row>
    <row r="2983" spans="1:11" ht="15" x14ac:dyDescent="0.25">
      <c r="A2983" s="3" t="str">
        <f>HYPERLINK("proteomic_fractions_linear_files/Yang_linear_img/309265697.jpg", "309265697")</f>
        <v>309265697</v>
      </c>
      <c r="C2983" s="3" t="str">
        <f>HYPERLINK("http://www.ncbi.nlm.nih.gov/protein/309265697","Gm8430")</f>
        <v>Gm8430</v>
      </c>
      <c r="E2983" t="str">
        <f>HYPERLINK("J:\Depot - mpkCCD Fractions\Main Web Page\Web Pages_old\proteomic_fractions_linear_files/Yang_linear_img/309265697.jpg","show blot")</f>
        <v>show blot</v>
      </c>
      <c r="G2983" t="s">
        <v>2876</v>
      </c>
      <c r="I2983" s="6">
        <v>7.3575321538999026</v>
      </c>
      <c r="K2983" s="8"/>
    </row>
    <row r="2984" spans="1:11" ht="15" x14ac:dyDescent="0.25">
      <c r="A2984" s="3" t="str">
        <f>HYPERLINK("proteomic_fractions_linear_files/Yang_linear_img/94378076.jpg", "94378076")</f>
        <v>94378076</v>
      </c>
      <c r="C2984" s="3" t="str">
        <f>HYPERLINK("http://www.ncbi.nlm.nih.gov/protein/94378076","Gm8430")</f>
        <v>Gm8430</v>
      </c>
      <c r="E2984" t="str">
        <f>HYPERLINK("J:\Depot - mpkCCD Fractions\Main Web Page\Web Pages_old\proteomic_fractions_linear_files/Yang_linear_img/94378076.jpg","show blot")</f>
        <v>show blot</v>
      </c>
      <c r="G2984" t="s">
        <v>2876</v>
      </c>
      <c r="I2984" s="6">
        <v>7.3575321538999026</v>
      </c>
      <c r="K2984" s="8"/>
    </row>
    <row r="2985" spans="1:11" ht="15" x14ac:dyDescent="0.25">
      <c r="A2985" s="3" t="str">
        <f>HYPERLINK("proteomic_fractions_linear_files/Yang_linear_img/377833325.jpg", "377833325")</f>
        <v>377833325</v>
      </c>
      <c r="C2985" s="3" t="str">
        <f>HYPERLINK("http://www.ncbi.nlm.nih.gov/protein/377833325","Gm8526")</f>
        <v>Gm8526</v>
      </c>
      <c r="E2985" t="str">
        <f>HYPERLINK("J:\Depot - mpkCCD Fractions\Main Web Page\Web Pages_old\proteomic_fractions_linear_files/Yang_linear_img/377833325.jpg","show blot")</f>
        <v>show blot</v>
      </c>
      <c r="G2985" t="s">
        <v>2714</v>
      </c>
      <c r="I2985" s="6">
        <v>5.8298563454003549</v>
      </c>
      <c r="K2985" s="8"/>
    </row>
    <row r="2986" spans="1:11" ht="15" x14ac:dyDescent="0.25">
      <c r="A2986" s="3" t="str">
        <f>HYPERLINK("proteomic_fractions_linear_files/Yang_linear_img/309265232.jpg", "309265232")</f>
        <v>309265232</v>
      </c>
      <c r="C2986" s="3" t="str">
        <f>HYPERLINK("http://www.ncbi.nlm.nih.gov/protein/309265232","Gm8539")</f>
        <v>Gm8539</v>
      </c>
      <c r="E2986" t="str">
        <f>HYPERLINK("J:\Depot - mpkCCD Fractions\Main Web Page\Web Pages_old\proteomic_fractions_linear_files/Yang_linear_img/309265232.jpg","show blot")</f>
        <v>show blot</v>
      </c>
      <c r="G2986" t="s">
        <v>2877</v>
      </c>
      <c r="I2986" s="6">
        <v>4.022336528090146</v>
      </c>
      <c r="K2986" s="8"/>
    </row>
    <row r="2987" spans="1:11" ht="15" x14ac:dyDescent="0.25">
      <c r="A2987" s="3" t="str">
        <f>HYPERLINK("proteomic_fractions_linear_files/Yang_linear_img/309265997.jpg", "309265997")</f>
        <v>309265997</v>
      </c>
      <c r="C2987" s="3" t="str">
        <f>HYPERLINK("http://www.ncbi.nlm.nih.gov/protein/309265997","Gm8556")</f>
        <v>Gm8556</v>
      </c>
      <c r="E2987" t="str">
        <f>HYPERLINK("J:\Depot - mpkCCD Fractions\Main Web Page\Web Pages_old\proteomic_fractions_linear_files/Yang_linear_img/309265997.jpg","show blot")</f>
        <v>show blot</v>
      </c>
      <c r="G2987" t="s">
        <v>2878</v>
      </c>
      <c r="I2987" s="6">
        <v>6.3848720872052649</v>
      </c>
      <c r="K2987" s="8"/>
    </row>
    <row r="2988" spans="1:11" ht="15" x14ac:dyDescent="0.25">
      <c r="A2988" s="3" t="str">
        <f>HYPERLINK("proteomic_fractions_linear_files/Yang_linear_img/407263446.jpg", "407263446")</f>
        <v>407263446</v>
      </c>
      <c r="C2988" s="3" t="str">
        <f>HYPERLINK("http://www.ncbi.nlm.nih.gov/protein/407263446","Gm8556")</f>
        <v>Gm8556</v>
      </c>
      <c r="E2988" t="str">
        <f>HYPERLINK("J:\Depot - mpkCCD Fractions\Main Web Page\Web Pages_old\proteomic_fractions_linear_files/Yang_linear_img/407263446.jpg","show blot")</f>
        <v>show blot</v>
      </c>
      <c r="G2988" t="s">
        <v>2878</v>
      </c>
      <c r="I2988" s="6">
        <v>6.3848720872052649</v>
      </c>
      <c r="K2988" s="8"/>
    </row>
    <row r="2989" spans="1:11" ht="15" x14ac:dyDescent="0.25">
      <c r="A2989" s="3" t="str">
        <f>HYPERLINK("proteomic_fractions_linear_files/Yang_linear_img/149263421.jpg", "149263421")</f>
        <v>149263421</v>
      </c>
      <c r="C2989" s="3" t="str">
        <f>HYPERLINK("http://www.ncbi.nlm.nih.gov/protein/149263421","Gm8587")</f>
        <v>Gm8587</v>
      </c>
      <c r="E2989" t="str">
        <f>HYPERLINK("J:\Depot - mpkCCD Fractions\Main Web Page\Web Pages_old\proteomic_fractions_linear_files/Yang_linear_img/149263421.jpg","show blot")</f>
        <v>show blot</v>
      </c>
      <c r="G2989" t="s">
        <v>2879</v>
      </c>
      <c r="I2989" s="6">
        <v>3.7917068385696551</v>
      </c>
      <c r="K2989" s="8"/>
    </row>
    <row r="2990" spans="1:11" ht="15" x14ac:dyDescent="0.25">
      <c r="A2990" s="3" t="str">
        <f>HYPERLINK("proteomic_fractions_linear_files/Yang_linear_img/149240882.jpg", "149240882")</f>
        <v>149240882</v>
      </c>
      <c r="C2990" s="3" t="str">
        <f>HYPERLINK("http://www.ncbi.nlm.nih.gov/protein/149240882","Gm8618")</f>
        <v>Gm8618</v>
      </c>
      <c r="E2990" t="str">
        <f>HYPERLINK("J:\Depot - mpkCCD Fractions\Main Web Page\Web Pages_old\proteomic_fractions_linear_files/Yang_linear_img/149240882.jpg","show blot")</f>
        <v>show blot</v>
      </c>
      <c r="G2990" t="s">
        <v>2880</v>
      </c>
      <c r="I2990" s="6">
        <v>6.1793681200761972</v>
      </c>
      <c r="K2990" s="8"/>
    </row>
    <row r="2991" spans="1:11" ht="15" x14ac:dyDescent="0.25">
      <c r="A2991" s="3" t="str">
        <f>HYPERLINK("proteomic_fractions_linear_files/Yang_linear_img/309266362.jpg", "309266362")</f>
        <v>309266362</v>
      </c>
      <c r="C2991" s="3" t="str">
        <f>HYPERLINK("http://www.ncbi.nlm.nih.gov/protein/309266362","Gm8841")</f>
        <v>Gm8841</v>
      </c>
      <c r="E2991" t="str">
        <f>HYPERLINK("J:\Depot - mpkCCD Fractions\Main Web Page\Web Pages_old\proteomic_fractions_linear_files/Yang_linear_img/309266362.jpg","show blot")</f>
        <v>show blot</v>
      </c>
      <c r="G2991" t="s">
        <v>2843</v>
      </c>
      <c r="I2991" s="6">
        <v>6.8488189859743001</v>
      </c>
      <c r="K2991" s="8"/>
    </row>
    <row r="2992" spans="1:11" ht="15" x14ac:dyDescent="0.25">
      <c r="A2992" s="3" t="str">
        <f>HYPERLINK("proteomic_fractions_linear_files/Yang_linear_img/94383782.jpg", "94383782")</f>
        <v>94383782</v>
      </c>
      <c r="C2992" s="3" t="str">
        <f>HYPERLINK("http://www.ncbi.nlm.nih.gov/protein/94383782","Gm8841")</f>
        <v>Gm8841</v>
      </c>
      <c r="E2992" t="str">
        <f>HYPERLINK("J:\Depot - mpkCCD Fractions\Main Web Page\Web Pages_old\proteomic_fractions_linear_files/Yang_linear_img/94383782.jpg","show blot")</f>
        <v>show blot</v>
      </c>
      <c r="G2992" t="s">
        <v>2843</v>
      </c>
      <c r="I2992" s="6">
        <v>6.8488189859743001</v>
      </c>
      <c r="K2992" s="8"/>
    </row>
    <row r="2993" spans="1:11" ht="15" x14ac:dyDescent="0.25">
      <c r="A2993" s="3" t="str">
        <f>HYPERLINK("proteomic_fractions_linear_files/Yang_linear_img/94384306.jpg", "94384306")</f>
        <v>94384306</v>
      </c>
      <c r="C2993" s="3" t="str">
        <f>HYPERLINK("http://www.ncbi.nlm.nih.gov/protein/94384306","Gm8842")</f>
        <v>Gm8842</v>
      </c>
      <c r="E2993" t="str">
        <f>HYPERLINK("J:\Depot - mpkCCD Fractions\Main Web Page\Web Pages_old\proteomic_fractions_linear_files/Yang_linear_img/94384306.jpg","show blot")</f>
        <v>show blot</v>
      </c>
      <c r="G2993" t="s">
        <v>2881</v>
      </c>
      <c r="I2993" s="6">
        <v>6.753664311783969</v>
      </c>
      <c r="K2993" s="8"/>
    </row>
    <row r="2994" spans="1:11" ht="15" x14ac:dyDescent="0.25">
      <c r="A2994" s="3" t="str">
        <f>HYPERLINK("proteomic_fractions_linear_files/Yang_linear_img/309270419.jpg", "309270419")</f>
        <v>309270419</v>
      </c>
      <c r="C2994" s="3" t="str">
        <f>HYPERLINK("http://www.ncbi.nlm.nih.gov/protein/309270419","Gm8894")</f>
        <v>Gm8894</v>
      </c>
      <c r="E2994" t="str">
        <f>HYPERLINK("J:\Depot - mpkCCD Fractions\Main Web Page\Web Pages_old\proteomic_fractions_linear_files/Yang_linear_img/309270419.jpg","show blot")</f>
        <v>show blot</v>
      </c>
      <c r="G2994" t="s">
        <v>2882</v>
      </c>
      <c r="I2994" s="6">
        <v>6.7329194861680861</v>
      </c>
      <c r="K2994" s="8"/>
    </row>
    <row r="2995" spans="1:11" ht="15" x14ac:dyDescent="0.25">
      <c r="A2995" s="3" t="str">
        <f>HYPERLINK("proteomic_fractions_linear_files/Yang_linear_img/377833377.jpg", "377833377")</f>
        <v>377833377</v>
      </c>
      <c r="C2995" s="3" t="str">
        <f>HYPERLINK("http://www.ncbi.nlm.nih.gov/protein/377833377","Gm8894")</f>
        <v>Gm8894</v>
      </c>
      <c r="E2995" t="str">
        <f>HYPERLINK("J:\Depot - mpkCCD Fractions\Main Web Page\Web Pages_old\proteomic_fractions_linear_files/Yang_linear_img/377833377.jpg","show blot")</f>
        <v>show blot</v>
      </c>
      <c r="G2995" t="s">
        <v>2883</v>
      </c>
      <c r="I2995" s="6">
        <v>6.7329194861680861</v>
      </c>
      <c r="K2995" s="8"/>
    </row>
    <row r="2996" spans="1:11" ht="15" x14ac:dyDescent="0.25">
      <c r="A2996" s="3" t="str">
        <f>HYPERLINK("proteomic_fractions_linear_files/Yang_linear_img/326320033.jpg", "326320033")</f>
        <v>326320033</v>
      </c>
      <c r="C2996" s="3" t="str">
        <f>HYPERLINK("http://www.ncbi.nlm.nih.gov/protein/326320033","Gm8909")</f>
        <v>Gm8909</v>
      </c>
      <c r="E2996" t="str">
        <f>HYPERLINK("J:\Depot - mpkCCD Fractions\Main Web Page\Web Pages_old\proteomic_fractions_linear_files/Yang_linear_img/326320033.jpg","show blot")</f>
        <v>show blot</v>
      </c>
      <c r="G2996" t="s">
        <v>2884</v>
      </c>
      <c r="I2996" s="6">
        <v>3.091621871223269</v>
      </c>
      <c r="K2996" s="8"/>
    </row>
    <row r="2997" spans="1:11" ht="15" x14ac:dyDescent="0.25">
      <c r="A2997" s="3" t="str">
        <f>HYPERLINK("proteomic_fractions_linear_files/Yang_linear_img/218505708.jpg", "218505708")</f>
        <v>218505708</v>
      </c>
      <c r="C2997" s="3" t="str">
        <f>HYPERLINK("http://www.ncbi.nlm.nih.gov/protein/218505708","Gm8994")</f>
        <v>Gm8994</v>
      </c>
      <c r="E2997" t="str">
        <f>HYPERLINK("J:\Depot - mpkCCD Fractions\Main Web Page\Web Pages_old\proteomic_fractions_linear_files/Yang_linear_img/218505708.jpg","show blot")</f>
        <v>show blot</v>
      </c>
      <c r="G2997" t="s">
        <v>2885</v>
      </c>
      <c r="I2997" s="6">
        <v>6.2510009264164301</v>
      </c>
      <c r="K2997" s="8"/>
    </row>
    <row r="2998" spans="1:11" ht="15" x14ac:dyDescent="0.25">
      <c r="A2998" s="3" t="str">
        <f>HYPERLINK("proteomic_fractions_linear_files/Yang_linear_img/94392404.jpg", "94392404")</f>
        <v>94392404</v>
      </c>
      <c r="C2998" s="3" t="str">
        <f>HYPERLINK("http://www.ncbi.nlm.nih.gov/protein/94392404","Gm9178")</f>
        <v>Gm9178</v>
      </c>
      <c r="E2998" t="str">
        <f>HYPERLINK("J:\Depot - mpkCCD Fractions\Main Web Page\Web Pages_old\proteomic_fractions_linear_files/Yang_linear_img/94392404.jpg","show blot")</f>
        <v>show blot</v>
      </c>
      <c r="G2998" t="s">
        <v>2886</v>
      </c>
      <c r="I2998" s="6">
        <v>4.7828588588788215</v>
      </c>
      <c r="K2998" s="8"/>
    </row>
    <row r="2999" spans="1:11" ht="15" x14ac:dyDescent="0.25">
      <c r="A2999" s="3" t="str">
        <f>HYPERLINK("proteomic_fractions_linear_files/Yang_linear_img/407261558.jpg", "407261558")</f>
        <v>407261558</v>
      </c>
      <c r="C2999" s="3" t="str">
        <f>HYPERLINK("http://www.ncbi.nlm.nih.gov/protein/407261558","Gm9234")</f>
        <v>Gm9234</v>
      </c>
      <c r="E2999" t="str">
        <f>HYPERLINK("J:\Depot - mpkCCD Fractions\Main Web Page\Web Pages_old\proteomic_fractions_linear_files/Yang_linear_img/407261558.jpg","show blot")</f>
        <v>show blot</v>
      </c>
      <c r="G2999" t="s">
        <v>2887</v>
      </c>
      <c r="I2999" s="6">
        <v>7.3195967133226745</v>
      </c>
      <c r="K2999" s="8"/>
    </row>
    <row r="3000" spans="1:11" ht="15" x14ac:dyDescent="0.25">
      <c r="A3000" s="3" t="str">
        <f>HYPERLINK("proteomic_fractions_linear_files/Yang_linear_img/94370353.jpg", "94370353")</f>
        <v>94370353</v>
      </c>
      <c r="C3000" s="3" t="str">
        <f>HYPERLINK("http://www.ncbi.nlm.nih.gov/protein/94370353","Gm9372")</f>
        <v>Gm9372</v>
      </c>
      <c r="E3000" t="str">
        <f>HYPERLINK("J:\Depot - mpkCCD Fractions\Main Web Page\Web Pages_old\proteomic_fractions_linear_files/Yang_linear_img/94370353.jpg","show blot")</f>
        <v>show blot</v>
      </c>
      <c r="G3000" t="s">
        <v>2880</v>
      </c>
      <c r="I3000" s="6">
        <v>3.522275423479249</v>
      </c>
      <c r="K3000" s="8"/>
    </row>
    <row r="3001" spans="1:11" ht="15" x14ac:dyDescent="0.25">
      <c r="A3001" s="3" t="str">
        <f>HYPERLINK("proteomic_fractions_linear_files/Yang_linear_img/407263600.jpg", "407263600")</f>
        <v>407263600</v>
      </c>
      <c r="C3001" s="3" t="str">
        <f>HYPERLINK("http://www.ncbi.nlm.nih.gov/protein/407263600","Gm9385")</f>
        <v>Gm9385</v>
      </c>
      <c r="E3001" t="str">
        <f>HYPERLINK("J:\Depot - mpkCCD Fractions\Main Web Page\Web Pages_old\proteomic_fractions_linear_files/Yang_linear_img/407263600.jpg","show blot")</f>
        <v>show blot</v>
      </c>
      <c r="G3001" t="s">
        <v>2888</v>
      </c>
      <c r="I3001" s="6">
        <v>6.9586693384881917</v>
      </c>
      <c r="K3001" s="8"/>
    </row>
    <row r="3002" spans="1:11" ht="15" x14ac:dyDescent="0.25">
      <c r="A3002" s="3" t="str">
        <f>HYPERLINK("proteomic_fractions_linear_files/Yang_linear_img/94403170.jpg", "94403170")</f>
        <v>94403170</v>
      </c>
      <c r="C3002" s="3" t="str">
        <f>HYPERLINK("http://www.ncbi.nlm.nih.gov/protein/94403170","Gm9386")</f>
        <v>Gm9386</v>
      </c>
      <c r="E3002" t="str">
        <f>HYPERLINK("J:\Depot - mpkCCD Fractions\Main Web Page\Web Pages_old\proteomic_fractions_linear_files/Yang_linear_img/94403170.jpg","show blot")</f>
        <v>show blot</v>
      </c>
      <c r="G3002" t="s">
        <v>2723</v>
      </c>
      <c r="I3002" s="6">
        <v>5.7379710374460347</v>
      </c>
      <c r="K3002" s="8"/>
    </row>
    <row r="3003" spans="1:11" ht="15" x14ac:dyDescent="0.25">
      <c r="A3003" s="3" t="str">
        <f>HYPERLINK("proteomic_fractions_linear_files/Yang_linear_img/309266196.jpg", "309266196")</f>
        <v>309266196</v>
      </c>
      <c r="C3003" s="3" t="str">
        <f>HYPERLINK("http://www.ncbi.nlm.nih.gov/protein/309266196","Gm9457")</f>
        <v>Gm9457</v>
      </c>
      <c r="E3003" t="str">
        <f>HYPERLINK("J:\Depot - mpkCCD Fractions\Main Web Page\Web Pages_old\proteomic_fractions_linear_files/Yang_linear_img/309266196.jpg","show blot")</f>
        <v>show blot</v>
      </c>
      <c r="G3003" t="s">
        <v>2889</v>
      </c>
      <c r="I3003" s="6">
        <v>5.8155406280755688</v>
      </c>
      <c r="K3003" s="8"/>
    </row>
    <row r="3004" spans="1:11" ht="15" x14ac:dyDescent="0.25">
      <c r="A3004" s="3" t="str">
        <f>HYPERLINK("proteomic_fractions_linear_files/Yang_linear_img/377834619.jpg", "377834619")</f>
        <v>377834619</v>
      </c>
      <c r="C3004" s="3" t="str">
        <f>HYPERLINK("http://www.ncbi.nlm.nih.gov/protein/377834619","Gm9670")</f>
        <v>Gm9670</v>
      </c>
      <c r="E3004" t="str">
        <f>HYPERLINK("J:\Depot - mpkCCD Fractions\Main Web Page\Web Pages_old\proteomic_fractions_linear_files/Yang_linear_img/377834619.jpg","show blot")</f>
        <v>show blot</v>
      </c>
      <c r="G3004" t="s">
        <v>2890</v>
      </c>
      <c r="I3004" s="6">
        <v>6.5035283314473213</v>
      </c>
      <c r="K3004" s="8"/>
    </row>
    <row r="3005" spans="1:11" ht="15" x14ac:dyDescent="0.25">
      <c r="A3005" s="3" t="str">
        <f>HYPERLINK("proteomic_fractions_linear_files/Yang_linear_img/309268396.jpg", "309268396")</f>
        <v>309268396</v>
      </c>
      <c r="C3005" s="3" t="str">
        <f>HYPERLINK("http://www.ncbi.nlm.nih.gov/protein/309268396","Gm9835")</f>
        <v>Gm9835</v>
      </c>
      <c r="E3005" t="str">
        <f>HYPERLINK("J:\Depot - mpkCCD Fractions\Main Web Page\Web Pages_old\proteomic_fractions_linear_files/Yang_linear_img/309268396.jpg","show blot")</f>
        <v>show blot</v>
      </c>
      <c r="G3005" t="s">
        <v>2891</v>
      </c>
      <c r="I3005" s="6">
        <v>5.1643596439524426</v>
      </c>
      <c r="K3005" s="8"/>
    </row>
    <row r="3006" spans="1:11" ht="15" x14ac:dyDescent="0.25">
      <c r="A3006" s="3" t="str">
        <f>HYPERLINK("proteomic_fractions_linear_files/Yang_linear_img/309265531.jpg", "309265531")</f>
        <v>309265531</v>
      </c>
      <c r="C3006" s="3" t="str">
        <f>HYPERLINK("http://www.ncbi.nlm.nih.gov/protein/309265531","Gm9835")</f>
        <v>Gm9835</v>
      </c>
      <c r="E3006" t="str">
        <f>HYPERLINK("J:\Depot - mpkCCD Fractions\Main Web Page\Web Pages_old\proteomic_fractions_linear_files/Yang_linear_img/309265531.jpg","show blot")</f>
        <v>show blot</v>
      </c>
      <c r="G3006" t="s">
        <v>2891</v>
      </c>
      <c r="I3006" s="6">
        <v>5.1643596439524426</v>
      </c>
      <c r="K3006" s="8"/>
    </row>
    <row r="3007" spans="1:11" ht="15" x14ac:dyDescent="0.25">
      <c r="A3007" s="3" t="str">
        <f>HYPERLINK("proteomic_fractions_linear_files/Yang_linear_img/316659416.jpg", "316659416")</f>
        <v>316659416</v>
      </c>
      <c r="C3007" s="3" t="str">
        <f>HYPERLINK("http://www.ncbi.nlm.nih.gov/protein/316659416","Gm9839")</f>
        <v>Gm9839</v>
      </c>
      <c r="E3007" t="str">
        <f>HYPERLINK("J:\Depot - mpkCCD Fractions\Main Web Page\Web Pages_old\proteomic_fractions_linear_files/Yang_linear_img/316659416.jpg","show blot")</f>
        <v>show blot</v>
      </c>
      <c r="G3007" t="s">
        <v>2892</v>
      </c>
      <c r="I3007" s="6">
        <v>2.0604231008335185</v>
      </c>
      <c r="K3007" s="8"/>
    </row>
    <row r="3008" spans="1:11" ht="15" x14ac:dyDescent="0.25">
      <c r="A3008" s="3" t="str">
        <f>HYPERLINK("proteomic_fractions_linear_files/Yang_linear_img/22122523.jpg", "22122523")</f>
        <v>22122523</v>
      </c>
      <c r="C3008" s="3" t="str">
        <f>HYPERLINK("http://www.ncbi.nlm.nih.gov/protein/22122523","Gmds")</f>
        <v>Gmds</v>
      </c>
      <c r="E3008" t="str">
        <f>HYPERLINK("J:\Depot - mpkCCD Fractions\Main Web Page\Web Pages_old\proteomic_fractions_linear_files/Yang_linear_img/22122523.jpg","show blot")</f>
        <v>show blot</v>
      </c>
      <c r="G3008" t="s">
        <v>2893</v>
      </c>
      <c r="I3008" s="6">
        <v>6.0814081387673484</v>
      </c>
      <c r="K3008" s="8"/>
    </row>
    <row r="3009" spans="1:11" ht="15" x14ac:dyDescent="0.25">
      <c r="A3009" s="3" t="str">
        <f>HYPERLINK("proteomic_fractions_linear_files/Yang_linear_img/188528613.jpg", "188528613")</f>
        <v>188528613</v>
      </c>
      <c r="C3009" s="3" t="str">
        <f>HYPERLINK("http://www.ncbi.nlm.nih.gov/protein/188528613","Gmfb")</f>
        <v>Gmfb</v>
      </c>
      <c r="E3009" t="str">
        <f>HYPERLINK("J:\Depot - mpkCCD Fractions\Main Web Page\Web Pages_old\proteomic_fractions_linear_files/Yang_linear_img/188528613.jpg","show blot")</f>
        <v>show blot</v>
      </c>
      <c r="G3009" t="s">
        <v>2894</v>
      </c>
      <c r="I3009" s="6">
        <v>5.2710375092612916</v>
      </c>
      <c r="K3009" s="8"/>
    </row>
    <row r="3010" spans="1:11" ht="15" x14ac:dyDescent="0.25">
      <c r="A3010" s="3" t="str">
        <f>HYPERLINK("proteomic_fractions_linear_files/Yang_linear_img/11993950.jpg", "11993950")</f>
        <v>11993950</v>
      </c>
      <c r="C3010" s="3" t="str">
        <f>HYPERLINK("http://www.ncbi.nlm.nih.gov/protein/11993950","Gmfg")</f>
        <v>Gmfg</v>
      </c>
      <c r="E3010" t="str">
        <f>HYPERLINK("J:\Depot - mpkCCD Fractions\Main Web Page\Web Pages_old\proteomic_fractions_linear_files/Yang_linear_img/11993950.jpg","show blot")</f>
        <v>show blot</v>
      </c>
      <c r="G3010" t="s">
        <v>2895</v>
      </c>
      <c r="I3010" s="6">
        <v>5.2126643235269974</v>
      </c>
      <c r="K3010" s="8"/>
    </row>
    <row r="3011" spans="1:11" ht="15" x14ac:dyDescent="0.25">
      <c r="A3011" s="3" t="str">
        <f>HYPERLINK("proteomic_fractions_linear_files/Yang_linear_img/37674214.jpg", "37674214")</f>
        <v>37674214</v>
      </c>
      <c r="C3011" s="3" t="str">
        <f>HYPERLINK("http://www.ncbi.nlm.nih.gov/protein/37674214","Gmip")</f>
        <v>Gmip</v>
      </c>
      <c r="E3011" t="str">
        <f>HYPERLINK("J:\Depot - mpkCCD Fractions\Main Web Page\Web Pages_old\proteomic_fractions_linear_files/Yang_linear_img/37674214.jpg","show blot")</f>
        <v>show blot</v>
      </c>
      <c r="G3011" t="s">
        <v>2896</v>
      </c>
      <c r="I3011" s="6">
        <v>1.7907340216306822</v>
      </c>
      <c r="K3011" s="8"/>
    </row>
    <row r="3012" spans="1:11" ht="15" x14ac:dyDescent="0.25">
      <c r="A3012" s="3" t="str">
        <f>HYPERLINK("proteomic_fractions_linear_files/Yang_linear_img/19526884.jpg", "19526884")</f>
        <v>19526884</v>
      </c>
      <c r="C3012" s="3" t="str">
        <f>HYPERLINK("http://www.ncbi.nlm.nih.gov/protein/19526884","Gmppa")</f>
        <v>Gmppa</v>
      </c>
      <c r="E3012" t="str">
        <f>HYPERLINK("J:\Depot - mpkCCD Fractions\Main Web Page\Web Pages_old\proteomic_fractions_linear_files/Yang_linear_img/19526884.jpg","show blot")</f>
        <v>show blot</v>
      </c>
      <c r="G3012" t="s">
        <v>2897</v>
      </c>
      <c r="I3012" s="6">
        <v>4.9908682704192016</v>
      </c>
      <c r="K3012" s="8"/>
    </row>
    <row r="3013" spans="1:11" ht="15" x14ac:dyDescent="0.25">
      <c r="A3013" s="3" t="str">
        <f>HYPERLINK("proteomic_fractions_linear_files/Yang_linear_img/29244556.jpg", "29244556")</f>
        <v>29244556</v>
      </c>
      <c r="C3013" s="3" t="str">
        <f>HYPERLINK("http://www.ncbi.nlm.nih.gov/protein/29244556","Gmppb")</f>
        <v>Gmppb</v>
      </c>
      <c r="E3013" t="str">
        <f>HYPERLINK("J:\Depot - mpkCCD Fractions\Main Web Page\Web Pages_old\proteomic_fractions_linear_files/Yang_linear_img/29244556.jpg","show blot")</f>
        <v>show blot</v>
      </c>
      <c r="G3013" t="s">
        <v>2898</v>
      </c>
      <c r="I3013" s="6">
        <v>5.4802570130251747</v>
      </c>
      <c r="K3013" s="8"/>
    </row>
    <row r="3014" spans="1:11" ht="15" x14ac:dyDescent="0.25">
      <c r="A3014" s="3" t="str">
        <f>HYPERLINK("proteomic_fractions_linear_files/Yang_linear_img/17975500.jpg", "17975500")</f>
        <v>17975500</v>
      </c>
      <c r="C3014" s="3" t="str">
        <f>HYPERLINK("http://www.ncbi.nlm.nih.gov/protein/17975500","Gmpr")</f>
        <v>Gmpr</v>
      </c>
      <c r="E3014" t="str">
        <f>HYPERLINK("J:\Depot - mpkCCD Fractions\Main Web Page\Web Pages_old\proteomic_fractions_linear_files/Yang_linear_img/17975500.jpg","show blot")</f>
        <v>show blot</v>
      </c>
      <c r="G3014" t="s">
        <v>2899</v>
      </c>
      <c r="I3014" s="6">
        <v>4.4711932971946826</v>
      </c>
      <c r="K3014" s="8"/>
    </row>
    <row r="3015" spans="1:11" ht="15" x14ac:dyDescent="0.25">
      <c r="A3015" s="3" t="str">
        <f>HYPERLINK("proteomic_fractions_linear_files/Yang_linear_img/29568082.jpg", "29568082")</f>
        <v>29568082</v>
      </c>
      <c r="C3015" s="3" t="str">
        <f>HYPERLINK("http://www.ncbi.nlm.nih.gov/protein/29568082","Gmpr2")</f>
        <v>Gmpr2</v>
      </c>
      <c r="E3015" t="str">
        <f>HYPERLINK("J:\Depot - mpkCCD Fractions\Main Web Page\Web Pages_old\proteomic_fractions_linear_files/Yang_linear_img/29568082.jpg","show blot")</f>
        <v>show blot</v>
      </c>
      <c r="G3015" t="s">
        <v>2900</v>
      </c>
      <c r="I3015" s="6">
        <v>5.2845204823158412</v>
      </c>
      <c r="K3015" s="8"/>
    </row>
    <row r="3016" spans="1:11" ht="15" x14ac:dyDescent="0.25">
      <c r="A3016" s="3" t="str">
        <f>HYPERLINK("proteomic_fractions_linear_files/Yang_linear_img/85861218.jpg", "85861218")</f>
        <v>85861218</v>
      </c>
      <c r="C3016" s="3" t="str">
        <f>HYPERLINK("http://www.ncbi.nlm.nih.gov/protein/85861218","Gmps")</f>
        <v>Gmps</v>
      </c>
      <c r="E3016" t="str">
        <f>HYPERLINK("J:\Depot - mpkCCD Fractions\Main Web Page\Web Pages_old\proteomic_fractions_linear_files/Yang_linear_img/85861218.jpg","show blot")</f>
        <v>show blot</v>
      </c>
      <c r="G3016" t="s">
        <v>2901</v>
      </c>
      <c r="I3016" s="6">
        <v>5.6610396680230863</v>
      </c>
      <c r="K3016" s="8"/>
    </row>
    <row r="3017" spans="1:11" ht="15" x14ac:dyDescent="0.25">
      <c r="A3017" s="3" t="str">
        <f>HYPERLINK("proteomic_fractions_linear_files/Yang_linear_img/6754004.jpg", "6754004")</f>
        <v>6754004</v>
      </c>
      <c r="C3017" s="3" t="str">
        <f>HYPERLINK("http://www.ncbi.nlm.nih.gov/protein/6754004","Gna11")</f>
        <v>Gna11</v>
      </c>
      <c r="E3017" t="str">
        <f>HYPERLINK("J:\Depot - mpkCCD Fractions\Main Web Page\Web Pages_old\proteomic_fractions_linear_files/Yang_linear_img/6754004.jpg","show blot")</f>
        <v>show blot</v>
      </c>
      <c r="G3017" t="s">
        <v>2902</v>
      </c>
      <c r="I3017" s="6">
        <v>5.4723778786829049</v>
      </c>
      <c r="K3017" s="8"/>
    </row>
    <row r="3018" spans="1:11" ht="15" x14ac:dyDescent="0.25">
      <c r="A3018" s="3" t="str">
        <f>HYPERLINK("proteomic_fractions_linear_files/Yang_linear_img/6754006.jpg", "6754006")</f>
        <v>6754006</v>
      </c>
      <c r="C3018" s="3" t="str">
        <f>HYPERLINK("http://www.ncbi.nlm.nih.gov/protein/6754006","Gna12")</f>
        <v>Gna12</v>
      </c>
      <c r="E3018" t="str">
        <f>HYPERLINK("J:\Depot - mpkCCD Fractions\Main Web Page\Web Pages_old\proteomic_fractions_linear_files/Yang_linear_img/6754006.jpg","show blot")</f>
        <v>show blot</v>
      </c>
      <c r="G3018" t="s">
        <v>2903</v>
      </c>
      <c r="I3018" s="6">
        <v>5.613948817804201</v>
      </c>
      <c r="K3018" s="8"/>
    </row>
    <row r="3019" spans="1:11" ht="15" x14ac:dyDescent="0.25">
      <c r="A3019" s="3" t="str">
        <f>HYPERLINK("proteomic_fractions_linear_files/Yang_linear_img/89001109.jpg", "89001109")</f>
        <v>89001109</v>
      </c>
      <c r="C3019" s="3" t="str">
        <f>HYPERLINK("http://www.ncbi.nlm.nih.gov/protein/89001109","Gna13")</f>
        <v>Gna13</v>
      </c>
      <c r="E3019" t="str">
        <f>HYPERLINK("J:\Depot - mpkCCD Fractions\Main Web Page\Web Pages_old\proteomic_fractions_linear_files/Yang_linear_img/89001109.jpg","show blot")</f>
        <v>show blot</v>
      </c>
      <c r="G3019" t="s">
        <v>2904</v>
      </c>
      <c r="I3019" s="6">
        <v>5.6597282098473949</v>
      </c>
      <c r="K3019" s="8"/>
    </row>
    <row r="3020" spans="1:11" ht="15" x14ac:dyDescent="0.25">
      <c r="A3020" s="3" t="str">
        <f>HYPERLINK("proteomic_fractions_linear_files/Yang_linear_img/160298199.jpg", "160298199")</f>
        <v>160298199</v>
      </c>
      <c r="C3020" s="3" t="str">
        <f>HYPERLINK("http://www.ncbi.nlm.nih.gov/protein/160298199","Gna14")</f>
        <v>Gna14</v>
      </c>
      <c r="E3020" t="str">
        <f>HYPERLINK("J:\Depot - mpkCCD Fractions\Main Web Page\Web Pages_old\proteomic_fractions_linear_files/Yang_linear_img/160298199.jpg","show blot")</f>
        <v>show blot</v>
      </c>
      <c r="G3020" t="s">
        <v>2905</v>
      </c>
      <c r="I3020" s="6">
        <v>4.701029178870419</v>
      </c>
      <c r="K3020" s="8"/>
    </row>
    <row r="3021" spans="1:11" ht="15" x14ac:dyDescent="0.25">
      <c r="A3021" s="3" t="str">
        <f>HYPERLINK("proteomic_fractions_linear_files/Yang_linear_img/74271899.jpg", "74271899")</f>
        <v>74271899</v>
      </c>
      <c r="C3021" s="3" t="str">
        <f>HYPERLINK("http://www.ncbi.nlm.nih.gov/protein/74271899","Gnai1")</f>
        <v>Gnai1</v>
      </c>
      <c r="E3021" t="str">
        <f>HYPERLINK("J:\Depot - mpkCCD Fractions\Main Web Page\Web Pages_old\proteomic_fractions_linear_files/Yang_linear_img/74271899.jpg","show blot")</f>
        <v>show blot</v>
      </c>
      <c r="G3021" t="s">
        <v>2906</v>
      </c>
      <c r="I3021" s="6">
        <v>6.065716262142864</v>
      </c>
      <c r="K3021" s="8"/>
    </row>
    <row r="3022" spans="1:11" ht="15" x14ac:dyDescent="0.25">
      <c r="A3022" s="3" t="str">
        <f>HYPERLINK("proteomic_fractions_linear_files/Yang_linear_img/41054806.jpg", "41054806")</f>
        <v>41054806</v>
      </c>
      <c r="C3022" s="3" t="str">
        <f>HYPERLINK("http://www.ncbi.nlm.nih.gov/protein/41054806","Gnai2")</f>
        <v>Gnai2</v>
      </c>
      <c r="E3022" t="str">
        <f>HYPERLINK("J:\Depot - mpkCCD Fractions\Main Web Page\Web Pages_old\proteomic_fractions_linear_files/Yang_linear_img/41054806.jpg","show blot")</f>
        <v>show blot</v>
      </c>
      <c r="G3022" t="s">
        <v>2907</v>
      </c>
      <c r="I3022" s="6">
        <v>6.3985374155629708</v>
      </c>
      <c r="K3022" s="8"/>
    </row>
    <row r="3023" spans="1:11" ht="15" x14ac:dyDescent="0.25">
      <c r="A3023" s="3" t="str">
        <f>HYPERLINK("proteomic_fractions_linear_files/Yang_linear_img/33563256.jpg", "33563256")</f>
        <v>33563256</v>
      </c>
      <c r="C3023" s="3" t="str">
        <f>HYPERLINK("http://www.ncbi.nlm.nih.gov/protein/33563256","Gnai3")</f>
        <v>Gnai3</v>
      </c>
      <c r="E3023" t="str">
        <f>HYPERLINK("J:\Depot - mpkCCD Fractions\Main Web Page\Web Pages_old\proteomic_fractions_linear_files/Yang_linear_img/33563256.jpg","show blot")</f>
        <v>show blot</v>
      </c>
      <c r="G3023" t="s">
        <v>2908</v>
      </c>
      <c r="I3023" s="6">
        <v>6.2352295206458708</v>
      </c>
      <c r="K3023" s="8"/>
    </row>
    <row r="3024" spans="1:11" ht="15" x14ac:dyDescent="0.25">
      <c r="A3024" s="3" t="str">
        <f>HYPERLINK("proteomic_fractions_linear_files/Yang_linear_img/47271350.jpg", "47271350")</f>
        <v>47271350</v>
      </c>
      <c r="C3024" s="3" t="str">
        <f>HYPERLINK("http://www.ncbi.nlm.nih.gov/protein/47271350","Gnal")</f>
        <v>Gnal</v>
      </c>
      <c r="E3024" t="str">
        <f>HYPERLINK("J:\Depot - mpkCCD Fractions\Main Web Page\Web Pages_old\proteomic_fractions_linear_files/Yang_linear_img/47271350.jpg","show blot")</f>
        <v>show blot</v>
      </c>
      <c r="G3024" t="s">
        <v>2909</v>
      </c>
      <c r="I3024" s="6">
        <v>5.6526737790001729</v>
      </c>
      <c r="K3024" s="8"/>
    </row>
    <row r="3025" spans="1:11" ht="15" x14ac:dyDescent="0.25">
      <c r="A3025" s="3" t="str">
        <f>HYPERLINK("proteomic_fractions_linear_files/Yang_linear_img/84000001.jpg", "84000001")</f>
        <v>84000001</v>
      </c>
      <c r="C3025" s="3" t="str">
        <f>HYPERLINK("http://www.ncbi.nlm.nih.gov/protein/84000001","Gnal")</f>
        <v>Gnal</v>
      </c>
      <c r="E3025" t="str">
        <f>HYPERLINK("J:\Depot - mpkCCD Fractions\Main Web Page\Web Pages_old\proteomic_fractions_linear_files/Yang_linear_img/84000001.jpg","show blot")</f>
        <v>show blot</v>
      </c>
      <c r="G3025" t="s">
        <v>2910</v>
      </c>
      <c r="I3025" s="6">
        <v>5.6526737790001729</v>
      </c>
      <c r="K3025" s="8"/>
    </row>
    <row r="3026" spans="1:11" ht="15" x14ac:dyDescent="0.25">
      <c r="A3026" s="3" t="str">
        <f>HYPERLINK("proteomic_fractions_linear_files/Yang_linear_img/164607137.jpg", "164607137")</f>
        <v>164607137</v>
      </c>
      <c r="C3026" s="3" t="str">
        <f>HYPERLINK("http://www.ncbi.nlm.nih.gov/protein/164607137","Gnao1")</f>
        <v>Gnao1</v>
      </c>
      <c r="E3026" t="str">
        <f>HYPERLINK("J:\Depot - mpkCCD Fractions\Main Web Page\Web Pages_old\proteomic_fractions_linear_files/Yang_linear_img/164607137.jpg","show blot")</f>
        <v>show blot</v>
      </c>
      <c r="G3026" t="s">
        <v>2911</v>
      </c>
      <c r="I3026" s="6">
        <v>5.9115049157000374</v>
      </c>
      <c r="K3026" s="8"/>
    </row>
    <row r="3027" spans="1:11" ht="15" x14ac:dyDescent="0.25">
      <c r="A3027" s="3" t="str">
        <f>HYPERLINK("proteomic_fractions_linear_files/Yang_linear_img/6754012.jpg", "6754012")</f>
        <v>6754012</v>
      </c>
      <c r="C3027" s="3" t="str">
        <f>HYPERLINK("http://www.ncbi.nlm.nih.gov/protein/6754012","Gnao1")</f>
        <v>Gnao1</v>
      </c>
      <c r="E3027" t="str">
        <f>HYPERLINK("J:\Depot - mpkCCD Fractions\Main Web Page\Web Pages_old\proteomic_fractions_linear_files/Yang_linear_img/6754012.jpg","show blot")</f>
        <v>show blot</v>
      </c>
      <c r="G3027" t="s">
        <v>2912</v>
      </c>
      <c r="I3027" s="6">
        <v>5.9115049157000374</v>
      </c>
      <c r="K3027" s="8"/>
    </row>
    <row r="3028" spans="1:11" ht="15" x14ac:dyDescent="0.25">
      <c r="A3028" s="3" t="str">
        <f>HYPERLINK("proteomic_fractions_linear_files/Yang_linear_img/84662745.jpg", "84662745")</f>
        <v>84662745</v>
      </c>
      <c r="C3028" s="3" t="str">
        <f>HYPERLINK("http://www.ncbi.nlm.nih.gov/protein/84662745","Gnaq")</f>
        <v>Gnaq</v>
      </c>
      <c r="E3028" t="str">
        <f>HYPERLINK("J:\Depot - mpkCCD Fractions\Main Web Page\Web Pages_old\proteomic_fractions_linear_files/Yang_linear_img/84662745.jpg","show blot")</f>
        <v>show blot</v>
      </c>
      <c r="G3028" t="s">
        <v>2913</v>
      </c>
      <c r="I3028" s="6">
        <v>5.2348402877785061</v>
      </c>
      <c r="K3028" s="8"/>
    </row>
    <row r="3029" spans="1:11" ht="15" x14ac:dyDescent="0.25">
      <c r="A3029" s="3" t="str">
        <f>HYPERLINK("proteomic_fractions_linear_files/Yang_linear_img/117959921.jpg", "117959921")</f>
        <v>117959921</v>
      </c>
      <c r="C3029" s="3" t="str">
        <f>HYPERLINK("http://www.ncbi.nlm.nih.gov/protein/117959921","Gnas")</f>
        <v>Gnas</v>
      </c>
      <c r="E3029" t="str">
        <f>HYPERLINK("J:\Depot - mpkCCD Fractions\Main Web Page\Web Pages_old\proteomic_fractions_linear_files/Yang_linear_img/117959921.jpg","show blot")</f>
        <v>show blot</v>
      </c>
      <c r="G3029" t="s">
        <v>2914</v>
      </c>
      <c r="I3029" s="6">
        <v>5.91515677284593</v>
      </c>
      <c r="K3029" s="8"/>
    </row>
    <row r="3030" spans="1:11" ht="15" x14ac:dyDescent="0.25">
      <c r="A3030" s="3" t="str">
        <f>HYPERLINK("proteomic_fractions_linear_files/Yang_linear_img/117959928.jpg", "117959928")</f>
        <v>117959928</v>
      </c>
      <c r="C3030" s="3" t="str">
        <f>HYPERLINK("http://www.ncbi.nlm.nih.gov/protein/117959928","Gnas")</f>
        <v>Gnas</v>
      </c>
      <c r="E3030" t="str">
        <f>HYPERLINK("J:\Depot - mpkCCD Fractions\Main Web Page\Web Pages_old\proteomic_fractions_linear_files/Yang_linear_img/117959928.jpg","show blot")</f>
        <v>show blot</v>
      </c>
      <c r="G3030" t="s">
        <v>2915</v>
      </c>
      <c r="I3030" s="6">
        <v>5.91515677284593</v>
      </c>
      <c r="K3030" s="8"/>
    </row>
    <row r="3031" spans="1:11" ht="15" x14ac:dyDescent="0.25">
      <c r="A3031" s="3" t="str">
        <f>HYPERLINK("proteomic_fractions_linear_files/Yang_linear_img/117959930.jpg", "117959930")</f>
        <v>117959930</v>
      </c>
      <c r="C3031" s="3" t="str">
        <f>HYPERLINK("http://www.ncbi.nlm.nih.gov/protein/117959930","Gnas")</f>
        <v>Gnas</v>
      </c>
      <c r="E3031" t="str">
        <f>HYPERLINK("J:\Depot - mpkCCD Fractions\Main Web Page\Web Pages_old\proteomic_fractions_linear_files/Yang_linear_img/117959930.jpg","show blot")</f>
        <v>show blot</v>
      </c>
      <c r="G3031" t="s">
        <v>2916</v>
      </c>
      <c r="I3031" s="6">
        <v>5.91515677284593</v>
      </c>
      <c r="K3031" s="8"/>
    </row>
    <row r="3032" spans="1:11" ht="15" x14ac:dyDescent="0.25">
      <c r="A3032" s="3" t="str">
        <f>HYPERLINK("proteomic_fractions_linear_files/Yang_linear_img/47271396.jpg", "47271396")</f>
        <v>47271396</v>
      </c>
      <c r="C3032" s="3" t="str">
        <f>HYPERLINK("http://www.ncbi.nlm.nih.gov/protein/47271396","Gnas")</f>
        <v>Gnas</v>
      </c>
      <c r="E3032" t="str">
        <f>HYPERLINK("J:\Depot - mpkCCD Fractions\Main Web Page\Web Pages_old\proteomic_fractions_linear_files/Yang_linear_img/47271396.jpg","show blot")</f>
        <v>show blot</v>
      </c>
      <c r="G3032" t="s">
        <v>2917</v>
      </c>
      <c r="I3032" s="6">
        <v>5.91515677284593</v>
      </c>
      <c r="K3032" s="8"/>
    </row>
    <row r="3033" spans="1:11" ht="15" x14ac:dyDescent="0.25">
      <c r="A3033" s="3" t="str">
        <f>HYPERLINK("proteomic_fractions_linear_files/Yang_linear_img/6680041.jpg", "6680041")</f>
        <v>6680041</v>
      </c>
      <c r="C3033" s="3" t="str">
        <f>HYPERLINK("http://www.ncbi.nlm.nih.gov/protein/6680041","Gnat1")</f>
        <v>Gnat1</v>
      </c>
      <c r="E3033" t="str">
        <f>HYPERLINK("J:\Depot - mpkCCD Fractions\Main Web Page\Web Pages_old\proteomic_fractions_linear_files/Yang_linear_img/6680041.jpg","show blot")</f>
        <v>show blot</v>
      </c>
      <c r="G3033" t="s">
        <v>2918</v>
      </c>
      <c r="I3033" s="6">
        <v>5.6853983488073903</v>
      </c>
      <c r="K3033" s="8"/>
    </row>
    <row r="3034" spans="1:11" ht="15" x14ac:dyDescent="0.25">
      <c r="A3034" s="3" t="str">
        <f>HYPERLINK("proteomic_fractions_linear_files/Yang_linear_img/6680043.jpg", "6680043")</f>
        <v>6680043</v>
      </c>
      <c r="C3034" s="3" t="str">
        <f>HYPERLINK("http://www.ncbi.nlm.nih.gov/protein/6680043","Gnat2")</f>
        <v>Gnat2</v>
      </c>
      <c r="E3034" t="str">
        <f>HYPERLINK("J:\Depot - mpkCCD Fractions\Main Web Page\Web Pages_old\proteomic_fractions_linear_files/Yang_linear_img/6680043.jpg","show blot")</f>
        <v>show blot</v>
      </c>
      <c r="G3034" t="s">
        <v>2919</v>
      </c>
      <c r="I3034" s="6">
        <v>5.6853983488073903</v>
      </c>
      <c r="K3034" s="8"/>
    </row>
    <row r="3035" spans="1:11" ht="15" x14ac:dyDescent="0.25">
      <c r="A3035" s="3" t="str">
        <f>HYPERLINK("proteomic_fractions_linear_files/Yang_linear_img/124487259.jpg", "124487259")</f>
        <v>124487259</v>
      </c>
      <c r="C3035" s="3" t="str">
        <f>HYPERLINK("http://www.ncbi.nlm.nih.gov/protein/124487259","Gnat3")</f>
        <v>Gnat3</v>
      </c>
      <c r="E3035" t="str">
        <f>HYPERLINK("J:\Depot - mpkCCD Fractions\Main Web Page\Web Pages_old\proteomic_fractions_linear_files/Yang_linear_img/124487259.jpg","show blot")</f>
        <v>show blot</v>
      </c>
      <c r="G3035" t="s">
        <v>2920</v>
      </c>
      <c r="I3035" s="6">
        <v>5.6853983488073903</v>
      </c>
      <c r="K3035" s="8"/>
    </row>
    <row r="3036" spans="1:11" ht="15" x14ac:dyDescent="0.25">
      <c r="A3036" s="3" t="str">
        <f>HYPERLINK("proteomic_fractions_linear_files/Yang_linear_img/27532946.jpg", "27532946")</f>
        <v>27532946</v>
      </c>
      <c r="C3036" s="3" t="str">
        <f>HYPERLINK("http://www.ncbi.nlm.nih.gov/protein/27532946","Gnaz")</f>
        <v>Gnaz</v>
      </c>
      <c r="E3036" t="str">
        <f>HYPERLINK("J:\Depot - mpkCCD Fractions\Main Web Page\Web Pages_old\proteomic_fractions_linear_files/Yang_linear_img/27532946.jpg","show blot")</f>
        <v>show blot</v>
      </c>
      <c r="G3036" t="s">
        <v>2921</v>
      </c>
      <c r="I3036" s="6">
        <v>3.9578011096269048</v>
      </c>
      <c r="K3036" s="8"/>
    </row>
    <row r="3037" spans="1:11" ht="15" x14ac:dyDescent="0.25">
      <c r="A3037" s="3" t="str">
        <f>HYPERLINK("proteomic_fractions_linear_files/Yang_linear_img/6680045.jpg", "6680045")</f>
        <v>6680045</v>
      </c>
      <c r="C3037" s="3" t="str">
        <f>HYPERLINK("http://www.ncbi.nlm.nih.gov/protein/6680045","Gnb1")</f>
        <v>Gnb1</v>
      </c>
      <c r="E3037" t="str">
        <f>HYPERLINK("J:\Depot - mpkCCD Fractions\Main Web Page\Web Pages_old\proteomic_fractions_linear_files/Yang_linear_img/6680045.jpg","show blot")</f>
        <v>show blot</v>
      </c>
      <c r="G3037" t="s">
        <v>2922</v>
      </c>
      <c r="I3037" s="6">
        <v>6.3432661685024945</v>
      </c>
      <c r="K3037" s="8"/>
    </row>
    <row r="3038" spans="1:11" ht="15" x14ac:dyDescent="0.25">
      <c r="A3038" s="3" t="str">
        <f>HYPERLINK("proteomic_fractions_linear_files/Yang_linear_img/13937391.jpg", "13937391")</f>
        <v>13937391</v>
      </c>
      <c r="C3038" s="3" t="str">
        <f>HYPERLINK("http://www.ncbi.nlm.nih.gov/protein/13937391","Gnb2")</f>
        <v>Gnb2</v>
      </c>
      <c r="E3038" t="str">
        <f>HYPERLINK("J:\Depot - mpkCCD Fractions\Main Web Page\Web Pages_old\proteomic_fractions_linear_files/Yang_linear_img/13937391.jpg","show blot")</f>
        <v>show blot</v>
      </c>
      <c r="G3038" t="s">
        <v>2923</v>
      </c>
      <c r="I3038" s="6">
        <v>6.3806230213912745</v>
      </c>
      <c r="K3038" s="8"/>
    </row>
    <row r="3039" spans="1:11" ht="15" x14ac:dyDescent="0.25">
      <c r="A3039" s="3" t="str">
        <f>HYPERLINK("proteomic_fractions_linear_files/Yang_linear_img/6680047.jpg", "6680047")</f>
        <v>6680047</v>
      </c>
      <c r="C3039" s="3" t="str">
        <f>HYPERLINK("http://www.ncbi.nlm.nih.gov/protein/6680047","Gnb2l1")</f>
        <v>Gnb2l1</v>
      </c>
      <c r="E3039" t="str">
        <f>HYPERLINK("J:\Depot - mpkCCD Fractions\Main Web Page\Web Pages_old\proteomic_fractions_linear_files/Yang_linear_img/6680047.jpg","show blot")</f>
        <v>show blot</v>
      </c>
      <c r="G3039" t="s">
        <v>2924</v>
      </c>
      <c r="I3039" s="6">
        <v>7.0402077879324727</v>
      </c>
      <c r="K3039" s="8"/>
    </row>
    <row r="3040" spans="1:11" ht="15" x14ac:dyDescent="0.25">
      <c r="A3040" s="3" t="str">
        <f>HYPERLINK("proteomic_fractions_linear_files/Yang_linear_img/20502976.jpg", "20502976")</f>
        <v>20502976</v>
      </c>
      <c r="C3040" s="3" t="str">
        <f>HYPERLINK("http://www.ncbi.nlm.nih.gov/protein/20502976","Gnb3")</f>
        <v>Gnb3</v>
      </c>
      <c r="E3040" t="str">
        <f>HYPERLINK("J:\Depot - mpkCCD Fractions\Main Web Page\Web Pages_old\proteomic_fractions_linear_files/Yang_linear_img/20502976.jpg","show blot")</f>
        <v>show blot</v>
      </c>
      <c r="G3040" t="s">
        <v>2925</v>
      </c>
      <c r="I3040" s="6">
        <v>5.8988041132100051</v>
      </c>
      <c r="K3040" s="8"/>
    </row>
    <row r="3041" spans="1:11" ht="15" x14ac:dyDescent="0.25">
      <c r="A3041" s="3" t="str">
        <f>HYPERLINK("proteomic_fractions_linear_files/Yang_linear_img/31542899.jpg", "31542899")</f>
        <v>31542899</v>
      </c>
      <c r="C3041" s="3" t="str">
        <f>HYPERLINK("http://www.ncbi.nlm.nih.gov/protein/31542899","Gnb4")</f>
        <v>Gnb4</v>
      </c>
      <c r="E3041" t="str">
        <f>HYPERLINK("J:\Depot - mpkCCD Fractions\Main Web Page\Web Pages_old\proteomic_fractions_linear_files/Yang_linear_img/31542899.jpg","show blot")</f>
        <v>show blot</v>
      </c>
      <c r="G3041" t="s">
        <v>2926</v>
      </c>
      <c r="I3041" s="6">
        <v>6.1680473180023636</v>
      </c>
      <c r="K3041" s="8"/>
    </row>
    <row r="3042" spans="1:11" ht="15" x14ac:dyDescent="0.25">
      <c r="A3042" s="3" t="str">
        <f>HYPERLINK("proteomic_fractions_linear_files/Yang_linear_img/13384616.jpg", "13384616")</f>
        <v>13384616</v>
      </c>
      <c r="C3042" s="3" t="str">
        <f>HYPERLINK("http://www.ncbi.nlm.nih.gov/protein/13384616","Gng10")</f>
        <v>Gng10</v>
      </c>
      <c r="E3042" t="str">
        <f>HYPERLINK("J:\Depot - mpkCCD Fractions\Main Web Page\Web Pages_old\proteomic_fractions_linear_files/Yang_linear_img/13384616.jpg","show blot")</f>
        <v>show blot</v>
      </c>
      <c r="G3042" t="s">
        <v>2927</v>
      </c>
      <c r="I3042" s="6">
        <v>3.6111920608684343</v>
      </c>
      <c r="K3042" s="8"/>
    </row>
    <row r="3043" spans="1:11" ht="15" x14ac:dyDescent="0.25">
      <c r="A3043" s="3" t="str">
        <f>HYPERLINK("proteomic_fractions_linear_files/Yang_linear_img/294774560.jpg", "294774560")</f>
        <v>294774560</v>
      </c>
      <c r="C3043" s="3" t="str">
        <f>HYPERLINK("http://www.ncbi.nlm.nih.gov/protein/294774560","Gng12")</f>
        <v>Gng12</v>
      </c>
      <c r="E3043" t="str">
        <f>HYPERLINK("J:\Depot - mpkCCD Fractions\Main Web Page\Web Pages_old\proteomic_fractions_linear_files/Yang_linear_img/294774560.jpg","show blot")</f>
        <v>show blot</v>
      </c>
      <c r="G3043" t="s">
        <v>2928</v>
      </c>
      <c r="I3043" s="6">
        <v>6.2052989476069165</v>
      </c>
      <c r="K3043" s="8"/>
    </row>
    <row r="3044" spans="1:11" ht="15" x14ac:dyDescent="0.25">
      <c r="A3044" s="3" t="str">
        <f>HYPERLINK("proteomic_fractions_linear_files/Yang_linear_img/84579919.jpg", "84579919")</f>
        <v>84579919</v>
      </c>
      <c r="C3044" s="3" t="str">
        <f>HYPERLINK("http://www.ncbi.nlm.nih.gov/protein/84579919","Gng7")</f>
        <v>Gng7</v>
      </c>
      <c r="E3044" t="str">
        <f>HYPERLINK("J:\Depot - mpkCCD Fractions\Main Web Page\Web Pages_old\proteomic_fractions_linear_files/Yang_linear_img/84579919.jpg","show blot")</f>
        <v>show blot</v>
      </c>
      <c r="G3044" t="s">
        <v>2929</v>
      </c>
      <c r="I3044" s="6">
        <v>3.6498880051698843</v>
      </c>
      <c r="K3044" s="8"/>
    </row>
    <row r="3045" spans="1:11" ht="15" x14ac:dyDescent="0.25">
      <c r="A3045" s="3" t="str">
        <f>HYPERLINK("proteomic_fractions_linear_files/Yang_linear_img/122937361.jpg", "122937361")</f>
        <v>122937361</v>
      </c>
      <c r="C3045" s="3" t="str">
        <f>HYPERLINK("http://www.ncbi.nlm.nih.gov/protein/122937361","Gnl1")</f>
        <v>Gnl1</v>
      </c>
      <c r="E3045" t="str">
        <f>HYPERLINK("J:\Depot - mpkCCD Fractions\Main Web Page\Web Pages_old\proteomic_fractions_linear_files/Yang_linear_img/122937361.jpg","show blot")</f>
        <v>show blot</v>
      </c>
      <c r="G3045" t="s">
        <v>2930</v>
      </c>
      <c r="I3045" s="6">
        <v>4.7750994790202004</v>
      </c>
      <c r="K3045" s="8"/>
    </row>
    <row r="3046" spans="1:11" ht="15" x14ac:dyDescent="0.25">
      <c r="A3046" s="3" t="str">
        <f>HYPERLINK("proteomic_fractions_linear_files/Yang_linear_img/240120093.jpg", "240120093")</f>
        <v>240120093</v>
      </c>
      <c r="C3046" s="3" t="str">
        <f>HYPERLINK("http://www.ncbi.nlm.nih.gov/protein/240120093","Gnl2")</f>
        <v>Gnl2</v>
      </c>
      <c r="E3046" t="str">
        <f>HYPERLINK("J:\Depot - mpkCCD Fractions\Main Web Page\Web Pages_old\proteomic_fractions_linear_files/Yang_linear_img/240120093.jpg","show blot")</f>
        <v>show blot</v>
      </c>
      <c r="G3046" t="s">
        <v>2931</v>
      </c>
      <c r="I3046" s="6">
        <v>1.6386696492653943</v>
      </c>
      <c r="K3046" s="8"/>
    </row>
    <row r="3047" spans="1:11" ht="15" x14ac:dyDescent="0.25">
      <c r="A3047" s="3" t="str">
        <f>HYPERLINK("proteomic_fractions_linear_files/Yang_linear_img/30524920.jpg", "30524920")</f>
        <v>30524920</v>
      </c>
      <c r="C3047" s="3" t="str">
        <f>HYPERLINK("http://www.ncbi.nlm.nih.gov/protein/30524920","Gnl3")</f>
        <v>Gnl3</v>
      </c>
      <c r="E3047" t="str">
        <f>HYPERLINK("J:\Depot - mpkCCD Fractions\Main Web Page\Web Pages_old\proteomic_fractions_linear_files/Yang_linear_img/30524920.jpg","show blot")</f>
        <v>show blot</v>
      </c>
      <c r="G3047" t="s">
        <v>2932</v>
      </c>
      <c r="I3047" s="6">
        <v>3.2765409934613596</v>
      </c>
      <c r="K3047" s="8"/>
    </row>
    <row r="3048" spans="1:11" ht="15" x14ac:dyDescent="0.25">
      <c r="A3048" s="3" t="str">
        <f>HYPERLINK("proteomic_fractions_linear_files/Yang_linear_img/160298207.jpg", "160298207")</f>
        <v>160298207</v>
      </c>
      <c r="C3048" s="3" t="str">
        <f>HYPERLINK("http://www.ncbi.nlm.nih.gov/protein/160298207","Gnpat")</f>
        <v>Gnpat</v>
      </c>
      <c r="E3048" t="str">
        <f>HYPERLINK("J:\Depot - mpkCCD Fractions\Main Web Page\Web Pages_old\proteomic_fractions_linear_files/Yang_linear_img/160298207.jpg","show blot")</f>
        <v>show blot</v>
      </c>
      <c r="G3048" t="s">
        <v>2933</v>
      </c>
      <c r="I3048" s="6">
        <v>3.9093015310119648</v>
      </c>
      <c r="K3048" s="8"/>
    </row>
    <row r="3049" spans="1:11" ht="15" x14ac:dyDescent="0.25">
      <c r="A3049" s="3" t="str">
        <f>HYPERLINK("proteomic_fractions_linear_files/Yang_linear_img/188219582.jpg", "188219582")</f>
        <v>188219582</v>
      </c>
      <c r="C3049" s="3" t="str">
        <f>HYPERLINK("http://www.ncbi.nlm.nih.gov/protein/188219582","Gnpda1")</f>
        <v>Gnpda1</v>
      </c>
      <c r="E3049" t="str">
        <f>HYPERLINK("J:\Depot - mpkCCD Fractions\Main Web Page\Web Pages_old\proteomic_fractions_linear_files/Yang_linear_img/188219582.jpg","show blot")</f>
        <v>show blot</v>
      </c>
      <c r="G3049" t="s">
        <v>2934</v>
      </c>
      <c r="I3049" s="6">
        <v>5.2655247501601732</v>
      </c>
      <c r="K3049" s="8"/>
    </row>
    <row r="3050" spans="1:11" ht="15" x14ac:dyDescent="0.25">
      <c r="A3050" s="3" t="str">
        <f>HYPERLINK("proteomic_fractions_linear_files/Yang_linear_img/83999999.jpg", "83999999")</f>
        <v>83999999</v>
      </c>
      <c r="C3050" s="3" t="str">
        <f>HYPERLINK("http://www.ncbi.nlm.nih.gov/protein/83999999","Gnpda2")</f>
        <v>Gnpda2</v>
      </c>
      <c r="E3050" t="str">
        <f>HYPERLINK("J:\Depot - mpkCCD Fractions\Main Web Page\Web Pages_old\proteomic_fractions_linear_files/Yang_linear_img/83999999.jpg","show blot")</f>
        <v>show blot</v>
      </c>
      <c r="G3050" t="s">
        <v>2935</v>
      </c>
      <c r="I3050" s="6">
        <v>4.6930957009930117</v>
      </c>
      <c r="K3050" s="8"/>
    </row>
    <row r="3051" spans="1:11" ht="15" x14ac:dyDescent="0.25">
      <c r="A3051" s="3" t="str">
        <f>HYPERLINK("proteomic_fractions_linear_files/Yang_linear_img/9506761.jpg", "9506761")</f>
        <v>9506761</v>
      </c>
      <c r="C3051" s="3" t="str">
        <f>HYPERLINK("http://www.ncbi.nlm.nih.gov/protein/9506761","Gnpnat1")</f>
        <v>Gnpnat1</v>
      </c>
      <c r="E3051" t="str">
        <f>HYPERLINK("J:\Depot - mpkCCD Fractions\Main Web Page\Web Pages_old\proteomic_fractions_linear_files/Yang_linear_img/9506761.jpg","show blot")</f>
        <v>show blot</v>
      </c>
      <c r="G3051" t="s">
        <v>2936</v>
      </c>
      <c r="I3051" s="6">
        <v>4.9602498513240771</v>
      </c>
      <c r="K3051" s="8"/>
    </row>
    <row r="3052" spans="1:11" ht="15" x14ac:dyDescent="0.25">
      <c r="A3052" s="3" t="str">
        <f>HYPERLINK("proteomic_fractions_linear_files/Yang_linear_img/29789239.jpg", "29789239")</f>
        <v>29789239</v>
      </c>
      <c r="C3052" s="3" t="str">
        <f>HYPERLINK("http://www.ncbi.nlm.nih.gov/protein/29789239","Gns")</f>
        <v>Gns</v>
      </c>
      <c r="E3052" t="str">
        <f>HYPERLINK("J:\Depot - mpkCCD Fractions\Main Web Page\Web Pages_old\proteomic_fractions_linear_files/Yang_linear_img/29789239.jpg","show blot")</f>
        <v>show blot</v>
      </c>
      <c r="G3052" t="s">
        <v>2937</v>
      </c>
      <c r="I3052" s="6">
        <v>5.5104768169188931</v>
      </c>
      <c r="K3052" s="8"/>
    </row>
    <row r="3053" spans="1:11" ht="15" x14ac:dyDescent="0.25">
      <c r="A3053" s="3" t="str">
        <f>HYPERLINK("proteomic_fractions_linear_files/Yang_linear_img/30794192.jpg", "30794192")</f>
        <v>30794192</v>
      </c>
      <c r="C3053" s="3" t="str">
        <f>HYPERLINK("http://www.ncbi.nlm.nih.gov/protein/30794192","Golga1")</f>
        <v>Golga1</v>
      </c>
      <c r="E3053" t="str">
        <f>HYPERLINK("J:\Depot - mpkCCD Fractions\Main Web Page\Web Pages_old\proteomic_fractions_linear_files/Yang_linear_img/30794192.jpg","show blot")</f>
        <v>show blot</v>
      </c>
      <c r="G3053" t="s">
        <v>2938</v>
      </c>
      <c r="I3053" s="6">
        <v>3.6715576749643097</v>
      </c>
      <c r="K3053" s="8"/>
    </row>
    <row r="3054" spans="1:11" ht="15" x14ac:dyDescent="0.25">
      <c r="A3054" s="3" t="str">
        <f>HYPERLINK("proteomic_fractions_linear_files/Yang_linear_img/124378030.jpg", "124378030")</f>
        <v>124378030</v>
      </c>
      <c r="C3054" s="3" t="str">
        <f>HYPERLINK("http://www.ncbi.nlm.nih.gov/protein/124378030","Golga2")</f>
        <v>Golga2</v>
      </c>
      <c r="E3054" t="str">
        <f>HYPERLINK("J:\Depot - mpkCCD Fractions\Main Web Page\Web Pages_old\proteomic_fractions_linear_files/Yang_linear_img/124378030.jpg","show blot")</f>
        <v>show blot</v>
      </c>
      <c r="G3054" t="s">
        <v>2939</v>
      </c>
      <c r="I3054" s="6">
        <v>4.3641345725135237</v>
      </c>
      <c r="K3054" s="8"/>
    </row>
    <row r="3055" spans="1:11" ht="15" x14ac:dyDescent="0.25">
      <c r="A3055" s="3" t="str">
        <f>HYPERLINK("proteomic_fractions_linear_files/Yang_linear_img/124378042.jpg", "124378042")</f>
        <v>124378042</v>
      </c>
      <c r="C3055" s="3" t="str">
        <f>HYPERLINK("http://www.ncbi.nlm.nih.gov/protein/124378042","Golga2")</f>
        <v>Golga2</v>
      </c>
      <c r="E3055" t="str">
        <f>HYPERLINK("J:\Depot - mpkCCD Fractions\Main Web Page\Web Pages_old\proteomic_fractions_linear_files/Yang_linear_img/124378042.jpg","show blot")</f>
        <v>show blot</v>
      </c>
      <c r="G3055" t="s">
        <v>2940</v>
      </c>
      <c r="I3055" s="6">
        <v>4.3641345725135237</v>
      </c>
      <c r="K3055" s="8"/>
    </row>
    <row r="3056" spans="1:11" ht="15" x14ac:dyDescent="0.25">
      <c r="A3056" s="3" t="str">
        <f>HYPERLINK("proteomic_fractions_linear_files/Yang_linear_img/31982330.jpg", "31982330")</f>
        <v>31982330</v>
      </c>
      <c r="C3056" s="3" t="str">
        <f>HYPERLINK("http://www.ncbi.nlm.nih.gov/protein/31982330","Golga3")</f>
        <v>Golga3</v>
      </c>
      <c r="E3056" t="str">
        <f>HYPERLINK("J:\Depot - mpkCCD Fractions\Main Web Page\Web Pages_old\proteomic_fractions_linear_files/Yang_linear_img/31982330.jpg","show blot")</f>
        <v>show blot</v>
      </c>
      <c r="G3056" t="s">
        <v>2941</v>
      </c>
      <c r="I3056" s="6">
        <v>2.9568837428930981</v>
      </c>
      <c r="K3056" s="8"/>
    </row>
    <row r="3057" spans="1:11" ht="15" x14ac:dyDescent="0.25">
      <c r="A3057" s="3" t="str">
        <f>HYPERLINK("proteomic_fractions_linear_files/Yang_linear_img/20127150.jpg", "20127150")</f>
        <v>20127150</v>
      </c>
      <c r="C3057" s="3" t="str">
        <f>HYPERLINK("http://www.ncbi.nlm.nih.gov/protein/20127150","Golga4")</f>
        <v>Golga4</v>
      </c>
      <c r="E3057" t="str">
        <f>HYPERLINK("J:\Depot - mpkCCD Fractions\Main Web Page\Web Pages_old\proteomic_fractions_linear_files/Yang_linear_img/20127150.jpg","show blot")</f>
        <v>show blot</v>
      </c>
      <c r="G3057" t="s">
        <v>2942</v>
      </c>
      <c r="I3057" s="6">
        <v>3.8040882067652491</v>
      </c>
      <c r="K3057" s="8"/>
    </row>
    <row r="3058" spans="1:11" ht="15" x14ac:dyDescent="0.25">
      <c r="A3058" s="3" t="str">
        <f>HYPERLINK("proteomic_fractions_linear_files/Yang_linear_img/7305095.jpg", "7305095")</f>
        <v>7305095</v>
      </c>
      <c r="C3058" s="3" t="str">
        <f>HYPERLINK("http://www.ncbi.nlm.nih.gov/protein/7305095","Golga5")</f>
        <v>Golga5</v>
      </c>
      <c r="E3058" t="str">
        <f>HYPERLINK("J:\Depot - mpkCCD Fractions\Main Web Page\Web Pages_old\proteomic_fractions_linear_files/Yang_linear_img/7305095.jpg","show blot")</f>
        <v>show blot</v>
      </c>
      <c r="G3058" t="s">
        <v>2943</v>
      </c>
      <c r="I3058" s="6">
        <v>4.0148421372587562</v>
      </c>
      <c r="K3058" s="8"/>
    </row>
    <row r="3059" spans="1:11" ht="15" x14ac:dyDescent="0.25">
      <c r="A3059" s="3" t="str">
        <f>HYPERLINK("proteomic_fractions_linear_files/Yang_linear_img/312222675;7305095.jpg", "312222675;7305095")</f>
        <v>312222675;7305095</v>
      </c>
      <c r="C3059" s="3" t="str">
        <f>HYPERLINK("http://www.ncbi.nlm.nih.gov/protein/312222675;7305095","Golga5")</f>
        <v>Golga5</v>
      </c>
      <c r="E3059" t="str">
        <f>HYPERLINK("J:\Depot - mpkCCD Fractions\Main Web Page\Web Pages_old\proteomic_fractions_linear_files/Yang_linear_img/312222675;7305095.jpg","show blot")</f>
        <v>show blot</v>
      </c>
      <c r="G3059" t="s">
        <v>2943</v>
      </c>
      <c r="I3059" s="6">
        <v>4.0148421372587562</v>
      </c>
      <c r="K3059" s="8"/>
    </row>
    <row r="3060" spans="1:11" ht="15" x14ac:dyDescent="0.25">
      <c r="A3060" s="3" t="str">
        <f>HYPERLINK("proteomic_fractions_linear_files/Yang_linear_img/109809743.jpg", "109809743")</f>
        <v>109809743</v>
      </c>
      <c r="C3060" s="3" t="str">
        <f>HYPERLINK("http://www.ncbi.nlm.nih.gov/protein/109809743","Golga7")</f>
        <v>Golga7</v>
      </c>
      <c r="E3060" t="str">
        <f>HYPERLINK("J:\Depot - mpkCCD Fractions\Main Web Page\Web Pages_old\proteomic_fractions_linear_files/Yang_linear_img/109809743.jpg","show blot")</f>
        <v>show blot</v>
      </c>
      <c r="G3060" t="s">
        <v>2944</v>
      </c>
      <c r="I3060" s="6">
        <v>4.5883165141643714</v>
      </c>
      <c r="K3060" s="8"/>
    </row>
    <row r="3061" spans="1:11" ht="15" x14ac:dyDescent="0.25">
      <c r="A3061" s="3" t="str">
        <f>HYPERLINK("proteomic_fractions_linear_files/Yang_linear_img/226958601.jpg", "226958601")</f>
        <v>226958601</v>
      </c>
      <c r="C3061" s="3" t="str">
        <f>HYPERLINK("http://www.ncbi.nlm.nih.gov/protein/226958601","Golgb1")</f>
        <v>Golgb1</v>
      </c>
      <c r="E3061" t="str">
        <f>HYPERLINK("J:\Depot - mpkCCD Fractions\Main Web Page\Web Pages_old\proteomic_fractions_linear_files/Yang_linear_img/226958601.jpg","show blot")</f>
        <v>show blot</v>
      </c>
      <c r="G3061" t="s">
        <v>2945</v>
      </c>
      <c r="I3061" s="6">
        <v>3.6884866966743304</v>
      </c>
      <c r="K3061" s="8"/>
    </row>
    <row r="3062" spans="1:11" ht="15" x14ac:dyDescent="0.25">
      <c r="A3062" s="3" t="str">
        <f>HYPERLINK("proteomic_fractions_linear_files/Yang_linear_img/30424814.jpg", "30424814")</f>
        <v>30424814</v>
      </c>
      <c r="C3062" s="3" t="str">
        <f>HYPERLINK("http://www.ncbi.nlm.nih.gov/protein/30424814","Golim4")</f>
        <v>Golim4</v>
      </c>
      <c r="E3062" t="str">
        <f>HYPERLINK("J:\Depot - mpkCCD Fractions\Main Web Page\Web Pages_old\proteomic_fractions_linear_files/Yang_linear_img/30424814.jpg","show blot")</f>
        <v>show blot</v>
      </c>
      <c r="G3062" t="s">
        <v>2946</v>
      </c>
      <c r="I3062" s="6">
        <v>1.5463182798606863</v>
      </c>
      <c r="K3062" s="8"/>
    </row>
    <row r="3063" spans="1:11" ht="15" x14ac:dyDescent="0.25">
      <c r="A3063" s="3" t="str">
        <f>HYPERLINK("proteomic_fractions_linear_files/Yang_linear_img/78190502.jpg", "78190502")</f>
        <v>78190502</v>
      </c>
      <c r="C3063" s="3" t="str">
        <f>HYPERLINK("http://www.ncbi.nlm.nih.gov/protein/78190502","Golm1")</f>
        <v>Golm1</v>
      </c>
      <c r="E3063" t="str">
        <f>HYPERLINK("J:\Depot - mpkCCD Fractions\Main Web Page\Web Pages_old\proteomic_fractions_linear_files/Yang_linear_img/78190502.jpg","show blot")</f>
        <v>show blot</v>
      </c>
      <c r="G3063" t="s">
        <v>2947</v>
      </c>
      <c r="I3063" s="6">
        <v>4.6378317124488673</v>
      </c>
      <c r="K3063" s="8"/>
    </row>
    <row r="3064" spans="1:11" ht="15" x14ac:dyDescent="0.25">
      <c r="A3064" s="3" t="str">
        <f>HYPERLINK("proteomic_fractions_linear_files/Yang_linear_img/14140240.jpg", "14140240")</f>
        <v>14140240</v>
      </c>
      <c r="C3064" s="3" t="str">
        <f>HYPERLINK("http://www.ncbi.nlm.nih.gov/protein/14140240","Golph3")</f>
        <v>Golph3</v>
      </c>
      <c r="E3064" t="str">
        <f>HYPERLINK("J:\Depot - mpkCCD Fractions\Main Web Page\Web Pages_old\proteomic_fractions_linear_files/Yang_linear_img/14140240.jpg","show blot")</f>
        <v>show blot</v>
      </c>
      <c r="G3064" t="s">
        <v>2948</v>
      </c>
      <c r="I3064" s="6">
        <v>4.8802725038252852</v>
      </c>
      <c r="K3064" s="8"/>
    </row>
    <row r="3065" spans="1:11" ht="15" x14ac:dyDescent="0.25">
      <c r="A3065" s="3" t="str">
        <f>HYPERLINK("proteomic_fractions_linear_files/Yang_linear_img/295054274.jpg", "295054274")</f>
        <v>295054274</v>
      </c>
      <c r="C3065" s="3" t="str">
        <f>HYPERLINK("http://www.ncbi.nlm.nih.gov/protein/295054274","Golph3l")</f>
        <v>Golph3l</v>
      </c>
      <c r="E3065" t="str">
        <f>HYPERLINK("J:\Depot - mpkCCD Fractions\Main Web Page\Web Pages_old\proteomic_fractions_linear_files/Yang_linear_img/295054274.jpg","show blot")</f>
        <v>show blot</v>
      </c>
      <c r="G3065" t="s">
        <v>2949</v>
      </c>
      <c r="I3065" s="6">
        <v>4.7366125749963892</v>
      </c>
      <c r="K3065" s="8"/>
    </row>
    <row r="3066" spans="1:11" ht="15" x14ac:dyDescent="0.25">
      <c r="A3066" s="3" t="str">
        <f>HYPERLINK("proteomic_fractions_linear_files/Yang_linear_img/295054280.jpg", "295054280")</f>
        <v>295054280</v>
      </c>
      <c r="C3066" s="3" t="str">
        <f>HYPERLINK("http://www.ncbi.nlm.nih.gov/protein/295054280","Golph3l")</f>
        <v>Golph3l</v>
      </c>
      <c r="E3066" t="str">
        <f>HYPERLINK("J:\Depot - mpkCCD Fractions\Main Web Page\Web Pages_old\proteomic_fractions_linear_files/Yang_linear_img/295054280.jpg","show blot")</f>
        <v>show blot</v>
      </c>
      <c r="G3066" t="s">
        <v>2950</v>
      </c>
      <c r="I3066" s="6">
        <v>4.7366125749963892</v>
      </c>
      <c r="K3066" s="8"/>
    </row>
    <row r="3067" spans="1:11" ht="15" x14ac:dyDescent="0.25">
      <c r="A3067" s="3" t="str">
        <f>HYPERLINK("proteomic_fractions_linear_files/Yang_linear_img/295054284.jpg", "295054284")</f>
        <v>295054284</v>
      </c>
      <c r="C3067" s="3" t="str">
        <f>HYPERLINK("http://www.ncbi.nlm.nih.gov/protein/295054284","Golph3l")</f>
        <v>Golph3l</v>
      </c>
      <c r="E3067" t="str">
        <f>HYPERLINK("J:\Depot - mpkCCD Fractions\Main Web Page\Web Pages_old\proteomic_fractions_linear_files/Yang_linear_img/295054284.jpg","show blot")</f>
        <v>show blot</v>
      </c>
      <c r="G3067" t="s">
        <v>2951</v>
      </c>
      <c r="I3067" s="6">
        <v>4.7366125749963892</v>
      </c>
      <c r="K3067" s="8"/>
    </row>
    <row r="3068" spans="1:11" ht="15" x14ac:dyDescent="0.25">
      <c r="A3068" s="3" t="str">
        <f>HYPERLINK("proteomic_fractions_linear_files/Yang_linear_img/13385354.jpg", "13385354")</f>
        <v>13385354</v>
      </c>
      <c r="C3068" s="3" t="str">
        <f>HYPERLINK("http://www.ncbi.nlm.nih.gov/protein/13385354","Golt1b")</f>
        <v>Golt1b</v>
      </c>
      <c r="E3068" t="str">
        <f>HYPERLINK("J:\Depot - mpkCCD Fractions\Main Web Page\Web Pages_old\proteomic_fractions_linear_files/Yang_linear_img/13385354.jpg","show blot")</f>
        <v>show blot</v>
      </c>
      <c r="G3068" t="s">
        <v>2952</v>
      </c>
      <c r="I3068" s="6">
        <v>5.1781772616260504</v>
      </c>
      <c r="K3068" s="8"/>
    </row>
    <row r="3069" spans="1:11" ht="15" x14ac:dyDescent="0.25">
      <c r="A3069" s="3" t="str">
        <f>HYPERLINK("proteomic_fractions_linear_files/Yang_linear_img/313151170.jpg", "313151170")</f>
        <v>313151170</v>
      </c>
      <c r="C3069" s="3" t="str">
        <f>HYPERLINK("http://www.ncbi.nlm.nih.gov/protein/313151170","Gopc")</f>
        <v>Gopc</v>
      </c>
      <c r="E3069" t="str">
        <f>HYPERLINK("J:\Depot - mpkCCD Fractions\Main Web Page\Web Pages_old\proteomic_fractions_linear_files/Yang_linear_img/313151170.jpg","show blot")</f>
        <v>show blot</v>
      </c>
      <c r="G3069" t="s">
        <v>2953</v>
      </c>
      <c r="I3069" s="6">
        <v>4.834915429176327</v>
      </c>
      <c r="K3069" s="8"/>
    </row>
    <row r="3070" spans="1:11" ht="15" x14ac:dyDescent="0.25">
      <c r="A3070" s="3" t="str">
        <f>HYPERLINK("proteomic_fractions_linear_files/Yang_linear_img/31543485.jpg", "31543485")</f>
        <v>31543485</v>
      </c>
      <c r="C3070" s="3" t="str">
        <f>HYPERLINK("http://www.ncbi.nlm.nih.gov/protein/31543485","Gopc")</f>
        <v>Gopc</v>
      </c>
      <c r="E3070" t="str">
        <f>HYPERLINK("J:\Depot - mpkCCD Fractions\Main Web Page\Web Pages_old\proteomic_fractions_linear_files/Yang_linear_img/31543485.jpg","show blot")</f>
        <v>show blot</v>
      </c>
      <c r="G3070" t="s">
        <v>2954</v>
      </c>
      <c r="I3070" s="6">
        <v>4.834915429176327</v>
      </c>
      <c r="K3070" s="8"/>
    </row>
    <row r="3071" spans="1:11" ht="15" x14ac:dyDescent="0.25">
      <c r="A3071" s="3" t="str">
        <f>HYPERLINK("proteomic_fractions_linear_files/Yang_linear_img/30350202.jpg", "30350202")</f>
        <v>30350202</v>
      </c>
      <c r="C3071" s="3" t="str">
        <f>HYPERLINK("http://www.ncbi.nlm.nih.gov/protein/30350202","Gorasp1")</f>
        <v>Gorasp1</v>
      </c>
      <c r="E3071" t="str">
        <f>HYPERLINK("J:\Depot - mpkCCD Fractions\Main Web Page\Web Pages_old\proteomic_fractions_linear_files/Yang_linear_img/30350202.jpg","show blot")</f>
        <v>show blot</v>
      </c>
      <c r="G3071" t="s">
        <v>2955</v>
      </c>
      <c r="I3071" s="6">
        <v>0.96075872605833879</v>
      </c>
      <c r="K3071" s="8"/>
    </row>
    <row r="3072" spans="1:11" ht="15" x14ac:dyDescent="0.25">
      <c r="A3072" s="3" t="str">
        <f>HYPERLINK("proteomic_fractions_linear_files/Yang_linear_img/224967109.jpg", "224967109")</f>
        <v>224967109</v>
      </c>
      <c r="C3072" s="3" t="str">
        <f>HYPERLINK("http://www.ncbi.nlm.nih.gov/protein/224967109","Gorasp2")</f>
        <v>Gorasp2</v>
      </c>
      <c r="E3072" t="str">
        <f>HYPERLINK("J:\Depot - mpkCCD Fractions\Main Web Page\Web Pages_old\proteomic_fractions_linear_files/Yang_linear_img/224967109.jpg","show blot")</f>
        <v>show blot</v>
      </c>
      <c r="G3072" t="s">
        <v>2956</v>
      </c>
      <c r="I3072" s="6">
        <v>5.0426792397076996</v>
      </c>
      <c r="K3072" s="8"/>
    </row>
    <row r="3073" spans="1:11" ht="15" x14ac:dyDescent="0.25">
      <c r="A3073" s="3" t="str">
        <f>HYPERLINK("proteomic_fractions_linear_files/Yang_linear_img/31542904.jpg", "31542904")</f>
        <v>31542904</v>
      </c>
      <c r="C3073" s="3" t="str">
        <f>HYPERLINK("http://www.ncbi.nlm.nih.gov/protein/31542904","Gosr1")</f>
        <v>Gosr1</v>
      </c>
      <c r="E3073" t="str">
        <f>HYPERLINK("J:\Depot - mpkCCD Fractions\Main Web Page\Web Pages_old\proteomic_fractions_linear_files/Yang_linear_img/31542904.jpg","show blot")</f>
        <v>show blot</v>
      </c>
      <c r="G3073" t="s">
        <v>2957</v>
      </c>
      <c r="I3073" s="6">
        <v>4.5183071424783572</v>
      </c>
      <c r="K3073" s="8"/>
    </row>
    <row r="3074" spans="1:11" ht="15" x14ac:dyDescent="0.25">
      <c r="A3074" s="3" t="str">
        <f>HYPERLINK("proteomic_fractions_linear_files/Yang_linear_img/24528553.jpg", "24528553")</f>
        <v>24528553</v>
      </c>
      <c r="C3074" s="3" t="str">
        <f>HYPERLINK("http://www.ncbi.nlm.nih.gov/protein/24528553","Gosr2")</f>
        <v>Gosr2</v>
      </c>
      <c r="E3074" t="str">
        <f>HYPERLINK("J:\Depot - mpkCCD Fractions\Main Web Page\Web Pages_old\proteomic_fractions_linear_files/Yang_linear_img/24528553.jpg","show blot")</f>
        <v>show blot</v>
      </c>
      <c r="G3074" t="s">
        <v>2958</v>
      </c>
      <c r="I3074" s="6">
        <v>3.3462985000476868</v>
      </c>
      <c r="K3074" s="8"/>
    </row>
    <row r="3075" spans="1:11" ht="15" x14ac:dyDescent="0.25">
      <c r="A3075" s="3" t="str">
        <f>HYPERLINK("proteomic_fractions_linear_files/Yang_linear_img/160298209.jpg", "160298209")</f>
        <v>160298209</v>
      </c>
      <c r="C3075" s="3" t="str">
        <f>HYPERLINK("http://www.ncbi.nlm.nih.gov/protein/160298209","Got1")</f>
        <v>Got1</v>
      </c>
      <c r="E3075" t="str">
        <f>HYPERLINK("J:\Depot - mpkCCD Fractions\Main Web Page\Web Pages_old\proteomic_fractions_linear_files/Yang_linear_img/160298209.jpg","show blot")</f>
        <v>show blot</v>
      </c>
      <c r="G3075" t="s">
        <v>2959</v>
      </c>
      <c r="I3075" s="6">
        <v>6.2980188291328867</v>
      </c>
      <c r="K3075" s="8"/>
    </row>
    <row r="3076" spans="1:11" ht="15" x14ac:dyDescent="0.25">
      <c r="A3076" s="3" t="str">
        <f>HYPERLINK("proteomic_fractions_linear_files/Yang_linear_img/6754036.jpg", "6754036")</f>
        <v>6754036</v>
      </c>
      <c r="C3076" s="3" t="str">
        <f>HYPERLINK("http://www.ncbi.nlm.nih.gov/protein/6754036","Got2")</f>
        <v>Got2</v>
      </c>
      <c r="E3076" t="str">
        <f>HYPERLINK("J:\Depot - mpkCCD Fractions\Main Web Page\Web Pages_old\proteomic_fractions_linear_files/Yang_linear_img/6754036.jpg","show blot")</f>
        <v>show blot</v>
      </c>
      <c r="G3076" t="s">
        <v>2960</v>
      </c>
      <c r="I3076" s="6">
        <v>6.9861361555099846</v>
      </c>
      <c r="K3076" s="8"/>
    </row>
    <row r="3077" spans="1:11" ht="15" x14ac:dyDescent="0.25">
      <c r="A3077" s="3" t="str">
        <f>HYPERLINK("proteomic_fractions_linear_files/Yang_linear_img/6754046.jpg", "6754046")</f>
        <v>6754046</v>
      </c>
      <c r="C3077" s="3" t="str">
        <f>HYPERLINK("http://www.ncbi.nlm.nih.gov/protein/6754046","Gpaa1")</f>
        <v>Gpaa1</v>
      </c>
      <c r="E3077" t="str">
        <f>HYPERLINK("J:\Depot - mpkCCD Fractions\Main Web Page\Web Pages_old\proteomic_fractions_linear_files/Yang_linear_img/6754046.jpg","show blot")</f>
        <v>show blot</v>
      </c>
      <c r="G3077" t="s">
        <v>2961</v>
      </c>
      <c r="I3077" s="6">
        <v>3.5692256790114292</v>
      </c>
      <c r="K3077" s="8"/>
    </row>
    <row r="3078" spans="1:11" ht="15" x14ac:dyDescent="0.25">
      <c r="A3078" s="3" t="str">
        <f>HYPERLINK("proteomic_fractions_linear_files/Yang_linear_img/27754089.jpg", "27754089")</f>
        <v>27754089</v>
      </c>
      <c r="C3078" s="3" t="str">
        <f>HYPERLINK("http://www.ncbi.nlm.nih.gov/protein/27754089","Gpalpp1")</f>
        <v>Gpalpp1</v>
      </c>
      <c r="E3078" t="str">
        <f>HYPERLINK("J:\Depot - mpkCCD Fractions\Main Web Page\Web Pages_old\proteomic_fractions_linear_files/Yang_linear_img/27754089.jpg","show blot")</f>
        <v>show blot</v>
      </c>
      <c r="G3078" t="s">
        <v>2962</v>
      </c>
      <c r="I3078" s="6">
        <v>3.6327455298505216</v>
      </c>
      <c r="K3078" s="8"/>
    </row>
    <row r="3079" spans="1:11" ht="15" x14ac:dyDescent="0.25">
      <c r="A3079" s="3" t="str">
        <f>HYPERLINK("proteomic_fractions_linear_files/Yang_linear_img/194473718.jpg", "194473718")</f>
        <v>194473718</v>
      </c>
      <c r="C3079" s="3" t="str">
        <f>HYPERLINK("http://www.ncbi.nlm.nih.gov/protein/194473718","Gpatch11")</f>
        <v>Gpatch11</v>
      </c>
      <c r="E3079" t="str">
        <f>HYPERLINK("J:\Depot - mpkCCD Fractions\Main Web Page\Web Pages_old\proteomic_fractions_linear_files/Yang_linear_img/194473718.jpg","show blot")</f>
        <v>show blot</v>
      </c>
      <c r="G3079" t="s">
        <v>2963</v>
      </c>
      <c r="I3079" s="6">
        <v>3.8472700453595068</v>
      </c>
      <c r="K3079" s="8"/>
    </row>
    <row r="3080" spans="1:11" ht="15" x14ac:dyDescent="0.25">
      <c r="A3080" s="3" t="str">
        <f>HYPERLINK("proteomic_fractions_linear_files/Yang_linear_img/27370332.jpg", "27370332")</f>
        <v>27370332</v>
      </c>
      <c r="C3080" s="3" t="str">
        <f>HYPERLINK("http://www.ncbi.nlm.nih.gov/protein/27370332","Gpatch3")</f>
        <v>Gpatch3</v>
      </c>
      <c r="E3080" t="str">
        <f>HYPERLINK("J:\Depot - mpkCCD Fractions\Main Web Page\Web Pages_old\proteomic_fractions_linear_files/Yang_linear_img/27370332.jpg","show blot")</f>
        <v>show blot</v>
      </c>
      <c r="G3080" t="s">
        <v>2964</v>
      </c>
      <c r="I3080" s="6">
        <v>3.2006542938067448</v>
      </c>
      <c r="K3080" s="8"/>
    </row>
    <row r="3081" spans="1:11" ht="15" x14ac:dyDescent="0.25">
      <c r="A3081" s="3" t="str">
        <f>HYPERLINK("proteomic_fractions_linear_files/Yang_linear_img/160948594.jpg", "160948594")</f>
        <v>160948594</v>
      </c>
      <c r="C3081" s="3" t="str">
        <f>HYPERLINK("http://www.ncbi.nlm.nih.gov/protein/160948594","Gpatch4")</f>
        <v>Gpatch4</v>
      </c>
      <c r="E3081" t="str">
        <f>HYPERLINK("J:\Depot - mpkCCD Fractions\Main Web Page\Web Pages_old\proteomic_fractions_linear_files/Yang_linear_img/160948594.jpg","show blot")</f>
        <v>show blot</v>
      </c>
      <c r="G3081" t="s">
        <v>2965</v>
      </c>
      <c r="I3081" s="6">
        <v>1.2929299186319316</v>
      </c>
      <c r="K3081" s="8"/>
    </row>
    <row r="3082" spans="1:11" ht="15" x14ac:dyDescent="0.25">
      <c r="A3082" s="3" t="str">
        <f>HYPERLINK("proteomic_fractions_linear_files/Yang_linear_img/226958329.jpg", "226958329")</f>
        <v>226958329</v>
      </c>
      <c r="C3082" s="3" t="str">
        <f>HYPERLINK("http://www.ncbi.nlm.nih.gov/protein/226958329","Gpatch8")</f>
        <v>Gpatch8</v>
      </c>
      <c r="E3082" t="str">
        <f>HYPERLINK("J:\Depot - mpkCCD Fractions\Main Web Page\Web Pages_old\proteomic_fractions_linear_files/Yang_linear_img/226958329.jpg","show blot")</f>
        <v>show blot</v>
      </c>
      <c r="G3082" t="s">
        <v>2966</v>
      </c>
      <c r="I3082" s="6">
        <v>3.4061615418289022</v>
      </c>
      <c r="K3082" s="8"/>
    </row>
    <row r="3083" spans="1:11" ht="15" x14ac:dyDescent="0.25">
      <c r="A3083" s="3" t="str">
        <f>HYPERLINK("proteomic_fractions_linear_files/Yang_linear_img/238624186.jpg", "238624186")</f>
        <v>238624186</v>
      </c>
      <c r="C3083" s="3" t="str">
        <f>HYPERLINK("http://www.ncbi.nlm.nih.gov/protein/238624186","Gpc4")</f>
        <v>Gpc4</v>
      </c>
      <c r="E3083" t="str">
        <f>HYPERLINK("J:\Depot - mpkCCD Fractions\Main Web Page\Web Pages_old\proteomic_fractions_linear_files/Yang_linear_img/238624186.jpg","show blot")</f>
        <v>show blot</v>
      </c>
      <c r="G3083" t="s">
        <v>2967</v>
      </c>
      <c r="I3083" s="6">
        <v>1.5683985947671377</v>
      </c>
      <c r="K3083" s="8"/>
    </row>
    <row r="3084" spans="1:11" ht="15" x14ac:dyDescent="0.25">
      <c r="A3084" s="3" t="str">
        <f>HYPERLINK("proteomic_fractions_linear_files/Yang_linear_img/119943145.jpg", "119943145")</f>
        <v>119943145</v>
      </c>
      <c r="C3084" s="3" t="str">
        <f>HYPERLINK("http://www.ncbi.nlm.nih.gov/protein/119943145","Gpc6")</f>
        <v>Gpc6</v>
      </c>
      <c r="E3084" t="str">
        <f>HYPERLINK("J:\Depot - mpkCCD Fractions\Main Web Page\Web Pages_old\proteomic_fractions_linear_files/Yang_linear_img/119943145.jpg","show blot")</f>
        <v>show blot</v>
      </c>
      <c r="G3084" t="s">
        <v>2968</v>
      </c>
      <c r="I3084" s="6">
        <v>1.5394348988318212</v>
      </c>
      <c r="K3084" s="8"/>
    </row>
    <row r="3085" spans="1:11" ht="15" x14ac:dyDescent="0.25">
      <c r="A3085" s="3" t="str">
        <f>HYPERLINK("proteomic_fractions_linear_files/Yang_linear_img/7106325.jpg", "7106325")</f>
        <v>7106325</v>
      </c>
      <c r="C3085" s="3" t="str">
        <f>HYPERLINK("http://www.ncbi.nlm.nih.gov/protein/7106325","Gpc6")</f>
        <v>Gpc6</v>
      </c>
      <c r="E3085" t="str">
        <f>HYPERLINK("J:\Depot - mpkCCD Fractions\Main Web Page\Web Pages_old\proteomic_fractions_linear_files/Yang_linear_img/7106325.jpg","show blot")</f>
        <v>show blot</v>
      </c>
      <c r="G3085" t="s">
        <v>2969</v>
      </c>
      <c r="I3085" s="6">
        <v>1.5394348988318212</v>
      </c>
      <c r="K3085" s="8"/>
    </row>
    <row r="3086" spans="1:11" ht="15" x14ac:dyDescent="0.25">
      <c r="A3086" s="3" t="str">
        <f>HYPERLINK("proteomic_fractions_linear_files/Yang_linear_img/111185942.jpg", "111185942")</f>
        <v>111185942</v>
      </c>
      <c r="C3086" s="3" t="str">
        <f>HYPERLINK("http://www.ncbi.nlm.nih.gov/protein/111185942","Gpcpd1")</f>
        <v>Gpcpd1</v>
      </c>
      <c r="E3086" t="str">
        <f>HYPERLINK("J:\Depot - mpkCCD Fractions\Main Web Page\Web Pages_old\proteomic_fractions_linear_files/Yang_linear_img/111185942.jpg","show blot")</f>
        <v>show blot</v>
      </c>
      <c r="G3086" t="s">
        <v>2970</v>
      </c>
      <c r="I3086" s="6">
        <v>3.2256109458783753</v>
      </c>
      <c r="K3086" s="8"/>
    </row>
    <row r="3087" spans="1:11" ht="15" x14ac:dyDescent="0.25">
      <c r="A3087" s="3" t="str">
        <f>HYPERLINK("proteomic_fractions_linear_files/Yang_linear_img/111185947.jpg", "111185947")</f>
        <v>111185947</v>
      </c>
      <c r="C3087" s="3" t="str">
        <f>HYPERLINK("http://www.ncbi.nlm.nih.gov/protein/111185947","Gpcpd1")</f>
        <v>Gpcpd1</v>
      </c>
      <c r="E3087" t="str">
        <f>HYPERLINK("J:\Depot - mpkCCD Fractions\Main Web Page\Web Pages_old\proteomic_fractions_linear_files/Yang_linear_img/111185947.jpg","show blot")</f>
        <v>show blot</v>
      </c>
      <c r="G3087" t="s">
        <v>2971</v>
      </c>
      <c r="I3087" s="6">
        <v>3.2256109458783753</v>
      </c>
      <c r="K3087" s="8"/>
    </row>
    <row r="3088" spans="1:11" ht="15" x14ac:dyDescent="0.25">
      <c r="A3088" s="3" t="str">
        <f>HYPERLINK("proteomic_fractions_linear_files/Yang_linear_img/6753966.jpg", "6753966")</f>
        <v>6753966</v>
      </c>
      <c r="C3088" s="3" t="str">
        <f>HYPERLINK("http://www.ncbi.nlm.nih.gov/protein/6753966","Gpd1")</f>
        <v>Gpd1</v>
      </c>
      <c r="E3088" t="str">
        <f>HYPERLINK("J:\Depot - mpkCCD Fractions\Main Web Page\Web Pages_old\proteomic_fractions_linear_files/Yang_linear_img/6753966.jpg","show blot")</f>
        <v>show blot</v>
      </c>
      <c r="G3088" t="s">
        <v>2972</v>
      </c>
      <c r="I3088" s="6">
        <v>6.2784897470292629</v>
      </c>
      <c r="K3088" s="8"/>
    </row>
    <row r="3089" spans="1:11" ht="15" x14ac:dyDescent="0.25">
      <c r="A3089" s="3" t="str">
        <f>HYPERLINK("proteomic_fractions_linear_files/Yang_linear_img/257467604.jpg", "257467604")</f>
        <v>257467604</v>
      </c>
      <c r="C3089" s="3" t="str">
        <f>HYPERLINK("http://www.ncbi.nlm.nih.gov/protein/257467604","Gpd1l")</f>
        <v>Gpd1l</v>
      </c>
      <c r="E3089" t="str">
        <f>HYPERLINK("J:\Depot - mpkCCD Fractions\Main Web Page\Web Pages_old\proteomic_fractions_linear_files/Yang_linear_img/257467604.jpg","show blot")</f>
        <v>show blot</v>
      </c>
      <c r="G3089" t="s">
        <v>2973</v>
      </c>
      <c r="I3089" s="6">
        <v>5.3520982078140982</v>
      </c>
      <c r="K3089" s="8"/>
    </row>
    <row r="3090" spans="1:11" ht="15" x14ac:dyDescent="0.25">
      <c r="A3090" s="3" t="str">
        <f>HYPERLINK("proteomic_fractions_linear_files/Yang_linear_img/224922803.jpg", "224922803")</f>
        <v>224922803</v>
      </c>
      <c r="C3090" s="3" t="str">
        <f>HYPERLINK("http://www.ncbi.nlm.nih.gov/protein/224922803","Gpd2")</f>
        <v>Gpd2</v>
      </c>
      <c r="E3090" t="str">
        <f>HYPERLINK("J:\Depot - mpkCCD Fractions\Main Web Page\Web Pages_old\proteomic_fractions_linear_files/Yang_linear_img/224922803.jpg","show blot")</f>
        <v>show blot</v>
      </c>
      <c r="G3090" t="s">
        <v>2974</v>
      </c>
      <c r="I3090" s="6">
        <v>5.8972368807263784</v>
      </c>
      <c r="K3090" s="8"/>
    </row>
    <row r="3091" spans="1:11" ht="15" x14ac:dyDescent="0.25">
      <c r="A3091" s="3" t="str">
        <f>HYPERLINK("proteomic_fractions_linear_files/Yang_linear_img/269973915.jpg", "269973915")</f>
        <v>269973915</v>
      </c>
      <c r="C3091" s="3" t="str">
        <f>HYPERLINK("http://www.ncbi.nlm.nih.gov/protein/269973915","Gphn")</f>
        <v>Gphn</v>
      </c>
      <c r="E3091" t="str">
        <f>HYPERLINK("J:\Depot - mpkCCD Fractions\Main Web Page\Web Pages_old\proteomic_fractions_linear_files/Yang_linear_img/269973915.jpg","show blot")</f>
        <v>show blot</v>
      </c>
      <c r="G3091" t="s">
        <v>2975</v>
      </c>
      <c r="I3091" s="6">
        <v>5.3349999677499467</v>
      </c>
      <c r="K3091" s="8"/>
    </row>
    <row r="3092" spans="1:11" ht="15" x14ac:dyDescent="0.25">
      <c r="A3092" s="3" t="str">
        <f>HYPERLINK("proteomic_fractions_linear_files/Yang_linear_img/269973917.jpg", "269973917")</f>
        <v>269973917</v>
      </c>
      <c r="C3092" s="3" t="str">
        <f>HYPERLINK("http://www.ncbi.nlm.nih.gov/protein/269973917","Gphn")</f>
        <v>Gphn</v>
      </c>
      <c r="E3092" t="str">
        <f>HYPERLINK("J:\Depot - mpkCCD Fractions\Main Web Page\Web Pages_old\proteomic_fractions_linear_files/Yang_linear_img/269973917.jpg","show blot")</f>
        <v>show blot</v>
      </c>
      <c r="G3092" t="s">
        <v>2976</v>
      </c>
      <c r="I3092" s="6">
        <v>5.3349999677499467</v>
      </c>
      <c r="K3092" s="8"/>
    </row>
    <row r="3093" spans="1:11" ht="15" x14ac:dyDescent="0.25">
      <c r="A3093" s="3" t="str">
        <f>HYPERLINK("proteomic_fractions_linear_files/Yang_linear_img/254553458.jpg", "254553458")</f>
        <v>254553458</v>
      </c>
      <c r="C3093" s="3" t="str">
        <f>HYPERLINK("http://www.ncbi.nlm.nih.gov/protein/254553458","Gpi1")</f>
        <v>Gpi1</v>
      </c>
      <c r="E3093" t="str">
        <f>HYPERLINK("J:\Depot - mpkCCD Fractions\Main Web Page\Web Pages_old\proteomic_fractions_linear_files/Yang_linear_img/254553458.jpg","show blot")</f>
        <v>show blot</v>
      </c>
      <c r="G3093" t="s">
        <v>2977</v>
      </c>
      <c r="I3093" s="6">
        <v>6.8733436900727245</v>
      </c>
      <c r="K3093" s="8"/>
    </row>
    <row r="3094" spans="1:11" ht="15" x14ac:dyDescent="0.25">
      <c r="A3094" s="3" t="str">
        <f>HYPERLINK("proteomic_fractions_linear_files/Yang_linear_img/377834554.jpg", "377834554")</f>
        <v>377834554</v>
      </c>
      <c r="C3094" s="3" t="str">
        <f>HYPERLINK("http://www.ncbi.nlm.nih.gov/protein/377834554","Gpi1")</f>
        <v>Gpi1</v>
      </c>
      <c r="E3094" t="str">
        <f>HYPERLINK("J:\Depot - mpkCCD Fractions\Main Web Page\Web Pages_old\proteomic_fractions_linear_files/Yang_linear_img/377834554.jpg","show blot")</f>
        <v>show blot</v>
      </c>
      <c r="G3094" t="s">
        <v>2978</v>
      </c>
      <c r="I3094" s="6">
        <v>6.8733436900727245</v>
      </c>
      <c r="K3094" s="8"/>
    </row>
    <row r="3095" spans="1:11" ht="15" x14ac:dyDescent="0.25">
      <c r="A3095" s="3" t="str">
        <f>HYPERLINK("proteomic_fractions_linear_files/Yang_linear_img/19526970.jpg", "19526970")</f>
        <v>19526970</v>
      </c>
      <c r="C3095" s="3" t="str">
        <f>HYPERLINK("http://www.ncbi.nlm.nih.gov/protein/19526970","Gpn1")</f>
        <v>Gpn1</v>
      </c>
      <c r="E3095" t="str">
        <f>HYPERLINK("J:\Depot - mpkCCD Fractions\Main Web Page\Web Pages_old\proteomic_fractions_linear_files/Yang_linear_img/19526970.jpg","show blot")</f>
        <v>show blot</v>
      </c>
      <c r="G3095" t="s">
        <v>2979</v>
      </c>
      <c r="I3095" s="6">
        <v>4.0081907944797042</v>
      </c>
      <c r="K3095" s="8"/>
    </row>
    <row r="3096" spans="1:11" ht="15" x14ac:dyDescent="0.25">
      <c r="A3096" s="3" t="str">
        <f>HYPERLINK("proteomic_fractions_linear_files/Yang_linear_img/21312642.jpg", "21312642")</f>
        <v>21312642</v>
      </c>
      <c r="C3096" s="3" t="str">
        <f>HYPERLINK("http://www.ncbi.nlm.nih.gov/protein/21312642","Gpn3")</f>
        <v>Gpn3</v>
      </c>
      <c r="E3096" t="str">
        <f>HYPERLINK("J:\Depot - mpkCCD Fractions\Main Web Page\Web Pages_old\proteomic_fractions_linear_files/Yang_linear_img/21312642.jpg","show blot")</f>
        <v>show blot</v>
      </c>
      <c r="G3096" t="s">
        <v>2980</v>
      </c>
      <c r="I3096" s="6">
        <v>4.0523693093320157</v>
      </c>
      <c r="K3096" s="8"/>
    </row>
    <row r="3097" spans="1:11" ht="15" x14ac:dyDescent="0.25">
      <c r="A3097" s="3" t="str">
        <f>HYPERLINK("proteomic_fractions_linear_files/Yang_linear_img/254692915.jpg", "254692915")</f>
        <v>254692915</v>
      </c>
      <c r="C3097" s="3" t="str">
        <f>HYPERLINK("http://www.ncbi.nlm.nih.gov/protein/254692915","Gpr107")</f>
        <v>Gpr107</v>
      </c>
      <c r="E3097" t="str">
        <f>HYPERLINK("J:\Depot - mpkCCD Fractions\Main Web Page\Web Pages_old\proteomic_fractions_linear_files/Yang_linear_img/254692915.jpg","show blot")</f>
        <v>show blot</v>
      </c>
      <c r="G3097" t="s">
        <v>2981</v>
      </c>
      <c r="I3097" s="6">
        <v>1.8912297610865874</v>
      </c>
      <c r="K3097" s="8"/>
    </row>
    <row r="3098" spans="1:11" ht="15" x14ac:dyDescent="0.25">
      <c r="A3098" s="3" t="str">
        <f>HYPERLINK("proteomic_fractions_linear_files/Yang_linear_img/50428577.jpg", "50428577")</f>
        <v>50428577</v>
      </c>
      <c r="C3098" s="3" t="str">
        <f>HYPERLINK("http://www.ncbi.nlm.nih.gov/protein/50428577","Gpr126")</f>
        <v>Gpr126</v>
      </c>
      <c r="E3098" t="str">
        <f>HYPERLINK("J:\Depot - mpkCCD Fractions\Main Web Page\Web Pages_old\proteomic_fractions_linear_files/Yang_linear_img/50428577.jpg","show blot")</f>
        <v>show blot</v>
      </c>
      <c r="G3098" t="s">
        <v>2982</v>
      </c>
      <c r="I3098" s="6">
        <v>2.3226786226264493</v>
      </c>
      <c r="K3098" s="8"/>
    </row>
    <row r="3099" spans="1:11" ht="15" x14ac:dyDescent="0.25">
      <c r="A3099" s="3" t="str">
        <f>HYPERLINK("proteomic_fractions_linear_files/Yang_linear_img/226442795.jpg", "226442795")</f>
        <v>226442795</v>
      </c>
      <c r="C3099" s="3" t="str">
        <f>HYPERLINK("http://www.ncbi.nlm.nih.gov/protein/226442795","Gpr39")</f>
        <v>Gpr39</v>
      </c>
      <c r="E3099" t="str">
        <f>HYPERLINK("J:\Depot - mpkCCD Fractions\Main Web Page\Web Pages_old\proteomic_fractions_linear_files/Yang_linear_img/226442795.jpg","show blot")</f>
        <v>show blot</v>
      </c>
      <c r="G3099" t="s">
        <v>2983</v>
      </c>
      <c r="I3099" s="6">
        <v>2.7154789916460755</v>
      </c>
      <c r="K3099" s="8"/>
    </row>
    <row r="3100" spans="1:11" ht="15" x14ac:dyDescent="0.25">
      <c r="A3100" s="3" t="str">
        <f>HYPERLINK("proteomic_fractions_linear_files/Yang_linear_img/31982718.jpg", "31982718")</f>
        <v>31982718</v>
      </c>
      <c r="C3100" s="3" t="str">
        <f>HYPERLINK("http://www.ncbi.nlm.nih.gov/protein/31982718","Gpr56")</f>
        <v>Gpr56</v>
      </c>
      <c r="E3100" t="str">
        <f>HYPERLINK("J:\Depot - mpkCCD Fractions\Main Web Page\Web Pages_old\proteomic_fractions_linear_files/Yang_linear_img/31982718.jpg","show blot")</f>
        <v>show blot</v>
      </c>
      <c r="G3100" t="s">
        <v>2984</v>
      </c>
      <c r="I3100" s="6">
        <v>4.789551887162907</v>
      </c>
      <c r="K3100" s="8"/>
    </row>
    <row r="3101" spans="1:11" ht="15" x14ac:dyDescent="0.25">
      <c r="A3101" s="3" t="str">
        <f>HYPERLINK("proteomic_fractions_linear_files/Yang_linear_img/21312914.jpg", "21312914")</f>
        <v>21312914</v>
      </c>
      <c r="C3101" s="3" t="str">
        <f>HYPERLINK("http://www.ncbi.nlm.nih.gov/protein/21312914","Gpr89")</f>
        <v>Gpr89</v>
      </c>
      <c r="E3101" t="str">
        <f>HYPERLINK("J:\Depot - mpkCCD Fractions\Main Web Page\Web Pages_old\proteomic_fractions_linear_files/Yang_linear_img/21312914.jpg","show blot")</f>
        <v>show blot</v>
      </c>
      <c r="G3101" t="s">
        <v>2985</v>
      </c>
      <c r="I3101" s="6">
        <v>2.5396204610038215</v>
      </c>
      <c r="K3101" s="8"/>
    </row>
    <row r="3102" spans="1:11" ht="15" x14ac:dyDescent="0.25">
      <c r="A3102" s="3" t="str">
        <f>HYPERLINK("proteomic_fractions_linear_files/Yang_linear_img/153791474.jpg", "153791474")</f>
        <v>153791474</v>
      </c>
      <c r="C3102" s="3" t="str">
        <f>HYPERLINK("http://www.ncbi.nlm.nih.gov/protein/153791474","Gpr98")</f>
        <v>Gpr98</v>
      </c>
      <c r="E3102" t="str">
        <f>HYPERLINK("J:\Depot - mpkCCD Fractions\Main Web Page\Web Pages_old\proteomic_fractions_linear_files/Yang_linear_img/153791474.jpg","show blot")</f>
        <v>show blot</v>
      </c>
      <c r="G3102" t="s">
        <v>2986</v>
      </c>
      <c r="I3102" s="6">
        <v>2.4077989087513063</v>
      </c>
      <c r="K3102" s="8"/>
    </row>
    <row r="3103" spans="1:11" ht="15" x14ac:dyDescent="0.25">
      <c r="A3103" s="3" t="str">
        <f>HYPERLINK("proteomic_fractions_linear_files/Yang_linear_img/225543465.jpg", "225543465")</f>
        <v>225543465</v>
      </c>
      <c r="C3103" s="3" t="str">
        <f>HYPERLINK("http://www.ncbi.nlm.nih.gov/protein/225543465","Gprc5a")</f>
        <v>Gprc5a</v>
      </c>
      <c r="E3103" t="str">
        <f>HYPERLINK("J:\Depot - mpkCCD Fractions\Main Web Page\Web Pages_old\proteomic_fractions_linear_files/Yang_linear_img/225543465.jpg","show blot")</f>
        <v>show blot</v>
      </c>
      <c r="G3103" t="s">
        <v>2987</v>
      </c>
      <c r="I3103" s="6">
        <v>5.5253376203780356</v>
      </c>
      <c r="K3103" s="8"/>
    </row>
    <row r="3104" spans="1:11" ht="15" x14ac:dyDescent="0.25">
      <c r="A3104" s="3" t="str">
        <f>HYPERLINK("proteomic_fractions_linear_files/Yang_linear_img/160333231.jpg", "160333231")</f>
        <v>160333231</v>
      </c>
      <c r="C3104" s="3" t="str">
        <f>HYPERLINK("http://www.ncbi.nlm.nih.gov/protein/160333231","Gprc5c")</f>
        <v>Gprc5c</v>
      </c>
      <c r="E3104" t="str">
        <f>HYPERLINK("J:\Depot - mpkCCD Fractions\Main Web Page\Web Pages_old\proteomic_fractions_linear_files/Yang_linear_img/160333231.jpg","show blot")</f>
        <v>show blot</v>
      </c>
      <c r="G3104" t="s">
        <v>2988</v>
      </c>
      <c r="I3104" s="6">
        <v>5.7261974557409792</v>
      </c>
      <c r="K3104" s="8"/>
    </row>
    <row r="3105" spans="1:11" ht="15" x14ac:dyDescent="0.25">
      <c r="A3105" s="3" t="str">
        <f>HYPERLINK("proteomic_fractions_linear_files/Yang_linear_img/160333233.jpg", "160333233")</f>
        <v>160333233</v>
      </c>
      <c r="C3105" s="3" t="str">
        <f>HYPERLINK("http://www.ncbi.nlm.nih.gov/protein/160333233","Gprc5c")</f>
        <v>Gprc5c</v>
      </c>
      <c r="E3105" t="str">
        <f>HYPERLINK("J:\Depot - mpkCCD Fractions\Main Web Page\Web Pages_old\proteomic_fractions_linear_files/Yang_linear_img/160333233.jpg","show blot")</f>
        <v>show blot</v>
      </c>
      <c r="G3105" t="s">
        <v>2989</v>
      </c>
      <c r="I3105" s="6">
        <v>5.7261974557409792</v>
      </c>
      <c r="K3105" s="8"/>
    </row>
    <row r="3106" spans="1:11" ht="15" x14ac:dyDescent="0.25">
      <c r="A3106" s="3" t="str">
        <f>HYPERLINK("proteomic_fractions_linear_files/Yang_linear_img/295424137.jpg", "295424137")</f>
        <v>295424137</v>
      </c>
      <c r="C3106" s="3" t="str">
        <f>HYPERLINK("http://www.ncbi.nlm.nih.gov/protein/295424137","Gps1")</f>
        <v>Gps1</v>
      </c>
      <c r="E3106" t="str">
        <f>HYPERLINK("J:\Depot - mpkCCD Fractions\Main Web Page\Web Pages_old\proteomic_fractions_linear_files/Yang_linear_img/295424137.jpg","show blot")</f>
        <v>show blot</v>
      </c>
      <c r="G3106" t="s">
        <v>2990</v>
      </c>
      <c r="I3106" s="6">
        <v>5.6269105895417617</v>
      </c>
      <c r="K3106" s="8"/>
    </row>
    <row r="3107" spans="1:11" ht="15" x14ac:dyDescent="0.25">
      <c r="A3107" s="3" t="str">
        <f>HYPERLINK("proteomic_fractions_linear_files/Yang_linear_img/295424139.jpg", "295424139")</f>
        <v>295424139</v>
      </c>
      <c r="C3107" s="3" t="str">
        <f>HYPERLINK("http://www.ncbi.nlm.nih.gov/protein/295424139","Gps1")</f>
        <v>Gps1</v>
      </c>
      <c r="E3107" t="str">
        <f>HYPERLINK("J:\Depot - mpkCCD Fractions\Main Web Page\Web Pages_old\proteomic_fractions_linear_files/Yang_linear_img/295424139.jpg","show blot")</f>
        <v>show blot</v>
      </c>
      <c r="G3107" t="s">
        <v>2991</v>
      </c>
      <c r="I3107" s="6">
        <v>5.6269105895417617</v>
      </c>
      <c r="K3107" s="8"/>
    </row>
    <row r="3108" spans="1:11" ht="15" x14ac:dyDescent="0.25">
      <c r="A3108" s="3" t="str">
        <f>HYPERLINK("proteomic_fractions_linear_files/Yang_linear_img/33413404.jpg", "33413404")</f>
        <v>33413404</v>
      </c>
      <c r="C3108" s="3" t="str">
        <f>HYPERLINK("http://www.ncbi.nlm.nih.gov/protein/33413404","Gpt")</f>
        <v>Gpt</v>
      </c>
      <c r="E3108" t="str">
        <f>HYPERLINK("J:\Depot - mpkCCD Fractions\Main Web Page\Web Pages_old\proteomic_fractions_linear_files/Yang_linear_img/33413404.jpg","show blot")</f>
        <v>show blot</v>
      </c>
      <c r="G3108" t="s">
        <v>2992</v>
      </c>
      <c r="I3108" s="6">
        <v>4.6396617348577607</v>
      </c>
      <c r="K3108" s="8"/>
    </row>
    <row r="3109" spans="1:11" ht="15" x14ac:dyDescent="0.25">
      <c r="A3109" s="3" t="str">
        <f>HYPERLINK("proteomic_fractions_linear_files/Yang_linear_img/84871986.jpg", "84871986")</f>
        <v>84871986</v>
      </c>
      <c r="C3109" s="3" t="str">
        <f>HYPERLINK("http://www.ncbi.nlm.nih.gov/protein/84871986","Gpx1")</f>
        <v>Gpx1</v>
      </c>
      <c r="E3109" t="str">
        <f>HYPERLINK("J:\Depot - mpkCCD Fractions\Main Web Page\Web Pages_old\proteomic_fractions_linear_files/Yang_linear_img/84871986.jpg","show blot")</f>
        <v>show blot</v>
      </c>
      <c r="G3109" t="s">
        <v>2993</v>
      </c>
      <c r="I3109" s="6">
        <v>6.237441838585827</v>
      </c>
      <c r="K3109" s="8"/>
    </row>
    <row r="3110" spans="1:11" ht="15" x14ac:dyDescent="0.25">
      <c r="A3110" s="3" t="str">
        <f>HYPERLINK("proteomic_fractions_linear_files/Yang_linear_img/90903233.jpg", "90903233")</f>
        <v>90903233</v>
      </c>
      <c r="C3110" s="3" t="str">
        <f>HYPERLINK("http://www.ncbi.nlm.nih.gov/protein/90903233","Gpx4")</f>
        <v>Gpx4</v>
      </c>
      <c r="E3110" t="str">
        <f>HYPERLINK("J:\Depot - mpkCCD Fractions\Main Web Page\Web Pages_old\proteomic_fractions_linear_files/Yang_linear_img/90903233.jpg","show blot")</f>
        <v>show blot</v>
      </c>
      <c r="G3110" t="s">
        <v>2994</v>
      </c>
      <c r="I3110" s="6">
        <v>6.00787946873759</v>
      </c>
      <c r="K3110" s="8"/>
    </row>
    <row r="3111" spans="1:11" ht="15" x14ac:dyDescent="0.25">
      <c r="A3111" s="3" t="str">
        <f>HYPERLINK("proteomic_fractions_linear_files/Yang_linear_img/90903235.jpg", "90903235")</f>
        <v>90903235</v>
      </c>
      <c r="C3111" s="3" t="str">
        <f>HYPERLINK("http://www.ncbi.nlm.nih.gov/protein/90903235","Gpx4")</f>
        <v>Gpx4</v>
      </c>
      <c r="E3111" t="str">
        <f>HYPERLINK("J:\Depot - mpkCCD Fractions\Main Web Page\Web Pages_old\proteomic_fractions_linear_files/Yang_linear_img/90903235.jpg","show blot")</f>
        <v>show blot</v>
      </c>
      <c r="G3111" t="s">
        <v>2995</v>
      </c>
      <c r="I3111" s="6">
        <v>6.00787946873759</v>
      </c>
      <c r="K3111" s="8"/>
    </row>
    <row r="3112" spans="1:11" ht="15" x14ac:dyDescent="0.25">
      <c r="A3112" s="3" t="str">
        <f>HYPERLINK("proteomic_fractions_linear_files/Yang_linear_img/27369870.jpg", "27369870")</f>
        <v>27369870</v>
      </c>
      <c r="C3112" s="3" t="str">
        <f>HYPERLINK("http://www.ncbi.nlm.nih.gov/protein/27369870","Gramd4")</f>
        <v>Gramd4</v>
      </c>
      <c r="E3112" t="str">
        <f>HYPERLINK("J:\Depot - mpkCCD Fractions\Main Web Page\Web Pages_old\proteomic_fractions_linear_files/Yang_linear_img/27369870.jpg","show blot")</f>
        <v>show blot</v>
      </c>
      <c r="G3112" t="s">
        <v>2996</v>
      </c>
      <c r="I3112" s="6">
        <v>3.0323289781272251</v>
      </c>
      <c r="K3112" s="8"/>
    </row>
    <row r="3113" spans="1:11" ht="15" x14ac:dyDescent="0.25">
      <c r="A3113" s="3" t="str">
        <f>HYPERLINK("proteomic_fractions_linear_files/Yang_linear_img/329663552.jpg", "329663552")</f>
        <v>329663552</v>
      </c>
      <c r="C3113" s="3" t="str">
        <f>HYPERLINK("http://www.ncbi.nlm.nih.gov/protein/329663552","Gramd4")</f>
        <v>Gramd4</v>
      </c>
      <c r="E3113" t="str">
        <f>HYPERLINK("J:\Depot - mpkCCD Fractions\Main Web Page\Web Pages_old\proteomic_fractions_linear_files/Yang_linear_img/329663552.jpg","show blot")</f>
        <v>show blot</v>
      </c>
      <c r="G3113" t="s">
        <v>2997</v>
      </c>
      <c r="I3113" s="6">
        <v>3.0323289781272251</v>
      </c>
      <c r="K3113" s="8"/>
    </row>
    <row r="3114" spans="1:11" ht="15" x14ac:dyDescent="0.25">
      <c r="A3114" s="3" t="str">
        <f>HYPERLINK("proteomic_fractions_linear_files/Yang_linear_img/6680083.jpg", "6680083")</f>
        <v>6680083</v>
      </c>
      <c r="C3114" s="3" t="str">
        <f>HYPERLINK("http://www.ncbi.nlm.nih.gov/protein/6680083","Grb2")</f>
        <v>Grb2</v>
      </c>
      <c r="E3114" t="str">
        <f>HYPERLINK("J:\Depot - mpkCCD Fractions\Main Web Page\Web Pages_old\proteomic_fractions_linear_files/Yang_linear_img/6680083.jpg","show blot")</f>
        <v>show blot</v>
      </c>
      <c r="G3114" t="s">
        <v>2998</v>
      </c>
      <c r="I3114" s="6">
        <v>5.276355940461622</v>
      </c>
      <c r="K3114" s="8"/>
    </row>
    <row r="3115" spans="1:11" ht="15" x14ac:dyDescent="0.25">
      <c r="A3115" s="3" t="str">
        <f>HYPERLINK("proteomic_fractions_linear_files/Yang_linear_img/6754066.jpg", "6754066")</f>
        <v>6754066</v>
      </c>
      <c r="C3115" s="3" t="str">
        <f>HYPERLINK("http://www.ncbi.nlm.nih.gov/protein/6754066","Grb7")</f>
        <v>Grb7</v>
      </c>
      <c r="E3115" t="str">
        <f>HYPERLINK("J:\Depot - mpkCCD Fractions\Main Web Page\Web Pages_old\proteomic_fractions_linear_files/Yang_linear_img/6754066.jpg","show blot")</f>
        <v>show blot</v>
      </c>
      <c r="G3115" t="s">
        <v>2999</v>
      </c>
      <c r="I3115" s="6">
        <v>4.574890024877706</v>
      </c>
      <c r="K3115" s="8"/>
    </row>
    <row r="3116" spans="1:11" ht="15" x14ac:dyDescent="0.25">
      <c r="A3116" s="3" t="str">
        <f>HYPERLINK("proteomic_fractions_linear_files/Yang_linear_img/7305107.jpg", "7305107")</f>
        <v>7305107</v>
      </c>
      <c r="C3116" s="3" t="str">
        <f>HYPERLINK("http://www.ncbi.nlm.nih.gov/protein/7305107","Grcc10")</f>
        <v>Grcc10</v>
      </c>
      <c r="E3116" t="str">
        <f>HYPERLINK("J:\Depot - mpkCCD Fractions\Main Web Page\Web Pages_old\proteomic_fractions_linear_files/Yang_linear_img/7305107.jpg","show blot")</f>
        <v>show blot</v>
      </c>
      <c r="G3116" t="s">
        <v>3000</v>
      </c>
      <c r="I3116" s="6">
        <v>4.934292743829606</v>
      </c>
      <c r="K3116" s="8"/>
    </row>
    <row r="3117" spans="1:11" ht="15" x14ac:dyDescent="0.25">
      <c r="A3117" s="3" t="str">
        <f>HYPERLINK("proteomic_fractions_linear_files/Yang_linear_img/46810275.jpg", "46810275")</f>
        <v>46810275</v>
      </c>
      <c r="C3117" s="3" t="str">
        <f>HYPERLINK("http://www.ncbi.nlm.nih.gov/protein/46810275","Grhl2")</f>
        <v>Grhl2</v>
      </c>
      <c r="E3117" t="str">
        <f>HYPERLINK("J:\Depot - mpkCCD Fractions\Main Web Page\Web Pages_old\proteomic_fractions_linear_files/Yang_linear_img/46810275.jpg","show blot")</f>
        <v>show blot</v>
      </c>
      <c r="G3117" t="s">
        <v>3001</v>
      </c>
      <c r="I3117" s="6">
        <v>2.4541986399324034</v>
      </c>
      <c r="K3117" s="8"/>
    </row>
    <row r="3118" spans="1:11" ht="15" x14ac:dyDescent="0.25">
      <c r="A3118" s="3" t="str">
        <f>HYPERLINK("proteomic_fractions_linear_files/Yang_linear_img/17933768.jpg", "17933768")</f>
        <v>17933768</v>
      </c>
      <c r="C3118" s="3" t="str">
        <f>HYPERLINK("http://www.ncbi.nlm.nih.gov/protein/17933768","Grhpr")</f>
        <v>Grhpr</v>
      </c>
      <c r="E3118" t="str">
        <f>HYPERLINK("J:\Depot - mpkCCD Fractions\Main Web Page\Web Pages_old\proteomic_fractions_linear_files/Yang_linear_img/17933768.jpg","show blot")</f>
        <v>show blot</v>
      </c>
      <c r="G3118" t="s">
        <v>3002</v>
      </c>
      <c r="I3118" s="6">
        <v>5.8488270456404079</v>
      </c>
      <c r="K3118" s="8"/>
    </row>
    <row r="3119" spans="1:11" ht="15" x14ac:dyDescent="0.25">
      <c r="A3119" s="3" t="str">
        <f>HYPERLINK("proteomic_fractions_linear_files/Yang_linear_img/6680091.jpg", "6680091")</f>
        <v>6680091</v>
      </c>
      <c r="C3119" s="3" t="str">
        <f>HYPERLINK("http://www.ncbi.nlm.nih.gov/protein/6680091","Grid2")</f>
        <v>Grid2</v>
      </c>
      <c r="E3119" t="str">
        <f>HYPERLINK("J:\Depot - mpkCCD Fractions\Main Web Page\Web Pages_old\proteomic_fractions_linear_files/Yang_linear_img/6680091.jpg","show blot")</f>
        <v>show blot</v>
      </c>
      <c r="G3119" t="s">
        <v>3003</v>
      </c>
      <c r="I3119" s="6">
        <v>2.3962152027567121</v>
      </c>
      <c r="K3119" s="8"/>
    </row>
    <row r="3120" spans="1:11" ht="15" x14ac:dyDescent="0.25">
      <c r="A3120" s="3" t="str">
        <f>HYPERLINK("proteomic_fractions_linear_files/Yang_linear_img/144922606.jpg", "144922606")</f>
        <v>144922606</v>
      </c>
      <c r="C3120" s="3" t="str">
        <f>HYPERLINK("http://www.ncbi.nlm.nih.gov/protein/144922606","Grin2d")</f>
        <v>Grin2d</v>
      </c>
      <c r="E3120" t="str">
        <f>HYPERLINK("J:\Depot - mpkCCD Fractions\Main Web Page\Web Pages_old\proteomic_fractions_linear_files/Yang_linear_img/144922606.jpg","show blot")</f>
        <v>show blot</v>
      </c>
      <c r="G3120" t="s">
        <v>3004</v>
      </c>
      <c r="I3120" s="6">
        <v>2.0484418035504044</v>
      </c>
      <c r="K3120" s="8"/>
    </row>
    <row r="3121" spans="1:11" ht="15" x14ac:dyDescent="0.25">
      <c r="A3121" s="3" t="str">
        <f>HYPERLINK("proteomic_fractions_linear_files/Yang_linear_img/46592839.jpg", "46592839")</f>
        <v>46592839</v>
      </c>
      <c r="C3121" s="3" t="str">
        <f>HYPERLINK("http://www.ncbi.nlm.nih.gov/protein/46592839","Gripap1")</f>
        <v>Gripap1</v>
      </c>
      <c r="E3121" t="str">
        <f>HYPERLINK("J:\Depot - mpkCCD Fractions\Main Web Page\Web Pages_old\proteomic_fractions_linear_files/Yang_linear_img/46592839.jpg","show blot")</f>
        <v>show blot</v>
      </c>
      <c r="G3121" t="s">
        <v>3005</v>
      </c>
      <c r="I3121" s="6">
        <v>4.233651893336825</v>
      </c>
      <c r="K3121" s="8"/>
    </row>
    <row r="3122" spans="1:11" ht="15" x14ac:dyDescent="0.25">
      <c r="A3122" s="3" t="str">
        <f>HYPERLINK("proteomic_fractions_linear_files/Yang_linear_img/75677442.jpg", "75677442")</f>
        <v>75677442</v>
      </c>
      <c r="C3122" s="3" t="str">
        <f>HYPERLINK("http://www.ncbi.nlm.nih.gov/protein/75677442","Grlf1")</f>
        <v>Grlf1</v>
      </c>
      <c r="E3122" t="str">
        <f>HYPERLINK("J:\Depot - mpkCCD Fractions\Main Web Page\Web Pages_old\proteomic_fractions_linear_files/Yang_linear_img/75677442.jpg","show blot")</f>
        <v>show blot</v>
      </c>
      <c r="G3122" t="s">
        <v>3006</v>
      </c>
      <c r="I3122" s="6">
        <v>3.4723831055578436</v>
      </c>
      <c r="K3122" s="8"/>
    </row>
    <row r="3123" spans="1:11" ht="15" x14ac:dyDescent="0.25">
      <c r="A3123" s="3" t="str">
        <f>HYPERLINK("proteomic_fractions_linear_files/Yang_linear_img/224967126.jpg", "224967126")</f>
        <v>224967126</v>
      </c>
      <c r="C3123" s="3" t="str">
        <f>HYPERLINK("http://www.ncbi.nlm.nih.gov/protein/224967126","Grn")</f>
        <v>Grn</v>
      </c>
      <c r="E3123" t="str">
        <f>HYPERLINK("J:\Depot - mpkCCD Fractions\Main Web Page\Web Pages_old\proteomic_fractions_linear_files/Yang_linear_img/224967126.jpg","show blot")</f>
        <v>show blot</v>
      </c>
      <c r="G3123" t="s">
        <v>3007</v>
      </c>
      <c r="I3123" s="6">
        <v>4.8626239392850534</v>
      </c>
      <c r="K3123" s="8"/>
    </row>
    <row r="3124" spans="1:11" ht="15" x14ac:dyDescent="0.25">
      <c r="A3124" s="3" t="str">
        <f>HYPERLINK("proteomic_fractions_linear_files/Yang_linear_img/13277394.jpg", "13277394")</f>
        <v>13277394</v>
      </c>
      <c r="C3124" s="3" t="str">
        <f>HYPERLINK("http://www.ncbi.nlm.nih.gov/protein/13277394","Grpel1")</f>
        <v>Grpel1</v>
      </c>
      <c r="E3124" t="str">
        <f>HYPERLINK("J:\Depot - mpkCCD Fractions\Main Web Page\Web Pages_old\proteomic_fractions_linear_files/Yang_linear_img/13277394.jpg","show blot")</f>
        <v>show blot</v>
      </c>
      <c r="G3124" t="s">
        <v>3008</v>
      </c>
      <c r="I3124" s="6">
        <v>5.6285533164489499</v>
      </c>
      <c r="K3124" s="8"/>
    </row>
    <row r="3125" spans="1:11" ht="15" x14ac:dyDescent="0.25">
      <c r="A3125" s="3" t="str">
        <f>HYPERLINK("proteomic_fractions_linear_files/Yang_linear_img/29789124.jpg", "29789124")</f>
        <v>29789124</v>
      </c>
      <c r="C3125" s="3" t="str">
        <f>HYPERLINK("http://www.ncbi.nlm.nih.gov/protein/29789124","Grpel2")</f>
        <v>Grpel2</v>
      </c>
      <c r="E3125" t="str">
        <f>HYPERLINK("J:\Depot - mpkCCD Fractions\Main Web Page\Web Pages_old\proteomic_fractions_linear_files/Yang_linear_img/29789124.jpg","show blot")</f>
        <v>show blot</v>
      </c>
      <c r="G3125" t="s">
        <v>3009</v>
      </c>
      <c r="I3125" s="6">
        <v>3.0147097727726391</v>
      </c>
      <c r="K3125" s="8"/>
    </row>
    <row r="3126" spans="1:11" ht="15" x14ac:dyDescent="0.25">
      <c r="A3126" s="3" t="str">
        <f>HYPERLINK("proteomic_fractions_linear_files/Yang_linear_img/148596934.jpg", "148596934")</f>
        <v>148596934</v>
      </c>
      <c r="C3126" s="3" t="str">
        <f>HYPERLINK("http://www.ncbi.nlm.nih.gov/protein/148596934","Grsf1")</f>
        <v>Grsf1</v>
      </c>
      <c r="E3126" t="str">
        <f>HYPERLINK("J:\Depot - mpkCCD Fractions\Main Web Page\Web Pages_old\proteomic_fractions_linear_files/Yang_linear_img/148596934.jpg","show blot")</f>
        <v>show blot</v>
      </c>
      <c r="G3126" t="s">
        <v>3010</v>
      </c>
      <c r="I3126" s="6">
        <v>3.9061335110857112</v>
      </c>
      <c r="K3126" s="8"/>
    </row>
    <row r="3127" spans="1:11" ht="15" x14ac:dyDescent="0.25">
      <c r="A3127" s="3" t="str">
        <f>HYPERLINK("proteomic_fractions_linear_files/Yang_linear_img/148596982.jpg", "148596982")</f>
        <v>148596982</v>
      </c>
      <c r="C3127" s="3" t="str">
        <f>HYPERLINK("http://www.ncbi.nlm.nih.gov/protein/148596982","Grsf1")</f>
        <v>Grsf1</v>
      </c>
      <c r="E3127" t="str">
        <f>HYPERLINK("J:\Depot - mpkCCD Fractions\Main Web Page\Web Pages_old\proteomic_fractions_linear_files/Yang_linear_img/148596982.jpg","show blot")</f>
        <v>show blot</v>
      </c>
      <c r="G3127" t="s">
        <v>3011</v>
      </c>
      <c r="I3127" s="6">
        <v>3.9061335110857112</v>
      </c>
      <c r="K3127" s="8"/>
    </row>
    <row r="3128" spans="1:11" ht="15" x14ac:dyDescent="0.25">
      <c r="A3128" s="3" t="str">
        <f>HYPERLINK("proteomic_fractions_linear_files/Yang_linear_img/163937861.jpg", "163937861")</f>
        <v>163937861</v>
      </c>
      <c r="C3128" s="3" t="str">
        <f>HYPERLINK("http://www.ncbi.nlm.nih.gov/protein/163937861","Grwd1")</f>
        <v>Grwd1</v>
      </c>
      <c r="E3128" t="str">
        <f>HYPERLINK("J:\Depot - mpkCCD Fractions\Main Web Page\Web Pages_old\proteomic_fractions_linear_files/Yang_linear_img/163937861.jpg","show blot")</f>
        <v>show blot</v>
      </c>
      <c r="G3128" t="s">
        <v>3012</v>
      </c>
      <c r="I3128" s="6">
        <v>4.4694857458942101</v>
      </c>
      <c r="K3128" s="8"/>
    </row>
    <row r="3129" spans="1:11" ht="15" x14ac:dyDescent="0.25">
      <c r="A3129" s="3" t="str">
        <f>HYPERLINK("proteomic_fractions_linear_files/Yang_linear_img/13878199.jpg", "13878199")</f>
        <v>13878199</v>
      </c>
      <c r="C3129" s="3" t="str">
        <f>HYPERLINK("http://www.ncbi.nlm.nih.gov/protein/13878199","Gsdmc")</f>
        <v>Gsdmc</v>
      </c>
      <c r="E3129" t="str">
        <f>HYPERLINK("J:\Depot - mpkCCD Fractions\Main Web Page\Web Pages_old\proteomic_fractions_linear_files/Yang_linear_img/13878199.jpg","show blot")</f>
        <v>show blot</v>
      </c>
      <c r="G3129" t="s">
        <v>3013</v>
      </c>
      <c r="I3129" s="6">
        <v>3.3318265883300753</v>
      </c>
      <c r="K3129" s="8"/>
    </row>
    <row r="3130" spans="1:11" ht="15" x14ac:dyDescent="0.25">
      <c r="A3130" s="3" t="str">
        <f>HYPERLINK("proteomic_fractions_linear_files/Yang_linear_img/269954726;269954702.jpg", "269954726;269954702")</f>
        <v>269954726;269954702</v>
      </c>
      <c r="C3130" s="3" t="str">
        <f>HYPERLINK("http://www.ncbi.nlm.nih.gov/protein/269954726;269954702","Gsdmc2")</f>
        <v>Gsdmc2</v>
      </c>
      <c r="E3130" t="str">
        <f>HYPERLINK("J:\Depot - mpkCCD Fractions\Main Web Page\Web Pages_old\proteomic_fractions_linear_files/Yang_linear_img/269954726;269954702.jpg","show blot")</f>
        <v>show blot</v>
      </c>
      <c r="G3130" t="s">
        <v>3014</v>
      </c>
      <c r="I3130" s="6">
        <v>6.2066842100320745</v>
      </c>
      <c r="K3130" s="8"/>
    </row>
    <row r="3131" spans="1:11" ht="15" x14ac:dyDescent="0.25">
      <c r="A3131" s="3" t="str">
        <f>HYPERLINK("proteomic_fractions_linear_files/Yang_linear_img/269954702.jpg", "269954702")</f>
        <v>269954702</v>
      </c>
      <c r="C3131" s="3" t="str">
        <f>HYPERLINK("http://www.ncbi.nlm.nih.gov/protein/269954702","Gsdmc2")</f>
        <v>Gsdmc2</v>
      </c>
      <c r="E3131" t="str">
        <f>HYPERLINK("J:\Depot - mpkCCD Fractions\Main Web Page\Web Pages_old\proteomic_fractions_linear_files/Yang_linear_img/269954702.jpg","show blot")</f>
        <v>show blot</v>
      </c>
      <c r="G3131" t="s">
        <v>3014</v>
      </c>
      <c r="I3131" s="6">
        <v>6.2066842100320745</v>
      </c>
      <c r="K3131" s="8"/>
    </row>
    <row r="3132" spans="1:11" ht="15" x14ac:dyDescent="0.25">
      <c r="A3132" s="3" t="str">
        <f>HYPERLINK("proteomic_fractions_linear_files/Yang_linear_img/226053537.jpg", "226053537")</f>
        <v>226053537</v>
      </c>
      <c r="C3132" s="3" t="str">
        <f>HYPERLINK("http://www.ncbi.nlm.nih.gov/protein/226053537","Gsdmc3")</f>
        <v>Gsdmc3</v>
      </c>
      <c r="E3132" t="str">
        <f>HYPERLINK("J:\Depot - mpkCCD Fractions\Main Web Page\Web Pages_old\proteomic_fractions_linear_files/Yang_linear_img/226053537.jpg","show blot")</f>
        <v>show blot</v>
      </c>
      <c r="G3132" t="s">
        <v>3015</v>
      </c>
      <c r="I3132" s="6">
        <v>6.2910152142024742</v>
      </c>
      <c r="K3132" s="8"/>
    </row>
    <row r="3133" spans="1:11" ht="15" x14ac:dyDescent="0.25">
      <c r="A3133" s="3" t="str">
        <f>HYPERLINK("proteomic_fractions_linear_files/Yang_linear_img/254675345.jpg", "254675345")</f>
        <v>254675345</v>
      </c>
      <c r="C3133" s="3" t="str">
        <f>HYPERLINK("http://www.ncbi.nlm.nih.gov/protein/254675345","Gsdmc4")</f>
        <v>Gsdmc4</v>
      </c>
      <c r="E3133" t="str">
        <f>HYPERLINK("J:\Depot - mpkCCD Fractions\Main Web Page\Web Pages_old\proteomic_fractions_linear_files/Yang_linear_img/254675345.jpg","show blot")</f>
        <v>show blot</v>
      </c>
      <c r="G3133" t="s">
        <v>3016</v>
      </c>
      <c r="I3133" s="6">
        <v>6.1871044290374178</v>
      </c>
      <c r="K3133" s="8"/>
    </row>
    <row r="3134" spans="1:11" ht="15" x14ac:dyDescent="0.25">
      <c r="A3134" s="3" t="str">
        <f>HYPERLINK("proteomic_fractions_linear_files/Yang_linear_img/72384361.jpg", "72384361")</f>
        <v>72384361</v>
      </c>
      <c r="C3134" s="3" t="str">
        <f>HYPERLINK("http://www.ncbi.nlm.nih.gov/protein/72384361","Gsk3a")</f>
        <v>Gsk3a</v>
      </c>
      <c r="E3134" t="str">
        <f>HYPERLINK("J:\Depot - mpkCCD Fractions\Main Web Page\Web Pages_old\proteomic_fractions_linear_files/Yang_linear_img/72384361.jpg","show blot")</f>
        <v>show blot</v>
      </c>
      <c r="G3134" t="s">
        <v>3017</v>
      </c>
      <c r="I3134" s="6">
        <v>4.317185754336804</v>
      </c>
      <c r="K3134" s="8"/>
    </row>
    <row r="3135" spans="1:11" ht="15" x14ac:dyDescent="0.25">
      <c r="A3135" s="3" t="str">
        <f>HYPERLINK("proteomic_fractions_linear_files/Yang_linear_img/9790077.jpg", "9790077")</f>
        <v>9790077</v>
      </c>
      <c r="C3135" s="3" t="str">
        <f>HYPERLINK("http://www.ncbi.nlm.nih.gov/protein/9790077","Gsk3b")</f>
        <v>Gsk3b</v>
      </c>
      <c r="E3135" t="str">
        <f>HYPERLINK("J:\Depot - mpkCCD Fractions\Main Web Page\Web Pages_old\proteomic_fractions_linear_files/Yang_linear_img/9790077.jpg","show blot")</f>
        <v>show blot</v>
      </c>
      <c r="G3135" t="s">
        <v>3018</v>
      </c>
      <c r="I3135" s="6">
        <v>5.3214903544056531</v>
      </c>
      <c r="K3135" s="8"/>
    </row>
    <row r="3136" spans="1:11" ht="15" x14ac:dyDescent="0.25">
      <c r="A3136" s="3" t="str">
        <f>HYPERLINK("proteomic_fractions_linear_files/Yang_linear_img/115292450.jpg", "115292450")</f>
        <v>115292450</v>
      </c>
      <c r="C3136" s="3" t="str">
        <f>HYPERLINK("http://www.ncbi.nlm.nih.gov/protein/115292450","Gskip")</f>
        <v>Gskip</v>
      </c>
      <c r="E3136" t="str">
        <f>HYPERLINK("J:\Depot - mpkCCD Fractions\Main Web Page\Web Pages_old\proteomic_fractions_linear_files/Yang_linear_img/115292450.jpg","show blot")</f>
        <v>show blot</v>
      </c>
      <c r="G3136" t="s">
        <v>3019</v>
      </c>
      <c r="I3136" s="6">
        <v>4.1474767337022218</v>
      </c>
      <c r="K3136" s="8"/>
    </row>
    <row r="3137" spans="1:11" ht="15" x14ac:dyDescent="0.25">
      <c r="A3137" s="3" t="str">
        <f>HYPERLINK("proteomic_fractions_linear_files/Yang_linear_img/329755243;329755239.jpg", "329755243;329755239")</f>
        <v>329755243;329755239</v>
      </c>
      <c r="C3137" s="3" t="str">
        <f>HYPERLINK("http://www.ncbi.nlm.nih.gov/protein/329755243;329755239","Gsn")</f>
        <v>Gsn</v>
      </c>
      <c r="E3137" t="str">
        <f>HYPERLINK("J:\Depot - mpkCCD Fractions\Main Web Page\Web Pages_old\proteomic_fractions_linear_files/Yang_linear_img/329755243;329755239.jpg","show blot")</f>
        <v>show blot</v>
      </c>
      <c r="G3137" t="s">
        <v>3020</v>
      </c>
      <c r="I3137" s="6">
        <v>6.1167322425720414</v>
      </c>
      <c r="K3137" s="8"/>
    </row>
    <row r="3138" spans="1:11" ht="15" x14ac:dyDescent="0.25">
      <c r="A3138" s="3" t="str">
        <f>HYPERLINK("proteomic_fractions_linear_files/Yang_linear_img/329755239.jpg", "329755239")</f>
        <v>329755239</v>
      </c>
      <c r="C3138" s="3" t="str">
        <f>HYPERLINK("http://www.ncbi.nlm.nih.gov/protein/329755239","Gsn")</f>
        <v>Gsn</v>
      </c>
      <c r="E3138" t="str">
        <f>HYPERLINK("J:\Depot - mpkCCD Fractions\Main Web Page\Web Pages_old\proteomic_fractions_linear_files/Yang_linear_img/329755239.jpg","show blot")</f>
        <v>show blot</v>
      </c>
      <c r="G3138" t="s">
        <v>3020</v>
      </c>
      <c r="I3138" s="6">
        <v>6.1167322425720414</v>
      </c>
      <c r="K3138" s="8"/>
    </row>
    <row r="3139" spans="1:11" ht="15" x14ac:dyDescent="0.25">
      <c r="A3139" s="3" t="str">
        <f>HYPERLINK("proteomic_fractions_linear_files/Yang_linear_img/28916693.jpg", "28916693")</f>
        <v>28916693</v>
      </c>
      <c r="C3139" s="3" t="str">
        <f>HYPERLINK("http://www.ncbi.nlm.nih.gov/protein/28916693","Gsn")</f>
        <v>Gsn</v>
      </c>
      <c r="E3139" t="str">
        <f>HYPERLINK("J:\Depot - mpkCCD Fractions\Main Web Page\Web Pages_old\proteomic_fractions_linear_files/Yang_linear_img/28916693.jpg","show blot")</f>
        <v>show blot</v>
      </c>
      <c r="G3139" t="s">
        <v>3021</v>
      </c>
      <c r="I3139" s="6">
        <v>6.1167322425720414</v>
      </c>
      <c r="K3139" s="8"/>
    </row>
    <row r="3140" spans="1:11" ht="15" x14ac:dyDescent="0.25">
      <c r="A3140" s="3" t="str">
        <f>HYPERLINK("proteomic_fractions_linear_files/Yang_linear_img/194018529.jpg", "194018529")</f>
        <v>194018529</v>
      </c>
      <c r="C3140" s="3" t="str">
        <f>HYPERLINK("http://www.ncbi.nlm.nih.gov/protein/194018529","Gspt1")</f>
        <v>Gspt1</v>
      </c>
      <c r="E3140" t="str">
        <f>HYPERLINK("J:\Depot - mpkCCD Fractions\Main Web Page\Web Pages_old\proteomic_fractions_linear_files/Yang_linear_img/194018529.jpg","show blot")</f>
        <v>show blot</v>
      </c>
      <c r="G3140" t="s">
        <v>3022</v>
      </c>
      <c r="I3140" s="6">
        <v>5.5362927263483659</v>
      </c>
      <c r="K3140" s="8"/>
    </row>
    <row r="3141" spans="1:11" ht="15" x14ac:dyDescent="0.25">
      <c r="A3141" s="3" t="str">
        <f>HYPERLINK("proteomic_fractions_linear_files/Yang_linear_img/194018533.jpg", "194018533")</f>
        <v>194018533</v>
      </c>
      <c r="C3141" s="3" t="str">
        <f>HYPERLINK("http://www.ncbi.nlm.nih.gov/protein/194018533","Gspt1")</f>
        <v>Gspt1</v>
      </c>
      <c r="E3141" t="str">
        <f>HYPERLINK("J:\Depot - mpkCCD Fractions\Main Web Page\Web Pages_old\proteomic_fractions_linear_files/Yang_linear_img/194018533.jpg","show blot")</f>
        <v>show blot</v>
      </c>
      <c r="G3141" t="s">
        <v>3023</v>
      </c>
      <c r="I3141" s="6">
        <v>5.5362927263483659</v>
      </c>
      <c r="K3141" s="8"/>
    </row>
    <row r="3142" spans="1:11" ht="15" x14ac:dyDescent="0.25">
      <c r="A3142" s="3" t="str">
        <f>HYPERLINK("proteomic_fractions_linear_files/Yang_linear_img/58331156.jpg", "58331156")</f>
        <v>58331156</v>
      </c>
      <c r="C3142" s="3" t="str">
        <f>HYPERLINK("http://www.ncbi.nlm.nih.gov/protein/58331156","Gspt2")</f>
        <v>Gspt2</v>
      </c>
      <c r="E3142" t="str">
        <f>HYPERLINK("J:\Depot - mpkCCD Fractions\Main Web Page\Web Pages_old\proteomic_fractions_linear_files/Yang_linear_img/58331156.jpg","show blot")</f>
        <v>show blot</v>
      </c>
      <c r="G3142" t="s">
        <v>3024</v>
      </c>
      <c r="I3142" s="6">
        <v>5.2217966601463921</v>
      </c>
      <c r="K3142" s="8"/>
    </row>
    <row r="3143" spans="1:11" ht="15" x14ac:dyDescent="0.25">
      <c r="A3143" s="3" t="str">
        <f>HYPERLINK("proteomic_fractions_linear_files/Yang_linear_img/160298213.jpg", "160298213")</f>
        <v>160298213</v>
      </c>
      <c r="C3143" s="3" t="str">
        <f>HYPERLINK("http://www.ncbi.nlm.nih.gov/protein/160298213","Gsr")</f>
        <v>Gsr</v>
      </c>
      <c r="E3143" t="str">
        <f>HYPERLINK("J:\Depot - mpkCCD Fractions\Main Web Page\Web Pages_old\proteomic_fractions_linear_files/Yang_linear_img/160298213.jpg","show blot")</f>
        <v>show blot</v>
      </c>
      <c r="G3143" t="s">
        <v>3025</v>
      </c>
      <c r="I3143" s="6">
        <v>6.3694431188553651</v>
      </c>
      <c r="K3143" s="8"/>
    </row>
    <row r="3144" spans="1:11" ht="15" x14ac:dyDescent="0.25">
      <c r="A3144" s="3" t="str">
        <f>HYPERLINK("proteomic_fractions_linear_files/Yang_linear_img/6680117.jpg", "6680117")</f>
        <v>6680117</v>
      </c>
      <c r="C3144" s="3" t="str">
        <f>HYPERLINK("http://www.ncbi.nlm.nih.gov/protein/6680117","Gss")</f>
        <v>Gss</v>
      </c>
      <c r="E3144" t="str">
        <f>HYPERLINK("J:\Depot - mpkCCD Fractions\Main Web Page\Web Pages_old\proteomic_fractions_linear_files/Yang_linear_img/6680117.jpg","show blot")</f>
        <v>show blot</v>
      </c>
      <c r="G3144" t="s">
        <v>3026</v>
      </c>
      <c r="I3144" s="6">
        <v>5.2662715889595235</v>
      </c>
      <c r="K3144" s="8"/>
    </row>
    <row r="3145" spans="1:11" ht="15" x14ac:dyDescent="0.25">
      <c r="A3145" s="3" t="str">
        <f>HYPERLINK("proteomic_fractions_linear_files/Yang_linear_img/154350202.jpg", "154350202")</f>
        <v>154350202</v>
      </c>
      <c r="C3145" s="3" t="str">
        <f>HYPERLINK("http://www.ncbi.nlm.nih.gov/protein/154350202","Gsta1")</f>
        <v>Gsta1</v>
      </c>
      <c r="E3145" t="str">
        <f>HYPERLINK("J:\Depot - mpkCCD Fractions\Main Web Page\Web Pages_old\proteomic_fractions_linear_files/Yang_linear_img/154350202.jpg","show blot")</f>
        <v>show blot</v>
      </c>
      <c r="G3145" t="s">
        <v>3027</v>
      </c>
      <c r="I3145" s="6">
        <v>5.6270578885781184</v>
      </c>
      <c r="K3145" s="8"/>
    </row>
    <row r="3146" spans="1:11" ht="15" x14ac:dyDescent="0.25">
      <c r="A3146" s="3" t="str">
        <f>HYPERLINK("proteomic_fractions_linear_files/Yang_linear_img/50263046.jpg", "50263046")</f>
        <v>50263046</v>
      </c>
      <c r="C3146" s="3" t="str">
        <f>HYPERLINK("http://www.ncbi.nlm.nih.gov/protein/50263046","Gsta2")</f>
        <v>Gsta2</v>
      </c>
      <c r="E3146" t="str">
        <f>HYPERLINK("J:\Depot - mpkCCD Fractions\Main Web Page\Web Pages_old\proteomic_fractions_linear_files/Yang_linear_img/50263046.jpg","show blot")</f>
        <v>show blot</v>
      </c>
      <c r="G3146" t="s">
        <v>3028</v>
      </c>
      <c r="I3146" s="6">
        <v>4.9921009365777431</v>
      </c>
      <c r="K3146" s="8"/>
    </row>
    <row r="3147" spans="1:11" ht="15" x14ac:dyDescent="0.25">
      <c r="A3147" s="3" t="str">
        <f>HYPERLINK("proteomic_fractions_linear_files/Yang_linear_img/31981724.jpg", "31981724")</f>
        <v>31981724</v>
      </c>
      <c r="C3147" s="3" t="str">
        <f>HYPERLINK("http://www.ncbi.nlm.nih.gov/protein/31981724","Gsta3")</f>
        <v>Gsta3</v>
      </c>
      <c r="E3147" t="str">
        <f>HYPERLINK("J:\Depot - mpkCCD Fractions\Main Web Page\Web Pages_old\proteomic_fractions_linear_files/Yang_linear_img/31981724.jpg","show blot")</f>
        <v>show blot</v>
      </c>
      <c r="G3147" t="s">
        <v>3029</v>
      </c>
      <c r="I3147" s="6">
        <v>5.9076147603610236</v>
      </c>
      <c r="K3147" s="8"/>
    </row>
    <row r="3148" spans="1:11" ht="15" x14ac:dyDescent="0.25">
      <c r="A3148" s="3" t="str">
        <f>HYPERLINK("proteomic_fractions_linear_files/Yang_linear_img/160298217.jpg", "160298217")</f>
        <v>160298217</v>
      </c>
      <c r="C3148" s="3" t="str">
        <f>HYPERLINK("http://www.ncbi.nlm.nih.gov/protein/160298217","Gsta4")</f>
        <v>Gsta4</v>
      </c>
      <c r="E3148" t="str">
        <f>HYPERLINK("J:\Depot - mpkCCD Fractions\Main Web Page\Web Pages_old\proteomic_fractions_linear_files/Yang_linear_img/160298217.jpg","show blot")</f>
        <v>show blot</v>
      </c>
      <c r="G3148" t="s">
        <v>3030</v>
      </c>
      <c r="I3148" s="6">
        <v>6.5732799088569491</v>
      </c>
      <c r="K3148" s="8"/>
    </row>
    <row r="3149" spans="1:11" ht="15" x14ac:dyDescent="0.25">
      <c r="A3149" s="3" t="str">
        <f>HYPERLINK("proteomic_fractions_linear_files/Yang_linear_img/21313138.jpg", "21313138")</f>
        <v>21313138</v>
      </c>
      <c r="C3149" s="3" t="str">
        <f>HYPERLINK("http://www.ncbi.nlm.nih.gov/protein/21313138","Gstk1")</f>
        <v>Gstk1</v>
      </c>
      <c r="E3149" t="str">
        <f>HYPERLINK("J:\Depot - mpkCCD Fractions\Main Web Page\Web Pages_old\proteomic_fractions_linear_files/Yang_linear_img/21313138.jpg","show blot")</f>
        <v>show blot</v>
      </c>
      <c r="G3149" t="s">
        <v>3031</v>
      </c>
      <c r="I3149" s="6">
        <v>4.9792824380034109</v>
      </c>
      <c r="K3149" s="8"/>
    </row>
    <row r="3150" spans="1:11" ht="15" x14ac:dyDescent="0.25">
      <c r="A3150" s="3" t="str">
        <f>HYPERLINK("proteomic_fractions_linear_files/Yang_linear_img/6754084.jpg", "6754084")</f>
        <v>6754084</v>
      </c>
      <c r="C3150" s="3" t="str">
        <f>HYPERLINK("http://www.ncbi.nlm.nih.gov/protein/6754084","Gstm1")</f>
        <v>Gstm1</v>
      </c>
      <c r="E3150" t="str">
        <f>HYPERLINK("J:\Depot - mpkCCD Fractions\Main Web Page\Web Pages_old\proteomic_fractions_linear_files/Yang_linear_img/6754084.jpg","show blot")</f>
        <v>show blot</v>
      </c>
      <c r="G3150" t="s">
        <v>3032</v>
      </c>
      <c r="I3150" s="6">
        <v>7.3907684034622054</v>
      </c>
      <c r="K3150" s="8"/>
    </row>
    <row r="3151" spans="1:11" ht="15" x14ac:dyDescent="0.25">
      <c r="A3151" s="3" t="str">
        <f>HYPERLINK("proteomic_fractions_linear_files/Yang_linear_img/6680121.jpg", "6680121")</f>
        <v>6680121</v>
      </c>
      <c r="C3151" s="3" t="str">
        <f>HYPERLINK("http://www.ncbi.nlm.nih.gov/protein/6680121","Gstm2")</f>
        <v>Gstm2</v>
      </c>
      <c r="E3151" t="str">
        <f>HYPERLINK("J:\Depot - mpkCCD Fractions\Main Web Page\Web Pages_old\proteomic_fractions_linear_files/Yang_linear_img/6680121.jpg","show blot")</f>
        <v>show blot</v>
      </c>
      <c r="G3151" t="s">
        <v>3033</v>
      </c>
      <c r="I3151" s="6">
        <v>7.2229402151404498</v>
      </c>
      <c r="K3151" s="8"/>
    </row>
    <row r="3152" spans="1:11" ht="15" x14ac:dyDescent="0.25">
      <c r="A3152" s="3" t="str">
        <f>HYPERLINK("proteomic_fractions_linear_files/Yang_linear_img/33468899.jpg", "33468899")</f>
        <v>33468899</v>
      </c>
      <c r="C3152" s="3" t="str">
        <f>HYPERLINK("http://www.ncbi.nlm.nih.gov/protein/33468899","Gstm3")</f>
        <v>Gstm3</v>
      </c>
      <c r="E3152" t="str">
        <f>HYPERLINK("J:\Depot - mpkCCD Fractions\Main Web Page\Web Pages_old\proteomic_fractions_linear_files/Yang_linear_img/33468899.jpg","show blot")</f>
        <v>show blot</v>
      </c>
      <c r="G3152" t="s">
        <v>3034</v>
      </c>
      <c r="I3152" s="6">
        <v>6.8976898155622024</v>
      </c>
      <c r="K3152" s="8"/>
    </row>
    <row r="3153" spans="1:11" ht="15" x14ac:dyDescent="0.25">
      <c r="A3153" s="3" t="str">
        <f>HYPERLINK("proteomic_fractions_linear_files/Yang_linear_img/238018082.jpg", "238018082")</f>
        <v>238018082</v>
      </c>
      <c r="C3153" s="3" t="str">
        <f>HYPERLINK("http://www.ncbi.nlm.nih.gov/protein/238018082","Gstm4")</f>
        <v>Gstm4</v>
      </c>
      <c r="E3153" t="str">
        <f>HYPERLINK("J:\Depot - mpkCCD Fractions\Main Web Page\Web Pages_old\proteomic_fractions_linear_files/Yang_linear_img/238018082.jpg","show blot")</f>
        <v>show blot</v>
      </c>
      <c r="G3153" t="s">
        <v>3035</v>
      </c>
      <c r="I3153" s="6">
        <v>6.8141205177000188</v>
      </c>
      <c r="K3153" s="8"/>
    </row>
    <row r="3154" spans="1:11" ht="15" x14ac:dyDescent="0.25">
      <c r="A3154" s="3" t="str">
        <f>HYPERLINK("proteomic_fractions_linear_files/Yang_linear_img/28076911.jpg", "28076911")</f>
        <v>28076911</v>
      </c>
      <c r="C3154" s="3" t="str">
        <f>HYPERLINK("http://www.ncbi.nlm.nih.gov/protein/28076911","Gstm4")</f>
        <v>Gstm4</v>
      </c>
      <c r="E3154" t="str">
        <f>HYPERLINK("J:\Depot - mpkCCD Fractions\Main Web Page\Web Pages_old\proteomic_fractions_linear_files/Yang_linear_img/28076911.jpg","show blot")</f>
        <v>show blot</v>
      </c>
      <c r="G3154" t="s">
        <v>3036</v>
      </c>
      <c r="I3154" s="6">
        <v>6.8141205177000188</v>
      </c>
      <c r="K3154" s="8"/>
    </row>
    <row r="3155" spans="1:11" ht="15" x14ac:dyDescent="0.25">
      <c r="A3155" s="3" t="str">
        <f>HYPERLINK("proteomic_fractions_linear_files/Yang_linear_img/6754086.jpg", "6754086")</f>
        <v>6754086</v>
      </c>
      <c r="C3155" s="3" t="str">
        <f>HYPERLINK("http://www.ncbi.nlm.nih.gov/protein/6754086","Gstm5")</f>
        <v>Gstm5</v>
      </c>
      <c r="E3155" t="str">
        <f>HYPERLINK("J:\Depot - mpkCCD Fractions\Main Web Page\Web Pages_old\proteomic_fractions_linear_files/Yang_linear_img/6754086.jpg","show blot")</f>
        <v>show blot</v>
      </c>
      <c r="G3155" t="s">
        <v>3037</v>
      </c>
      <c r="I3155" s="6">
        <v>6.5043658646820299</v>
      </c>
      <c r="K3155" s="8"/>
    </row>
    <row r="3156" spans="1:11" ht="15" x14ac:dyDescent="0.25">
      <c r="A3156" s="3" t="str">
        <f>HYPERLINK("proteomic_fractions_linear_files/Yang_linear_img/113680506.jpg", "113680506")</f>
        <v>113680506</v>
      </c>
      <c r="C3156" s="3" t="str">
        <f>HYPERLINK("http://www.ncbi.nlm.nih.gov/protein/113680506","Gstm6")</f>
        <v>Gstm6</v>
      </c>
      <c r="E3156" t="str">
        <f>HYPERLINK("J:\Depot - mpkCCD Fractions\Main Web Page\Web Pages_old\proteomic_fractions_linear_files/Yang_linear_img/113680506.jpg","show blot")</f>
        <v>show blot</v>
      </c>
      <c r="G3156" t="s">
        <v>3038</v>
      </c>
      <c r="I3156" s="6">
        <v>6.6678336623504713</v>
      </c>
      <c r="K3156" s="8"/>
    </row>
    <row r="3157" spans="1:11" ht="15" x14ac:dyDescent="0.25">
      <c r="A3157" s="3" t="str">
        <f>HYPERLINK("proteomic_fractions_linear_files/Yang_linear_img/113679874.jpg", "113679874")</f>
        <v>113679874</v>
      </c>
      <c r="C3157" s="3" t="str">
        <f>HYPERLINK("http://www.ncbi.nlm.nih.gov/protein/113679874","Gstm7")</f>
        <v>Gstm7</v>
      </c>
      <c r="E3157" t="str">
        <f>HYPERLINK("J:\Depot - mpkCCD Fractions\Main Web Page\Web Pages_old\proteomic_fractions_linear_files/Yang_linear_img/113679874.jpg","show blot")</f>
        <v>show blot</v>
      </c>
      <c r="G3157" t="s">
        <v>3039</v>
      </c>
      <c r="I3157" s="6">
        <v>7.1072689166554799</v>
      </c>
      <c r="K3157" s="8"/>
    </row>
    <row r="3158" spans="1:11" ht="15" x14ac:dyDescent="0.25">
      <c r="A3158" s="3" t="str">
        <f>HYPERLINK("proteomic_fractions_linear_files/Yang_linear_img/6754090.jpg", "6754090")</f>
        <v>6754090</v>
      </c>
      <c r="C3158" s="3" t="str">
        <f>HYPERLINK("http://www.ncbi.nlm.nih.gov/protein/6754090","Gsto1")</f>
        <v>Gsto1</v>
      </c>
      <c r="E3158" t="str">
        <f>HYPERLINK("J:\Depot - mpkCCD Fractions\Main Web Page\Web Pages_old\proteomic_fractions_linear_files/Yang_linear_img/6754090.jpg","show blot")</f>
        <v>show blot</v>
      </c>
      <c r="G3158" t="s">
        <v>3040</v>
      </c>
      <c r="I3158" s="6">
        <v>6.6326939698164189</v>
      </c>
      <c r="K3158" s="8"/>
    </row>
    <row r="3159" spans="1:11" ht="15" x14ac:dyDescent="0.25">
      <c r="A3159" s="3" t="str">
        <f>HYPERLINK("proteomic_fractions_linear_files/Yang_linear_img/313151238;225007547.jpg", "313151238;225007547")</f>
        <v>313151238;225007547</v>
      </c>
      <c r="C3159" s="3" t="str">
        <f>HYPERLINK("http://www.ncbi.nlm.nih.gov/protein/313151238;225007547","Gsto2")</f>
        <v>Gsto2</v>
      </c>
      <c r="E3159" t="str">
        <f>HYPERLINK("J:\Depot - mpkCCD Fractions\Main Web Page\Web Pages_old\proteomic_fractions_linear_files/Yang_linear_img/313151238;225007547.jpg","show blot")</f>
        <v>show blot</v>
      </c>
      <c r="G3159" t="s">
        <v>3041</v>
      </c>
      <c r="I3159" s="6">
        <v>5.5015744071307573</v>
      </c>
      <c r="K3159" s="8"/>
    </row>
    <row r="3160" spans="1:11" ht="15" x14ac:dyDescent="0.25">
      <c r="A3160" s="3" t="str">
        <f>HYPERLINK("proteomic_fractions_linear_files/Yang_linear_img/10092608.jpg", "10092608")</f>
        <v>10092608</v>
      </c>
      <c r="C3160" s="3" t="str">
        <f>HYPERLINK("http://www.ncbi.nlm.nih.gov/protein/10092608","Gstp1")</f>
        <v>Gstp1</v>
      </c>
      <c r="E3160" t="str">
        <f>HYPERLINK("J:\Depot - mpkCCD Fractions\Main Web Page\Web Pages_old\proteomic_fractions_linear_files/Yang_linear_img/10092608.jpg","show blot")</f>
        <v>show blot</v>
      </c>
      <c r="G3160" t="s">
        <v>3042</v>
      </c>
      <c r="I3160" s="6">
        <v>6.5594756341547367</v>
      </c>
      <c r="K3160" s="8"/>
    </row>
    <row r="3161" spans="1:11" ht="15" x14ac:dyDescent="0.25">
      <c r="A3161" s="3" t="str">
        <f>HYPERLINK("proteomic_fractions_linear_files/Yang_linear_img/32401425.jpg", "32401425")</f>
        <v>32401425</v>
      </c>
      <c r="C3161" s="3" t="str">
        <f>HYPERLINK("http://www.ncbi.nlm.nih.gov/protein/32401425","Gstp2")</f>
        <v>Gstp2</v>
      </c>
      <c r="E3161" t="str">
        <f>HYPERLINK("J:\Depot - mpkCCD Fractions\Main Web Page\Web Pages_old\proteomic_fractions_linear_files/Yang_linear_img/32401425.jpg","show blot")</f>
        <v>show blot</v>
      </c>
      <c r="G3161" t="s">
        <v>3043</v>
      </c>
      <c r="I3161" s="6">
        <v>6.3678120897331612</v>
      </c>
      <c r="K3161" s="8"/>
    </row>
    <row r="3162" spans="1:11" ht="15" x14ac:dyDescent="0.25">
      <c r="A3162" s="3" t="str">
        <f>HYPERLINK("proteomic_fractions_linear_files/Yang_linear_img/160298219.jpg", "160298219")</f>
        <v>160298219</v>
      </c>
      <c r="C3162" s="3" t="str">
        <f>HYPERLINK("http://www.ncbi.nlm.nih.gov/protein/160298219","Gstt1")</f>
        <v>Gstt1</v>
      </c>
      <c r="E3162" t="str">
        <f>HYPERLINK("J:\Depot - mpkCCD Fractions\Main Web Page\Web Pages_old\proteomic_fractions_linear_files/Yang_linear_img/160298219.jpg","show blot")</f>
        <v>show blot</v>
      </c>
      <c r="G3162" t="s">
        <v>3044</v>
      </c>
      <c r="I3162" s="6">
        <v>5.6728509385773735</v>
      </c>
      <c r="K3162" s="8"/>
    </row>
    <row r="3163" spans="1:11" ht="15" x14ac:dyDescent="0.25">
      <c r="A3163" s="3" t="str">
        <f>HYPERLINK("proteomic_fractions_linear_files/Yang_linear_img/158081796.jpg", "158081796")</f>
        <v>158081796</v>
      </c>
      <c r="C3163" s="3" t="str">
        <f>HYPERLINK("http://www.ncbi.nlm.nih.gov/protein/158081796","Gstt2")</f>
        <v>Gstt2</v>
      </c>
      <c r="E3163" t="str">
        <f>HYPERLINK("J:\Depot - mpkCCD Fractions\Main Web Page\Web Pages_old\proteomic_fractions_linear_files/Yang_linear_img/158081796.jpg","show blot")</f>
        <v>show blot</v>
      </c>
      <c r="G3163" t="s">
        <v>3045</v>
      </c>
      <c r="I3163" s="6">
        <v>5.875462947741128</v>
      </c>
      <c r="K3163" s="8"/>
    </row>
    <row r="3164" spans="1:11" ht="15" x14ac:dyDescent="0.25">
      <c r="A3164" s="3" t="str">
        <f>HYPERLINK("proteomic_fractions_linear_files/Yang_linear_img/21536248.jpg", "21536248")</f>
        <v>21536248</v>
      </c>
      <c r="C3164" s="3" t="str">
        <f>HYPERLINK("http://www.ncbi.nlm.nih.gov/protein/21536248","Gstt3")</f>
        <v>Gstt3</v>
      </c>
      <c r="E3164" t="str">
        <f>HYPERLINK("J:\Depot - mpkCCD Fractions\Main Web Page\Web Pages_old\proteomic_fractions_linear_files/Yang_linear_img/21536248.jpg","show blot")</f>
        <v>show blot</v>
      </c>
      <c r="G3164" t="s">
        <v>3046</v>
      </c>
      <c r="I3164" s="6">
        <v>6.0952583941778204</v>
      </c>
      <c r="K3164" s="8"/>
    </row>
    <row r="3165" spans="1:11" ht="15" x14ac:dyDescent="0.25">
      <c r="A3165" s="3" t="str">
        <f>HYPERLINK("proteomic_fractions_linear_files/Yang_linear_img/357527382.jpg", "357527382")</f>
        <v>357527382</v>
      </c>
      <c r="C3165" s="3" t="str">
        <f>HYPERLINK("http://www.ncbi.nlm.nih.gov/protein/357527382","Gstz1")</f>
        <v>Gstz1</v>
      </c>
      <c r="E3165" t="str">
        <f>HYPERLINK("J:\Depot - mpkCCD Fractions\Main Web Page\Web Pages_old\proteomic_fractions_linear_files/Yang_linear_img/357527382.jpg","show blot")</f>
        <v>show blot</v>
      </c>
      <c r="G3165" t="s">
        <v>3047</v>
      </c>
      <c r="I3165" s="6">
        <v>5.4377931348269843</v>
      </c>
      <c r="K3165" s="8"/>
    </row>
    <row r="3166" spans="1:11" ht="15" x14ac:dyDescent="0.25">
      <c r="A3166" s="3" t="str">
        <f>HYPERLINK("proteomic_fractions_linear_files/Yang_linear_img/6754092.jpg", "6754092")</f>
        <v>6754092</v>
      </c>
      <c r="C3166" s="3" t="str">
        <f>HYPERLINK("http://www.ncbi.nlm.nih.gov/protein/6754092","Gstz1")</f>
        <v>Gstz1</v>
      </c>
      <c r="E3166" t="str">
        <f>HYPERLINK("J:\Depot - mpkCCD Fractions\Main Web Page\Web Pages_old\proteomic_fractions_linear_files/Yang_linear_img/6754092.jpg","show blot")</f>
        <v>show blot</v>
      </c>
      <c r="G3166" t="s">
        <v>3048</v>
      </c>
      <c r="I3166" s="6">
        <v>5.4377931348269843</v>
      </c>
      <c r="K3166" s="8"/>
    </row>
    <row r="3167" spans="1:11" ht="15" x14ac:dyDescent="0.25">
      <c r="A3167" s="3" t="str">
        <f>HYPERLINK("proteomic_fractions_linear_files/Yang_linear_img/226958572.jpg", "226958572")</f>
        <v>226958572</v>
      </c>
      <c r="C3167" s="3" t="str">
        <f>HYPERLINK("http://www.ncbi.nlm.nih.gov/protein/226958572","Gtf2a1")</f>
        <v>Gtf2a1</v>
      </c>
      <c r="E3167" t="str">
        <f>HYPERLINK("J:\Depot - mpkCCD Fractions\Main Web Page\Web Pages_old\proteomic_fractions_linear_files/Yang_linear_img/226958572.jpg","show blot")</f>
        <v>show blot</v>
      </c>
      <c r="G3167" t="s">
        <v>3049</v>
      </c>
      <c r="I3167" s="6">
        <v>4.1485139791962391</v>
      </c>
      <c r="K3167" s="8"/>
    </row>
    <row r="3168" spans="1:11" ht="15" x14ac:dyDescent="0.25">
      <c r="A3168" s="3" t="str">
        <f>HYPERLINK("proteomic_fractions_linear_files/Yang_linear_img/30141908.jpg", "30141908")</f>
        <v>30141908</v>
      </c>
      <c r="C3168" s="3" t="str">
        <f>HYPERLINK("http://www.ncbi.nlm.nih.gov/protein/30141908","Gtf2a1")</f>
        <v>Gtf2a1</v>
      </c>
      <c r="E3168" t="str">
        <f>HYPERLINK("J:\Depot - mpkCCD Fractions\Main Web Page\Web Pages_old\proteomic_fractions_linear_files/Yang_linear_img/30141908.jpg","show blot")</f>
        <v>show blot</v>
      </c>
      <c r="G3168" t="s">
        <v>3050</v>
      </c>
      <c r="I3168" s="6">
        <v>4.1485139791962391</v>
      </c>
      <c r="K3168" s="8"/>
    </row>
    <row r="3169" spans="1:11" ht="15" x14ac:dyDescent="0.25">
      <c r="A3169" s="3" t="str">
        <f>HYPERLINK("proteomic_fractions_linear_files/Yang_linear_img/530719548.jpg", "530719548")</f>
        <v>530719548</v>
      </c>
      <c r="C3169" s="3" t="str">
        <f>HYPERLINK("http://www.ncbi.nlm.nih.gov/protein/530719548","Gtf2a2")</f>
        <v>Gtf2a2</v>
      </c>
      <c r="E3169" t="str">
        <f>HYPERLINK("J:\Depot - mpkCCD Fractions\Main Web Page\Web Pages_old\proteomic_fractions_linear_files/Yang_linear_img/530719548.jpg","show blot")</f>
        <v>show blot</v>
      </c>
      <c r="G3169" t="s">
        <v>3051</v>
      </c>
      <c r="I3169" s="6">
        <v>4.7200504982130127</v>
      </c>
      <c r="K3169" s="8"/>
    </row>
    <row r="3170" spans="1:11" ht="15" x14ac:dyDescent="0.25">
      <c r="A3170" s="3" t="str">
        <f>HYPERLINK("proteomic_fractions_linear_files/Yang_linear_img/87299617.jpg", "87299617")</f>
        <v>87299617</v>
      </c>
      <c r="C3170" s="3" t="str">
        <f>HYPERLINK("http://www.ncbi.nlm.nih.gov/protein/87299617","Gtf2a2")</f>
        <v>Gtf2a2</v>
      </c>
      <c r="E3170" t="str">
        <f>HYPERLINK("J:\Depot - mpkCCD Fractions\Main Web Page\Web Pages_old\proteomic_fractions_linear_files/Yang_linear_img/87299617.jpg","show blot")</f>
        <v>show blot</v>
      </c>
      <c r="G3170" t="s">
        <v>3052</v>
      </c>
      <c r="I3170" s="6">
        <v>4.7200504982130127</v>
      </c>
      <c r="K3170" s="8"/>
    </row>
    <row r="3171" spans="1:11" ht="15" x14ac:dyDescent="0.25">
      <c r="A3171" s="3" t="str">
        <f>HYPERLINK("proteomic_fractions_linear_files/Yang_linear_img/21704076.jpg", "21704076")</f>
        <v>21704076</v>
      </c>
      <c r="C3171" s="3" t="str">
        <f>HYPERLINK("http://www.ncbi.nlm.nih.gov/protein/21704076","Gtf2b")</f>
        <v>Gtf2b</v>
      </c>
      <c r="E3171" t="str">
        <f>HYPERLINK("J:\Depot - mpkCCD Fractions\Main Web Page\Web Pages_old\proteomic_fractions_linear_files/Yang_linear_img/21704076.jpg","show blot")</f>
        <v>show blot</v>
      </c>
      <c r="G3171" t="s">
        <v>3053</v>
      </c>
      <c r="I3171" s="6">
        <v>5.2288987016561839</v>
      </c>
      <c r="K3171" s="8"/>
    </row>
    <row r="3172" spans="1:11" ht="15" x14ac:dyDescent="0.25">
      <c r="A3172" s="3" t="str">
        <f>HYPERLINK("proteomic_fractions_linear_files/Yang_linear_img/21312660.jpg", "21312660")</f>
        <v>21312660</v>
      </c>
      <c r="C3172" s="3" t="str">
        <f>HYPERLINK("http://www.ncbi.nlm.nih.gov/protein/21312660","Gtf2e1")</f>
        <v>Gtf2e1</v>
      </c>
      <c r="E3172" t="str">
        <f>HYPERLINK("J:\Depot - mpkCCD Fractions\Main Web Page\Web Pages_old\proteomic_fractions_linear_files/Yang_linear_img/21312660.jpg","show blot")</f>
        <v>show blot</v>
      </c>
      <c r="G3172" t="s">
        <v>3054</v>
      </c>
      <c r="I3172" s="6">
        <v>4.2248400795582652</v>
      </c>
      <c r="K3172" s="8"/>
    </row>
    <row r="3173" spans="1:11" ht="15" x14ac:dyDescent="0.25">
      <c r="A3173" s="3" t="str">
        <f>HYPERLINK("proteomic_fractions_linear_files/Yang_linear_img/268838606.jpg", "268838606")</f>
        <v>268838606</v>
      </c>
      <c r="C3173" s="3" t="str">
        <f>HYPERLINK("http://www.ncbi.nlm.nih.gov/protein/268838606","Gtf2e2")</f>
        <v>Gtf2e2</v>
      </c>
      <c r="E3173" t="str">
        <f>HYPERLINK("J:\Depot - mpkCCD Fractions\Main Web Page\Web Pages_old\proteomic_fractions_linear_files/Yang_linear_img/268838606.jpg","show blot")</f>
        <v>show blot</v>
      </c>
      <c r="G3173" t="s">
        <v>3055</v>
      </c>
      <c r="I3173" s="6">
        <v>3.2884685899834341</v>
      </c>
      <c r="K3173" s="8"/>
    </row>
    <row r="3174" spans="1:11" ht="15" x14ac:dyDescent="0.25">
      <c r="A3174" s="3" t="str">
        <f>HYPERLINK("proteomic_fractions_linear_files/Yang_linear_img/20270031.jpg", "20270031")</f>
        <v>20270031</v>
      </c>
      <c r="C3174" s="3" t="str">
        <f>HYPERLINK("http://www.ncbi.nlm.nih.gov/protein/20270031","Gtf2f1")</f>
        <v>Gtf2f1</v>
      </c>
      <c r="E3174" t="str">
        <f>HYPERLINK("J:\Depot - mpkCCD Fractions\Main Web Page\Web Pages_old\proteomic_fractions_linear_files/Yang_linear_img/20270031.jpg","show blot")</f>
        <v>show blot</v>
      </c>
      <c r="G3174" t="s">
        <v>3056</v>
      </c>
      <c r="I3174" s="6">
        <v>4.692692146407075</v>
      </c>
      <c r="K3174" s="8"/>
    </row>
    <row r="3175" spans="1:11" ht="15" x14ac:dyDescent="0.25">
      <c r="A3175" s="3" t="str">
        <f>HYPERLINK("proteomic_fractions_linear_files/Yang_linear_img/39930425.jpg", "39930425")</f>
        <v>39930425</v>
      </c>
      <c r="C3175" s="3" t="str">
        <f>HYPERLINK("http://www.ncbi.nlm.nih.gov/protein/39930425","Gtf2f2")</f>
        <v>Gtf2f2</v>
      </c>
      <c r="E3175" t="str">
        <f>HYPERLINK("J:\Depot - mpkCCD Fractions\Main Web Page\Web Pages_old\proteomic_fractions_linear_files/Yang_linear_img/39930425.jpg","show blot")</f>
        <v>show blot</v>
      </c>
      <c r="G3175" t="s">
        <v>3057</v>
      </c>
      <c r="I3175" s="6">
        <v>4.8468288701297393</v>
      </c>
      <c r="K3175" s="8"/>
    </row>
    <row r="3176" spans="1:11" ht="15" x14ac:dyDescent="0.25">
      <c r="A3176" s="3" t="str">
        <f>HYPERLINK("proteomic_fractions_linear_files/Yang_linear_img/6754094.jpg", "6754094")</f>
        <v>6754094</v>
      </c>
      <c r="C3176" s="3" t="str">
        <f>HYPERLINK("http://www.ncbi.nlm.nih.gov/protein/6754094","Gtf2h4")</f>
        <v>Gtf2h4</v>
      </c>
      <c r="E3176" t="str">
        <f>HYPERLINK("J:\Depot - mpkCCD Fractions\Main Web Page\Web Pages_old\proteomic_fractions_linear_files/Yang_linear_img/6754094.jpg","show blot")</f>
        <v>show blot</v>
      </c>
      <c r="G3176" t="s">
        <v>3058</v>
      </c>
      <c r="I3176" s="6">
        <v>2.4346610098947616</v>
      </c>
      <c r="K3176" s="8"/>
    </row>
    <row r="3177" spans="1:11" ht="15" x14ac:dyDescent="0.25">
      <c r="A3177" s="3" t="str">
        <f>HYPERLINK("proteomic_fractions_linear_files/Yang_linear_img/124001570.jpg", "124001570")</f>
        <v>124001570</v>
      </c>
      <c r="C3177" s="3" t="str">
        <f>HYPERLINK("http://www.ncbi.nlm.nih.gov/protein/124001570","Gtf2i")</f>
        <v>Gtf2i</v>
      </c>
      <c r="E3177" t="str">
        <f>HYPERLINK("J:\Depot - mpkCCD Fractions\Main Web Page\Web Pages_old\proteomic_fractions_linear_files/Yang_linear_img/124001570.jpg","show blot")</f>
        <v>show blot</v>
      </c>
      <c r="G3177" t="s">
        <v>3059</v>
      </c>
      <c r="I3177" s="6">
        <v>4.8063706421600241</v>
      </c>
      <c r="K3177" s="8"/>
    </row>
    <row r="3178" spans="1:11" ht="15" x14ac:dyDescent="0.25">
      <c r="A3178" s="3" t="str">
        <f>HYPERLINK("proteomic_fractions_linear_files/Yang_linear_img/124001572.jpg", "124001572")</f>
        <v>124001572</v>
      </c>
      <c r="C3178" s="3" t="str">
        <f>HYPERLINK("http://www.ncbi.nlm.nih.gov/protein/124001572","Gtf2i")</f>
        <v>Gtf2i</v>
      </c>
      <c r="E3178" t="str">
        <f>HYPERLINK("J:\Depot - mpkCCD Fractions\Main Web Page\Web Pages_old\proteomic_fractions_linear_files/Yang_linear_img/124001572.jpg","show blot")</f>
        <v>show blot</v>
      </c>
      <c r="G3178" t="s">
        <v>3060</v>
      </c>
      <c r="I3178" s="6">
        <v>4.8063706421600241</v>
      </c>
      <c r="K3178" s="8"/>
    </row>
    <row r="3179" spans="1:11" ht="15" x14ac:dyDescent="0.25">
      <c r="A3179" s="3" t="str">
        <f>HYPERLINK("proteomic_fractions_linear_files/Yang_linear_img/124001574.jpg", "124001574")</f>
        <v>124001574</v>
      </c>
      <c r="C3179" s="3" t="str">
        <f>HYPERLINK("http://www.ncbi.nlm.nih.gov/protein/124001574","Gtf2i")</f>
        <v>Gtf2i</v>
      </c>
      <c r="E3179" t="str">
        <f>HYPERLINK("J:\Depot - mpkCCD Fractions\Main Web Page\Web Pages_old\proteomic_fractions_linear_files/Yang_linear_img/124001574.jpg","show blot")</f>
        <v>show blot</v>
      </c>
      <c r="G3179" t="s">
        <v>3061</v>
      </c>
      <c r="I3179" s="6">
        <v>4.8063706421600241</v>
      </c>
      <c r="K3179" s="8"/>
    </row>
    <row r="3180" spans="1:11" ht="15" x14ac:dyDescent="0.25">
      <c r="A3180" s="3" t="str">
        <f>HYPERLINK("proteomic_fractions_linear_files/Yang_linear_img/124001576.jpg", "124001576")</f>
        <v>124001576</v>
      </c>
      <c r="C3180" s="3" t="str">
        <f>HYPERLINK("http://www.ncbi.nlm.nih.gov/protein/124001576","Gtf2i")</f>
        <v>Gtf2i</v>
      </c>
      <c r="E3180" t="str">
        <f>HYPERLINK("J:\Depot - mpkCCD Fractions\Main Web Page\Web Pages_old\proteomic_fractions_linear_files/Yang_linear_img/124001576.jpg","show blot")</f>
        <v>show blot</v>
      </c>
      <c r="G3180" t="s">
        <v>3062</v>
      </c>
      <c r="I3180" s="6">
        <v>4.8063706421600241</v>
      </c>
      <c r="K3180" s="8"/>
    </row>
    <row r="3181" spans="1:11" ht="15" x14ac:dyDescent="0.25">
      <c r="A3181" s="3" t="str">
        <f>HYPERLINK("proteomic_fractions_linear_files/Yang_linear_img/124001578.jpg", "124001578")</f>
        <v>124001578</v>
      </c>
      <c r="C3181" s="3" t="str">
        <f>HYPERLINK("http://www.ncbi.nlm.nih.gov/protein/124001578","Gtf2i")</f>
        <v>Gtf2i</v>
      </c>
      <c r="E3181" t="str">
        <f>HYPERLINK("J:\Depot - mpkCCD Fractions\Main Web Page\Web Pages_old\proteomic_fractions_linear_files/Yang_linear_img/124001578.jpg","show blot")</f>
        <v>show blot</v>
      </c>
      <c r="G3181" t="s">
        <v>3063</v>
      </c>
      <c r="I3181" s="6">
        <v>4.8063706421600241</v>
      </c>
      <c r="K3181" s="8"/>
    </row>
    <row r="3182" spans="1:11" ht="15" x14ac:dyDescent="0.25">
      <c r="A3182" s="3" t="str">
        <f>HYPERLINK("proteomic_fractions_linear_files/Yang_linear_img/75677510.jpg", "75677510")</f>
        <v>75677510</v>
      </c>
      <c r="C3182" s="3" t="str">
        <f>HYPERLINK("http://www.ncbi.nlm.nih.gov/protein/75677510","Gtf3c3")</f>
        <v>Gtf3c3</v>
      </c>
      <c r="E3182" t="str">
        <f>HYPERLINK("J:\Depot - mpkCCD Fractions\Main Web Page\Web Pages_old\proteomic_fractions_linear_files/Yang_linear_img/75677510.jpg","show blot")</f>
        <v>show blot</v>
      </c>
      <c r="G3182" t="s">
        <v>3064</v>
      </c>
      <c r="I3182" s="6">
        <v>2.3709923461253357</v>
      </c>
      <c r="K3182" s="8"/>
    </row>
    <row r="3183" spans="1:11" ht="15" x14ac:dyDescent="0.25">
      <c r="A3183" s="3" t="str">
        <f>HYPERLINK("proteomic_fractions_linear_files/Yang_linear_img/260436918.jpg", "260436918")</f>
        <v>260436918</v>
      </c>
      <c r="C3183" s="3" t="str">
        <f>HYPERLINK("http://www.ncbi.nlm.nih.gov/protein/260436918","Gtf3c4")</f>
        <v>Gtf3c4</v>
      </c>
      <c r="E3183" t="str">
        <f>HYPERLINK("J:\Depot - mpkCCD Fractions\Main Web Page\Web Pages_old\proteomic_fractions_linear_files/Yang_linear_img/260436918.jpg","show blot")</f>
        <v>show blot</v>
      </c>
      <c r="G3183" t="s">
        <v>3065</v>
      </c>
      <c r="I3183" s="6">
        <v>2.5769051786649064</v>
      </c>
      <c r="K3183" s="8"/>
    </row>
    <row r="3184" spans="1:11" ht="15" x14ac:dyDescent="0.25">
      <c r="A3184" s="3" t="str">
        <f>HYPERLINK("proteomic_fractions_linear_files/Yang_linear_img/260447060.jpg", "260447060")</f>
        <v>260447060</v>
      </c>
      <c r="C3184" s="3" t="str">
        <f>HYPERLINK("http://www.ncbi.nlm.nih.gov/protein/260447060","Gtf3c4")</f>
        <v>Gtf3c4</v>
      </c>
      <c r="E3184" t="str">
        <f>HYPERLINK("J:\Depot - mpkCCD Fractions\Main Web Page\Web Pages_old\proteomic_fractions_linear_files/Yang_linear_img/260447060.jpg","show blot")</f>
        <v>show blot</v>
      </c>
      <c r="G3184" t="s">
        <v>3066</v>
      </c>
      <c r="I3184" s="6">
        <v>2.5769051786649064</v>
      </c>
      <c r="K3184" s="8"/>
    </row>
    <row r="3185" spans="1:11" ht="15" x14ac:dyDescent="0.25">
      <c r="A3185" s="3" t="str">
        <f>HYPERLINK("proteomic_fractions_linear_files/Yang_linear_img/225543576.jpg", "225543576")</f>
        <v>225543576</v>
      </c>
      <c r="C3185" s="3" t="str">
        <f>HYPERLINK("http://www.ncbi.nlm.nih.gov/protein/225543576","Gtl3")</f>
        <v>Gtl3</v>
      </c>
      <c r="E3185" t="str">
        <f>HYPERLINK("J:\Depot - mpkCCD Fractions\Main Web Page\Web Pages_old\proteomic_fractions_linear_files/Yang_linear_img/225543576.jpg","show blot")</f>
        <v>show blot</v>
      </c>
      <c r="G3185" t="s">
        <v>3067</v>
      </c>
      <c r="I3185" s="6">
        <v>5.0534483145273628</v>
      </c>
      <c r="K3185" s="8"/>
    </row>
    <row r="3186" spans="1:11" ht="15" x14ac:dyDescent="0.25">
      <c r="A3186" s="3" t="str">
        <f>HYPERLINK("proteomic_fractions_linear_files/Yang_linear_img/70778897.jpg", "70778897")</f>
        <v>70778897</v>
      </c>
      <c r="C3186" s="3" t="str">
        <f>HYPERLINK("http://www.ncbi.nlm.nih.gov/protein/70778897","Gtpbp1")</f>
        <v>Gtpbp1</v>
      </c>
      <c r="E3186" t="str">
        <f>HYPERLINK("J:\Depot - mpkCCD Fractions\Main Web Page\Web Pages_old\proteomic_fractions_linear_files/Yang_linear_img/70778897.jpg","show blot")</f>
        <v>show blot</v>
      </c>
      <c r="G3186" t="s">
        <v>3068</v>
      </c>
      <c r="I3186" s="6">
        <v>5.0834325210803151</v>
      </c>
      <c r="K3186" s="8"/>
    </row>
    <row r="3187" spans="1:11" ht="15" x14ac:dyDescent="0.25">
      <c r="A3187" s="3" t="str">
        <f>HYPERLINK("proteomic_fractions_linear_files/Yang_linear_img/225543388.jpg", "225543388")</f>
        <v>225543388</v>
      </c>
      <c r="C3187" s="3" t="str">
        <f>HYPERLINK("http://www.ncbi.nlm.nih.gov/protein/225543388","Gtpbp2")</f>
        <v>Gtpbp2</v>
      </c>
      <c r="E3187" t="str">
        <f>HYPERLINK("J:\Depot - mpkCCD Fractions\Main Web Page\Web Pages_old\proteomic_fractions_linear_files/Yang_linear_img/225543388.jpg","show blot")</f>
        <v>show blot</v>
      </c>
      <c r="G3187" t="s">
        <v>3069</v>
      </c>
      <c r="I3187" s="6">
        <v>2.7389786403495604</v>
      </c>
      <c r="K3187" s="8"/>
    </row>
    <row r="3188" spans="1:11" ht="15" x14ac:dyDescent="0.25">
      <c r="A3188" s="3" t="str">
        <f>HYPERLINK("proteomic_fractions_linear_files/Yang_linear_img/225543394.jpg", "225543394")</f>
        <v>225543394</v>
      </c>
      <c r="C3188" s="3" t="str">
        <f>HYPERLINK("http://www.ncbi.nlm.nih.gov/protein/225543394","Gtpbp2")</f>
        <v>Gtpbp2</v>
      </c>
      <c r="E3188" t="str">
        <f>HYPERLINK("J:\Depot - mpkCCD Fractions\Main Web Page\Web Pages_old\proteomic_fractions_linear_files/Yang_linear_img/225543394.jpg","show blot")</f>
        <v>show blot</v>
      </c>
      <c r="G3188" t="s">
        <v>3070</v>
      </c>
      <c r="I3188" s="6">
        <v>2.7389786403495604</v>
      </c>
      <c r="K3188" s="8"/>
    </row>
    <row r="3189" spans="1:11" ht="15" x14ac:dyDescent="0.25">
      <c r="A3189" s="3" t="str">
        <f>HYPERLINK("proteomic_fractions_linear_files/Yang_linear_img/33414589.jpg", "33414589")</f>
        <v>33414589</v>
      </c>
      <c r="C3189" s="3" t="str">
        <f>HYPERLINK("http://www.ncbi.nlm.nih.gov/protein/33414589","Gtpbp3")</f>
        <v>Gtpbp3</v>
      </c>
      <c r="E3189" t="str">
        <f>HYPERLINK("J:\Depot - mpkCCD Fractions\Main Web Page\Web Pages_old\proteomic_fractions_linear_files/Yang_linear_img/33414589.jpg","show blot")</f>
        <v>show blot</v>
      </c>
      <c r="G3189" t="s">
        <v>3071</v>
      </c>
      <c r="I3189" s="6">
        <v>2.8089478430497374</v>
      </c>
      <c r="K3189" s="8"/>
    </row>
    <row r="3190" spans="1:11" ht="15" x14ac:dyDescent="0.25">
      <c r="A3190" s="3" t="str">
        <f>HYPERLINK("proteomic_fractions_linear_files/Yang_linear_img/31560110.jpg", "31560110")</f>
        <v>31560110</v>
      </c>
      <c r="C3190" s="3" t="str">
        <f>HYPERLINK("http://www.ncbi.nlm.nih.gov/protein/31560110","Gtpbp4")</f>
        <v>Gtpbp4</v>
      </c>
      <c r="E3190" t="str">
        <f>HYPERLINK("J:\Depot - mpkCCD Fractions\Main Web Page\Web Pages_old\proteomic_fractions_linear_files/Yang_linear_img/31560110.jpg","show blot")</f>
        <v>show blot</v>
      </c>
      <c r="G3190" t="s">
        <v>3072</v>
      </c>
      <c r="I3190" s="6">
        <v>4.4498741205208354</v>
      </c>
      <c r="K3190" s="8"/>
    </row>
    <row r="3191" spans="1:11" ht="15" x14ac:dyDescent="0.25">
      <c r="A3191" s="3" t="str">
        <f>HYPERLINK("proteomic_fractions_linear_files/Yang_linear_img/165972313.jpg", "165972313")</f>
        <v>165972313</v>
      </c>
      <c r="C3191" s="3" t="str">
        <f>HYPERLINK("http://www.ncbi.nlm.nih.gov/protein/165972313","Gtpbp6")</f>
        <v>Gtpbp6</v>
      </c>
      <c r="E3191" t="str">
        <f>HYPERLINK("J:\Depot - mpkCCD Fractions\Main Web Page\Web Pages_old\proteomic_fractions_linear_files/Yang_linear_img/165972313.jpg","show blot")</f>
        <v>show blot</v>
      </c>
      <c r="G3191" t="s">
        <v>3073</v>
      </c>
      <c r="I3191" s="6">
        <v>4.6218611996925931</v>
      </c>
      <c r="K3191" s="8"/>
    </row>
    <row r="3192" spans="1:11" ht="15" x14ac:dyDescent="0.25">
      <c r="A3192" s="3" t="str">
        <f>HYPERLINK("proteomic_fractions_linear_files/Yang_linear_img/21313623.jpg", "21313623")</f>
        <v>21313623</v>
      </c>
      <c r="C3192" s="3" t="str">
        <f>HYPERLINK("http://www.ncbi.nlm.nih.gov/protein/21313623","Gtpbp8")</f>
        <v>Gtpbp8</v>
      </c>
      <c r="E3192" t="str">
        <f>HYPERLINK("J:\Depot - mpkCCD Fractions\Main Web Page\Web Pages_old\proteomic_fractions_linear_files/Yang_linear_img/21313623.jpg","show blot")</f>
        <v>show blot</v>
      </c>
      <c r="G3192" t="s">
        <v>3074</v>
      </c>
      <c r="I3192" s="6">
        <v>3.0867479979952437</v>
      </c>
      <c r="K3192" s="8"/>
    </row>
    <row r="3193" spans="1:11" ht="15" x14ac:dyDescent="0.25">
      <c r="A3193" s="3" t="str">
        <f>HYPERLINK("proteomic_fractions_linear_files/Yang_linear_img/7305119.jpg", "7305119")</f>
        <v>7305119</v>
      </c>
      <c r="C3193" s="3" t="str">
        <f>HYPERLINK("http://www.ncbi.nlm.nih.gov/protein/7305119","Gtse1")</f>
        <v>Gtse1</v>
      </c>
      <c r="E3193" t="str">
        <f>HYPERLINK("J:\Depot - mpkCCD Fractions\Main Web Page\Web Pages_old\proteomic_fractions_linear_files/Yang_linear_img/7305119.jpg","show blot")</f>
        <v>show blot</v>
      </c>
      <c r="G3193" t="s">
        <v>3075</v>
      </c>
      <c r="I3193" s="6">
        <v>2.407829897361037</v>
      </c>
      <c r="K3193" s="8"/>
    </row>
    <row r="3194" spans="1:11" ht="15" x14ac:dyDescent="0.25">
      <c r="A3194" s="3" t="str">
        <f>HYPERLINK("proteomic_fractions_linear_files/Yang_linear_img/194688157.jpg", "194688157")</f>
        <v>194688157</v>
      </c>
      <c r="C3194" s="3" t="str">
        <f>HYPERLINK("http://www.ncbi.nlm.nih.gov/protein/194688157","Gucy2d")</f>
        <v>Gucy2d</v>
      </c>
      <c r="E3194" t="str">
        <f>HYPERLINK("J:\Depot - mpkCCD Fractions\Main Web Page\Web Pages_old\proteomic_fractions_linear_files/Yang_linear_img/194688157.jpg","show blot")</f>
        <v>show blot</v>
      </c>
      <c r="G3194" t="s">
        <v>3076</v>
      </c>
      <c r="I3194" s="6">
        <v>1.6709602658719243</v>
      </c>
      <c r="K3194" s="8"/>
    </row>
    <row r="3195" spans="1:11" ht="15" x14ac:dyDescent="0.25">
      <c r="A3195" s="3" t="str">
        <f>HYPERLINK("proteomic_fractions_linear_files/Yang_linear_img/56119098.jpg", "56119098")</f>
        <v>56119098</v>
      </c>
      <c r="C3195" s="3" t="str">
        <f>HYPERLINK("http://www.ncbi.nlm.nih.gov/protein/56119098","Gucy2f")</f>
        <v>Gucy2f</v>
      </c>
      <c r="E3195" t="str">
        <f>HYPERLINK("J:\Depot - mpkCCD Fractions\Main Web Page\Web Pages_old\proteomic_fractions_linear_files/Yang_linear_img/56119098.jpg","show blot")</f>
        <v>show blot</v>
      </c>
      <c r="G3195" t="s">
        <v>3077</v>
      </c>
      <c r="I3195" s="6">
        <v>4.7666836925400542</v>
      </c>
      <c r="K3195" s="8"/>
    </row>
    <row r="3196" spans="1:11" ht="15" x14ac:dyDescent="0.25">
      <c r="A3196" s="3" t="str">
        <f>HYPERLINK("proteomic_fractions_linear_files/Yang_linear_img/226874887.jpg", "226874887")</f>
        <v>226874887</v>
      </c>
      <c r="C3196" s="3" t="str">
        <f>HYPERLINK("http://www.ncbi.nlm.nih.gov/protein/226874887","Guk1")</f>
        <v>Guk1</v>
      </c>
      <c r="E3196" t="str">
        <f>HYPERLINK("J:\Depot - mpkCCD Fractions\Main Web Page\Web Pages_old\proteomic_fractions_linear_files/Yang_linear_img/226874887.jpg","show blot")</f>
        <v>show blot</v>
      </c>
      <c r="G3196" t="s">
        <v>3078</v>
      </c>
      <c r="I3196" s="6">
        <v>3.6466554930594874</v>
      </c>
      <c r="K3196" s="8"/>
    </row>
    <row r="3197" spans="1:11" ht="15" x14ac:dyDescent="0.25">
      <c r="A3197" s="3" t="str">
        <f>HYPERLINK("proteomic_fractions_linear_files/Yang_linear_img/226874891.jpg", "226874891")</f>
        <v>226874891</v>
      </c>
      <c r="C3197" s="3" t="str">
        <f>HYPERLINK("http://www.ncbi.nlm.nih.gov/protein/226874891","Guk1")</f>
        <v>Guk1</v>
      </c>
      <c r="E3197" t="str">
        <f>HYPERLINK("J:\Depot - mpkCCD Fractions\Main Web Page\Web Pages_old\proteomic_fractions_linear_files/Yang_linear_img/226874891.jpg","show blot")</f>
        <v>show blot</v>
      </c>
      <c r="G3197" t="s">
        <v>3079</v>
      </c>
      <c r="I3197" s="6">
        <v>3.6466554930594874</v>
      </c>
      <c r="K3197" s="8"/>
    </row>
    <row r="3198" spans="1:11" ht="15" x14ac:dyDescent="0.25">
      <c r="A3198" s="3" t="str">
        <f>HYPERLINK("proteomic_fractions_linear_files/Yang_linear_img/6754098.jpg", "6754098")</f>
        <v>6754098</v>
      </c>
      <c r="C3198" s="3" t="str">
        <f>HYPERLINK("http://www.ncbi.nlm.nih.gov/protein/6754098","Gusb")</f>
        <v>Gusb</v>
      </c>
      <c r="E3198" t="str">
        <f>HYPERLINK("J:\Depot - mpkCCD Fractions\Main Web Page\Web Pages_old\proteomic_fractions_linear_files/Yang_linear_img/6754098.jpg","show blot")</f>
        <v>show blot</v>
      </c>
      <c r="G3198" t="s">
        <v>3080</v>
      </c>
      <c r="I3198" s="6">
        <v>5.5880605185004191</v>
      </c>
      <c r="K3198" s="8"/>
    </row>
    <row r="3199" spans="1:11" ht="15" x14ac:dyDescent="0.25">
      <c r="A3199" s="3" t="str">
        <f>HYPERLINK("proteomic_fractions_linear_files/Yang_linear_img/115270958.jpg", "115270958")</f>
        <v>115270958</v>
      </c>
      <c r="C3199" s="3" t="str">
        <f>HYPERLINK("http://www.ncbi.nlm.nih.gov/protein/115270958","Gvin1")</f>
        <v>Gvin1</v>
      </c>
      <c r="E3199" t="str">
        <f>HYPERLINK("J:\Depot - mpkCCD Fractions\Main Web Page\Web Pages_old\proteomic_fractions_linear_files/Yang_linear_img/115270958.jpg","show blot")</f>
        <v>show blot</v>
      </c>
      <c r="G3199" t="s">
        <v>2802</v>
      </c>
      <c r="I3199" s="6">
        <v>1.3520794704226828</v>
      </c>
      <c r="K3199" s="8"/>
    </row>
    <row r="3200" spans="1:11" ht="15" x14ac:dyDescent="0.25">
      <c r="A3200" s="3" t="str">
        <f>HYPERLINK("proteomic_fractions_linear_files/Yang_linear_img/85701786.jpg", "85701786")</f>
        <v>85701786</v>
      </c>
      <c r="C3200" s="3" t="str">
        <f>HYPERLINK("http://www.ncbi.nlm.nih.gov/protein/85701786","Gxylt1")</f>
        <v>Gxylt1</v>
      </c>
      <c r="E3200" t="str">
        <f>HYPERLINK("J:\Depot - mpkCCD Fractions\Main Web Page\Web Pages_old\proteomic_fractions_linear_files/Yang_linear_img/85701786.jpg","show blot")</f>
        <v>show blot</v>
      </c>
      <c r="G3200" t="s">
        <v>3081</v>
      </c>
      <c r="I3200" s="6">
        <v>3.2107770436599048</v>
      </c>
      <c r="K3200" s="8"/>
    </row>
    <row r="3201" spans="1:11" ht="15" x14ac:dyDescent="0.25">
      <c r="A3201" s="3" t="str">
        <f>HYPERLINK("proteomic_fractions_linear_files/Yang_linear_img/46909579.jpg", "46909579")</f>
        <v>46909579</v>
      </c>
      <c r="C3201" s="3" t="str">
        <f>HYPERLINK("http://www.ncbi.nlm.nih.gov/protein/46909579","Gyk")</f>
        <v>Gyk</v>
      </c>
      <c r="E3201" t="str">
        <f>HYPERLINK("J:\Depot - mpkCCD Fractions\Main Web Page\Web Pages_old\proteomic_fractions_linear_files/Yang_linear_img/46909579.jpg","show blot")</f>
        <v>show blot</v>
      </c>
      <c r="G3201" t="s">
        <v>3082</v>
      </c>
      <c r="I3201" s="6">
        <v>3.9897269308436529</v>
      </c>
      <c r="K3201" s="8"/>
    </row>
    <row r="3202" spans="1:11" ht="15" x14ac:dyDescent="0.25">
      <c r="A3202" s="3" t="str">
        <f>HYPERLINK("proteomic_fractions_linear_files/Yang_linear_img/6680139.jpg", "6680139")</f>
        <v>6680139</v>
      </c>
      <c r="C3202" s="3" t="str">
        <f>HYPERLINK("http://www.ncbi.nlm.nih.gov/protein/6680139","Gyk")</f>
        <v>Gyk</v>
      </c>
      <c r="E3202" t="str">
        <f>HYPERLINK("J:\Depot - mpkCCD Fractions\Main Web Page\Web Pages_old\proteomic_fractions_linear_files/Yang_linear_img/6680139.jpg","show blot")</f>
        <v>show blot</v>
      </c>
      <c r="G3202" t="s">
        <v>3083</v>
      </c>
      <c r="I3202" s="6">
        <v>3.9897269308436529</v>
      </c>
      <c r="K3202" s="8"/>
    </row>
    <row r="3203" spans="1:11" ht="15" x14ac:dyDescent="0.25">
      <c r="A3203" s="3" t="str">
        <f>HYPERLINK("proteomic_fractions_linear_files/Yang_linear_img/49355801.jpg", "49355801")</f>
        <v>49355801</v>
      </c>
      <c r="C3203" s="3" t="str">
        <f>HYPERLINK("http://www.ncbi.nlm.nih.gov/protein/49355801","Gykl1")</f>
        <v>Gykl1</v>
      </c>
      <c r="E3203" t="str">
        <f>HYPERLINK("J:\Depot - mpkCCD Fractions\Main Web Page\Web Pages_old\proteomic_fractions_linear_files/Yang_linear_img/49355801.jpg","show blot")</f>
        <v>show blot</v>
      </c>
      <c r="G3203" t="s">
        <v>3084</v>
      </c>
      <c r="I3203" s="6">
        <v>3.5982690496995358</v>
      </c>
      <c r="K3203" s="8"/>
    </row>
    <row r="3204" spans="1:11" ht="15" x14ac:dyDescent="0.25">
      <c r="A3204" s="3" t="str">
        <f>HYPERLINK("proteomic_fractions_linear_files/Yang_linear_img/262231828.jpg", "262231828")</f>
        <v>262231828</v>
      </c>
      <c r="C3204" s="3" t="str">
        <f>HYPERLINK("http://www.ncbi.nlm.nih.gov/protein/262231828","Gyltl1b")</f>
        <v>Gyltl1b</v>
      </c>
      <c r="E3204" t="str">
        <f>HYPERLINK("J:\Depot - mpkCCD Fractions\Main Web Page\Web Pages_old\proteomic_fractions_linear_files/Yang_linear_img/262231828.jpg","show blot")</f>
        <v>show blot</v>
      </c>
      <c r="G3204" t="s">
        <v>3085</v>
      </c>
      <c r="I3204" s="6">
        <v>2.6757847845358671</v>
      </c>
      <c r="K3204" s="8"/>
    </row>
    <row r="3205" spans="1:11" ht="15" x14ac:dyDescent="0.25">
      <c r="A3205" s="3" t="str">
        <f>HYPERLINK("proteomic_fractions_linear_files/Yang_linear_img/262231830.jpg", "262231830")</f>
        <v>262231830</v>
      </c>
      <c r="C3205" s="3" t="str">
        <f>HYPERLINK("http://www.ncbi.nlm.nih.gov/protein/262231830","Gyltl1b")</f>
        <v>Gyltl1b</v>
      </c>
      <c r="E3205" t="str">
        <f>HYPERLINK("J:\Depot - mpkCCD Fractions\Main Web Page\Web Pages_old\proteomic_fractions_linear_files/Yang_linear_img/262231830.jpg","show blot")</f>
        <v>show blot</v>
      </c>
      <c r="G3205" t="s">
        <v>3086</v>
      </c>
      <c r="I3205" s="6">
        <v>2.6757847845358671</v>
      </c>
      <c r="K3205" s="8"/>
    </row>
    <row r="3206" spans="1:11" ht="15" x14ac:dyDescent="0.25">
      <c r="A3206" s="3" t="str">
        <f>HYPERLINK("proteomic_fractions_linear_files/Yang_linear_img/31560022.jpg", "31560022")</f>
        <v>31560022</v>
      </c>
      <c r="C3206" s="3" t="str">
        <f>HYPERLINK("http://www.ncbi.nlm.nih.gov/protein/31560022","Gys1")</f>
        <v>Gys1</v>
      </c>
      <c r="E3206" t="str">
        <f>HYPERLINK("J:\Depot - mpkCCD Fractions\Main Web Page\Web Pages_old\proteomic_fractions_linear_files/Yang_linear_img/31560022.jpg","show blot")</f>
        <v>show blot</v>
      </c>
      <c r="G3206" t="s">
        <v>3087</v>
      </c>
      <c r="I3206" s="6">
        <v>5.0520650614858393</v>
      </c>
      <c r="K3206" s="8"/>
    </row>
    <row r="3207" spans="1:11" ht="15" x14ac:dyDescent="0.25">
      <c r="A3207" s="3" t="str">
        <f>HYPERLINK("proteomic_fractions_linear_files/Yang_linear_img/37674207.jpg", "37674207")</f>
        <v>37674207</v>
      </c>
      <c r="C3207" s="3" t="str">
        <f>HYPERLINK("http://www.ncbi.nlm.nih.gov/protein/37674207","Gzf1")</f>
        <v>Gzf1</v>
      </c>
      <c r="E3207" t="str">
        <f>HYPERLINK("J:\Depot - mpkCCD Fractions\Main Web Page\Web Pages_old\proteomic_fractions_linear_files/Yang_linear_img/37674207.jpg","show blot")</f>
        <v>show blot</v>
      </c>
      <c r="G3207" t="s">
        <v>3088</v>
      </c>
      <c r="I3207" s="6">
        <v>0.58093940430340196</v>
      </c>
      <c r="K3207" s="8"/>
    </row>
    <row r="3208" spans="1:11" ht="15" x14ac:dyDescent="0.25">
      <c r="A3208" s="3" t="str">
        <f>HYPERLINK("proteomic_fractions_linear_files/Yang_linear_img/227116335.jpg", "227116335")</f>
        <v>227116335</v>
      </c>
      <c r="C3208" s="3" t="str">
        <f>HYPERLINK("http://www.ncbi.nlm.nih.gov/protein/227116335","H13")</f>
        <v>H13</v>
      </c>
      <c r="E3208" t="str">
        <f>HYPERLINK("J:\Depot - mpkCCD Fractions\Main Web Page\Web Pages_old\proteomic_fractions_linear_files/Yang_linear_img/227116335.jpg","show blot")</f>
        <v>show blot</v>
      </c>
      <c r="G3208" t="s">
        <v>3089</v>
      </c>
      <c r="I3208" s="6">
        <v>4.1391903287878327</v>
      </c>
      <c r="K3208" s="8"/>
    </row>
    <row r="3209" spans="1:11" ht="15" x14ac:dyDescent="0.25">
      <c r="A3209" s="3" t="str">
        <f>HYPERLINK("proteomic_fractions_linear_files/Yang_linear_img/227116337.jpg", "227116337")</f>
        <v>227116337</v>
      </c>
      <c r="C3209" s="3" t="str">
        <f>HYPERLINK("http://www.ncbi.nlm.nih.gov/protein/227116337","H13")</f>
        <v>H13</v>
      </c>
      <c r="E3209" t="str">
        <f>HYPERLINK("J:\Depot - mpkCCD Fractions\Main Web Page\Web Pages_old\proteomic_fractions_linear_files/Yang_linear_img/227116337.jpg","show blot")</f>
        <v>show blot</v>
      </c>
      <c r="G3209" t="s">
        <v>3090</v>
      </c>
      <c r="I3209" s="6">
        <v>4.1391903287878327</v>
      </c>
      <c r="K3209" s="8"/>
    </row>
    <row r="3210" spans="1:11" ht="15" x14ac:dyDescent="0.25">
      <c r="A3210" s="3" t="str">
        <f>HYPERLINK("proteomic_fractions_linear_files/Yang_linear_img/227116339.jpg", "227116339")</f>
        <v>227116339</v>
      </c>
      <c r="C3210" s="3" t="str">
        <f>HYPERLINK("http://www.ncbi.nlm.nih.gov/protein/227116339","H13")</f>
        <v>H13</v>
      </c>
      <c r="E3210" t="str">
        <f>HYPERLINK("J:\Depot - mpkCCD Fractions\Main Web Page\Web Pages_old\proteomic_fractions_linear_files/Yang_linear_img/227116339.jpg","show blot")</f>
        <v>show blot</v>
      </c>
      <c r="G3210" t="s">
        <v>3091</v>
      </c>
      <c r="I3210" s="6">
        <v>4.1391903287878327</v>
      </c>
      <c r="K3210" s="8"/>
    </row>
    <row r="3211" spans="1:11" ht="15" x14ac:dyDescent="0.25">
      <c r="A3211" s="3" t="str">
        <f>HYPERLINK("proteomic_fractions_linear_files/Yang_linear_img/18034682.jpg", "18034682")</f>
        <v>18034682</v>
      </c>
      <c r="C3211" s="3" t="str">
        <f>HYPERLINK("http://www.ncbi.nlm.nih.gov/protein/18034682","H13")</f>
        <v>H13</v>
      </c>
      <c r="E3211" t="str">
        <f>HYPERLINK("J:\Depot - mpkCCD Fractions\Main Web Page\Web Pages_old\proteomic_fractions_linear_files/Yang_linear_img/18034682.jpg","show blot")</f>
        <v>show blot</v>
      </c>
      <c r="G3211" t="s">
        <v>3092</v>
      </c>
      <c r="I3211" s="6">
        <v>4.1391903287878327</v>
      </c>
      <c r="K3211" s="8"/>
    </row>
    <row r="3212" spans="1:11" ht="15" x14ac:dyDescent="0.25">
      <c r="A3212" s="3" t="str">
        <f>HYPERLINK("proteomic_fractions_linear_files/Yang_linear_img/31560697.jpg", "31560697")</f>
        <v>31560697</v>
      </c>
      <c r="C3212" s="3" t="str">
        <f>HYPERLINK("http://www.ncbi.nlm.nih.gov/protein/31560697","H1f0")</f>
        <v>H1f0</v>
      </c>
      <c r="E3212" t="str">
        <f>HYPERLINK("J:\Depot - mpkCCD Fractions\Main Web Page\Web Pages_old\proteomic_fractions_linear_files/Yang_linear_img/31560697.jpg","show blot")</f>
        <v>show blot</v>
      </c>
      <c r="G3212" t="s">
        <v>3093</v>
      </c>
      <c r="I3212" s="6">
        <v>6.5797015899276694</v>
      </c>
      <c r="K3212" s="8"/>
    </row>
    <row r="3213" spans="1:11" ht="15" x14ac:dyDescent="0.25">
      <c r="A3213" s="3" t="str">
        <f>HYPERLINK("proteomic_fractions_linear_files/Yang_linear_img/257196238.jpg", "257196238")</f>
        <v>257196238</v>
      </c>
      <c r="C3213" s="3" t="str">
        <f>HYPERLINK("http://www.ncbi.nlm.nih.gov/protein/257196238","H1fnt")</f>
        <v>H1fnt</v>
      </c>
      <c r="E3213" t="str">
        <f>HYPERLINK("J:\Depot - mpkCCD Fractions\Main Web Page\Web Pages_old\proteomic_fractions_linear_files/Yang_linear_img/257196238.jpg","show blot")</f>
        <v>show blot</v>
      </c>
      <c r="G3213" t="s">
        <v>3094</v>
      </c>
      <c r="I3213" s="6">
        <v>3.4142855441389357</v>
      </c>
      <c r="K3213" s="8"/>
    </row>
    <row r="3214" spans="1:11" ht="15" x14ac:dyDescent="0.25">
      <c r="A3214" s="3" t="str">
        <f>HYPERLINK("proteomic_fractions_linear_files/Yang_linear_img/29244126.jpg", "29244126")</f>
        <v>29244126</v>
      </c>
      <c r="C3214" s="3" t="str">
        <f>HYPERLINK("http://www.ncbi.nlm.nih.gov/protein/29244126","H2afj")</f>
        <v>H2afj</v>
      </c>
      <c r="E3214" t="str">
        <f>HYPERLINK("J:\Depot - mpkCCD Fractions\Main Web Page\Web Pages_old\proteomic_fractions_linear_files/Yang_linear_img/29244126.jpg","show blot")</f>
        <v>show blot</v>
      </c>
      <c r="G3214" t="s">
        <v>3095</v>
      </c>
      <c r="I3214" s="6">
        <v>8.2426776370021866</v>
      </c>
      <c r="K3214" s="8"/>
    </row>
    <row r="3215" spans="1:11" ht="15" x14ac:dyDescent="0.25">
      <c r="A3215" s="3" t="str">
        <f>HYPERLINK("proteomic_fractions_linear_files/Yang_linear_img/256773209.jpg", "256773209")</f>
        <v>256773209</v>
      </c>
      <c r="C3215" s="3" t="str">
        <f>HYPERLINK("http://www.ncbi.nlm.nih.gov/protein/256773209","H2afv")</f>
        <v>H2afv</v>
      </c>
      <c r="E3215" t="str">
        <f>HYPERLINK("J:\Depot - mpkCCD Fractions\Main Web Page\Web Pages_old\proteomic_fractions_linear_files/Yang_linear_img/256773209.jpg","show blot")</f>
        <v>show blot</v>
      </c>
      <c r="G3215" t="s">
        <v>3096</v>
      </c>
      <c r="I3215" s="6">
        <v>8.2790527897710966</v>
      </c>
      <c r="K3215" s="8"/>
    </row>
    <row r="3216" spans="1:11" ht="15" x14ac:dyDescent="0.25">
      <c r="A3216" s="3" t="str">
        <f>HYPERLINK("proteomic_fractions_linear_files/Yang_linear_img/7106331.jpg", "7106331")</f>
        <v>7106331</v>
      </c>
      <c r="C3216" s="3" t="str">
        <f>HYPERLINK("http://www.ncbi.nlm.nih.gov/protein/7106331","H2afx")</f>
        <v>H2afx</v>
      </c>
      <c r="E3216" t="str">
        <f>HYPERLINK("J:\Depot - mpkCCD Fractions\Main Web Page\Web Pages_old\proteomic_fractions_linear_files/Yang_linear_img/7106331.jpg","show blot")</f>
        <v>show blot</v>
      </c>
      <c r="G3216" t="s">
        <v>3097</v>
      </c>
      <c r="I3216" s="6">
        <v>8.1948071557842876</v>
      </c>
      <c r="K3216" s="8"/>
    </row>
    <row r="3217" spans="1:11" ht="15" x14ac:dyDescent="0.25">
      <c r="A3217" s="3" t="str">
        <f>HYPERLINK("proteomic_fractions_linear_files/Yang_linear_img/283945572.jpg", "283945572")</f>
        <v>283945572</v>
      </c>
      <c r="C3217" s="3" t="str">
        <f>HYPERLINK("http://www.ncbi.nlm.nih.gov/protein/283945572","H2afy")</f>
        <v>H2afy</v>
      </c>
      <c r="E3217" t="str">
        <f>HYPERLINK("J:\Depot - mpkCCD Fractions\Main Web Page\Web Pages_old\proteomic_fractions_linear_files/Yang_linear_img/283945572.jpg","show blot")</f>
        <v>show blot</v>
      </c>
      <c r="G3217" t="s">
        <v>3098</v>
      </c>
      <c r="I3217" s="6">
        <v>6.1388607842830893</v>
      </c>
      <c r="K3217" s="8"/>
    </row>
    <row r="3218" spans="1:11" ht="15" x14ac:dyDescent="0.25">
      <c r="A3218" s="3" t="str">
        <f>HYPERLINK("proteomic_fractions_linear_files/Yang_linear_img/283945575.jpg", "283945575")</f>
        <v>283945575</v>
      </c>
      <c r="C3218" s="3" t="str">
        <f>HYPERLINK("http://www.ncbi.nlm.nih.gov/protein/283945575","H2afy")</f>
        <v>H2afy</v>
      </c>
      <c r="E3218" t="str">
        <f>HYPERLINK("J:\Depot - mpkCCD Fractions\Main Web Page\Web Pages_old\proteomic_fractions_linear_files/Yang_linear_img/283945575.jpg","show blot")</f>
        <v>show blot</v>
      </c>
      <c r="G3218" t="s">
        <v>3099</v>
      </c>
      <c r="I3218" s="6">
        <v>6.1388607842830893</v>
      </c>
      <c r="K3218" s="8"/>
    </row>
    <row r="3219" spans="1:11" ht="15" x14ac:dyDescent="0.25">
      <c r="A3219" s="3" t="str">
        <f>HYPERLINK("proteomic_fractions_linear_files/Yang_linear_img/283945579.jpg", "283945579")</f>
        <v>283945579</v>
      </c>
      <c r="C3219" s="3" t="str">
        <f>HYPERLINK("http://www.ncbi.nlm.nih.gov/protein/283945579","H2afy")</f>
        <v>H2afy</v>
      </c>
      <c r="E3219" t="str">
        <f>HYPERLINK("J:\Depot - mpkCCD Fractions\Main Web Page\Web Pages_old\proteomic_fractions_linear_files/Yang_linear_img/283945579.jpg","show blot")</f>
        <v>show blot</v>
      </c>
      <c r="G3219" t="s">
        <v>3100</v>
      </c>
      <c r="I3219" s="6">
        <v>6.1388607842830893</v>
      </c>
      <c r="K3219" s="8"/>
    </row>
    <row r="3220" spans="1:11" ht="15" x14ac:dyDescent="0.25">
      <c r="A3220" s="3" t="str">
        <f>HYPERLINK("proteomic_fractions_linear_files/Yang_linear_img/41152517.jpg", "41152517")</f>
        <v>41152517</v>
      </c>
      <c r="C3220" s="3" t="str">
        <f>HYPERLINK("http://www.ncbi.nlm.nih.gov/protein/41152517","H2afy")</f>
        <v>H2afy</v>
      </c>
      <c r="E3220" t="str">
        <f>HYPERLINK("J:\Depot - mpkCCD Fractions\Main Web Page\Web Pages_old\proteomic_fractions_linear_files/Yang_linear_img/41152517.jpg","show blot")</f>
        <v>show blot</v>
      </c>
      <c r="G3220" t="s">
        <v>3101</v>
      </c>
      <c r="I3220" s="6">
        <v>6.1388607842830893</v>
      </c>
      <c r="K3220" s="8"/>
    </row>
    <row r="3221" spans="1:11" ht="15" x14ac:dyDescent="0.25">
      <c r="A3221" s="3" t="str">
        <f>HYPERLINK("proteomic_fractions_linear_files/Yang_linear_img/46250738.jpg", "46250738")</f>
        <v>46250738</v>
      </c>
      <c r="C3221" s="3" t="str">
        <f>HYPERLINK("http://www.ncbi.nlm.nih.gov/protein/46250738","H2afy2")</f>
        <v>H2afy2</v>
      </c>
      <c r="E3221" t="str">
        <f>HYPERLINK("J:\Depot - mpkCCD Fractions\Main Web Page\Web Pages_old\proteomic_fractions_linear_files/Yang_linear_img/46250738.jpg","show blot")</f>
        <v>show blot</v>
      </c>
      <c r="G3221" t="s">
        <v>3102</v>
      </c>
      <c r="I3221" s="6">
        <v>5.688920122350126</v>
      </c>
      <c r="K3221" s="8"/>
    </row>
    <row r="3222" spans="1:11" ht="15" x14ac:dyDescent="0.25">
      <c r="A3222" s="3" t="str">
        <f>HYPERLINK("proteomic_fractions_linear_files/Yang_linear_img/7949045.jpg", "7949045")</f>
        <v>7949045</v>
      </c>
      <c r="C3222" s="3" t="str">
        <f>HYPERLINK("http://www.ncbi.nlm.nih.gov/protein/7949045","H2afz")</f>
        <v>H2afz</v>
      </c>
      <c r="E3222" t="str">
        <f>HYPERLINK("J:\Depot - mpkCCD Fractions\Main Web Page\Web Pages_old\proteomic_fractions_linear_files/Yang_linear_img/7949045.jpg","show blot")</f>
        <v>show blot</v>
      </c>
      <c r="G3222" t="s">
        <v>3103</v>
      </c>
      <c r="I3222" s="6">
        <v>8.2789075056856234</v>
      </c>
      <c r="K3222" s="8"/>
    </row>
    <row r="3223" spans="1:11" ht="15" x14ac:dyDescent="0.25">
      <c r="A3223" s="3" t="str">
        <f>HYPERLINK("proteomic_fractions_linear_files/Yang_linear_img/133778955.jpg", "133778955")</f>
        <v>133778955</v>
      </c>
      <c r="C3223" s="3" t="str">
        <f>HYPERLINK("http://www.ncbi.nlm.nih.gov/protein/133778955","H2-D1")</f>
        <v>H2-D1</v>
      </c>
      <c r="E3223" t="str">
        <f>HYPERLINK("J:\Depot - mpkCCD Fractions\Main Web Page\Web Pages_old\proteomic_fractions_linear_files/Yang_linear_img/133778955.jpg","show blot")</f>
        <v>show blot</v>
      </c>
      <c r="G3223" t="s">
        <v>3104</v>
      </c>
      <c r="I3223" s="6">
        <v>4.2962285944180909</v>
      </c>
      <c r="K3223" s="8"/>
    </row>
    <row r="3224" spans="1:11" ht="15" x14ac:dyDescent="0.25">
      <c r="A3224" s="3" t="str">
        <f>HYPERLINK("proteomic_fractions_linear_files/Yang_linear_img/133922588.jpg", "133922588")</f>
        <v>133922588</v>
      </c>
      <c r="C3224" s="3" t="str">
        <f>HYPERLINK("http://www.ncbi.nlm.nih.gov/protein/133922588","H2-K1")</f>
        <v>H2-K1</v>
      </c>
      <c r="E3224" t="str">
        <f>HYPERLINK("J:\Depot - mpkCCD Fractions\Main Web Page\Web Pages_old\proteomic_fractions_linear_files/Yang_linear_img/133922588.jpg","show blot")</f>
        <v>show blot</v>
      </c>
      <c r="G3224" t="s">
        <v>3105</v>
      </c>
      <c r="I3224" s="6">
        <v>4.6425994880601769</v>
      </c>
      <c r="K3224" s="8"/>
    </row>
    <row r="3225" spans="1:11" ht="15" x14ac:dyDescent="0.25">
      <c r="A3225" s="3" t="str">
        <f>HYPERLINK("proteomic_fractions_linear_files/Yang_linear_img/6754128;297747288.jpg", "6754128;297747288")</f>
        <v>6754128;297747288</v>
      </c>
      <c r="C3225" s="3" t="str">
        <f>HYPERLINK("http://www.ncbi.nlm.nih.gov/protein/6754128;297747288","H2-Ke2")</f>
        <v>H2-Ke2</v>
      </c>
      <c r="E3225" t="str">
        <f>HYPERLINK("J:\Depot - mpkCCD Fractions\Main Web Page\Web Pages_old\proteomic_fractions_linear_files/Yang_linear_img/6754128;297747288.jpg","show blot")</f>
        <v>show blot</v>
      </c>
      <c r="G3225" t="s">
        <v>3106</v>
      </c>
      <c r="I3225" s="6">
        <v>4.7591613733744662</v>
      </c>
      <c r="K3225" s="8"/>
    </row>
    <row r="3226" spans="1:11" ht="15" x14ac:dyDescent="0.25">
      <c r="A3226" s="3" t="str">
        <f>HYPERLINK("proteomic_fractions_linear_files/Yang_linear_img/297747288.jpg", "297747288")</f>
        <v>297747288</v>
      </c>
      <c r="C3226" s="3" t="str">
        <f>HYPERLINK("http://www.ncbi.nlm.nih.gov/protein/297747288","H2-Ke2")</f>
        <v>H2-Ke2</v>
      </c>
      <c r="E3226" t="str">
        <f>HYPERLINK("J:\Depot - mpkCCD Fractions\Main Web Page\Web Pages_old\proteomic_fractions_linear_files/Yang_linear_img/297747288.jpg","show blot")</f>
        <v>show blot</v>
      </c>
      <c r="G3226" t="s">
        <v>3106</v>
      </c>
      <c r="I3226" s="6">
        <v>4.7591613733744662</v>
      </c>
      <c r="K3226" s="8"/>
    </row>
    <row r="3227" spans="1:11" ht="15" x14ac:dyDescent="0.25">
      <c r="A3227" s="3" t="str">
        <f>HYPERLINK("proteomic_fractions_linear_files/Yang_linear_img/157951743.jpg", "157951743")</f>
        <v>157951743</v>
      </c>
      <c r="C3227" s="3" t="str">
        <f>HYPERLINK("http://www.ncbi.nlm.nih.gov/protein/157951743","H2-Ke6")</f>
        <v>H2-Ke6</v>
      </c>
      <c r="E3227" t="str">
        <f>HYPERLINK("J:\Depot - mpkCCD Fractions\Main Web Page\Web Pages_old\proteomic_fractions_linear_files/Yang_linear_img/157951743.jpg","show blot")</f>
        <v>show blot</v>
      </c>
      <c r="G3227" t="s">
        <v>3107</v>
      </c>
      <c r="I3227" s="6">
        <v>5.3039696592409866</v>
      </c>
      <c r="K3227" s="8"/>
    </row>
    <row r="3228" spans="1:11" ht="15" x14ac:dyDescent="0.25">
      <c r="A3228" s="3" t="str">
        <f>HYPERLINK("proteomic_fractions_linear_files/Yang_linear_img/392357527.jpg", "392357527")</f>
        <v>392357527</v>
      </c>
      <c r="C3228" s="3" t="str">
        <f>HYPERLINK("http://www.ncbi.nlm.nih.gov/protein/392357527","H2-L")</f>
        <v>H2-L</v>
      </c>
      <c r="E3228" t="str">
        <f>HYPERLINK("J:\Depot - mpkCCD Fractions\Main Web Page\Web Pages_old\proteomic_fractions_linear_files/Yang_linear_img/392357527.jpg","show blot")</f>
        <v>show blot</v>
      </c>
      <c r="G3228" t="s">
        <v>3108</v>
      </c>
      <c r="I3228" s="6">
        <v>4.2170389941216104</v>
      </c>
      <c r="K3228" s="8"/>
    </row>
    <row r="3229" spans="1:11" ht="15" x14ac:dyDescent="0.25">
      <c r="A3229" s="3" t="str">
        <f>HYPERLINK("proteomic_fractions_linear_files/Yang_linear_img/160333390.jpg", "160333390")</f>
        <v>160333390</v>
      </c>
      <c r="C3229" s="3" t="str">
        <f>HYPERLINK("http://www.ncbi.nlm.nih.gov/protein/160333390","H2-Q1")</f>
        <v>H2-Q1</v>
      </c>
      <c r="E3229" t="str">
        <f>HYPERLINK("J:\Depot - mpkCCD Fractions\Main Web Page\Web Pages_old\proteomic_fractions_linear_files/Yang_linear_img/160333390.jpg","show blot")</f>
        <v>show blot</v>
      </c>
      <c r="G3229" t="s">
        <v>3109</v>
      </c>
      <c r="I3229" s="6">
        <v>3.091621871223269</v>
      </c>
      <c r="K3229" s="8"/>
    </row>
    <row r="3230" spans="1:11" ht="15" x14ac:dyDescent="0.25">
      <c r="A3230" s="3" t="str">
        <f>HYPERLINK("proteomic_fractions_linear_files/Yang_linear_img/6754132.jpg", "6754132")</f>
        <v>6754132</v>
      </c>
      <c r="C3230" s="3" t="str">
        <f>HYPERLINK("http://www.ncbi.nlm.nih.gov/protein/6754132","H2-Q10")</f>
        <v>H2-Q10</v>
      </c>
      <c r="E3230" t="str">
        <f>HYPERLINK("J:\Depot - mpkCCD Fractions\Main Web Page\Web Pages_old\proteomic_fractions_linear_files/Yang_linear_img/6754132.jpg","show blot")</f>
        <v>show blot</v>
      </c>
      <c r="G3230" t="s">
        <v>3110</v>
      </c>
      <c r="I3230" s="6">
        <v>3.1386184338994925</v>
      </c>
      <c r="K3230" s="8"/>
    </row>
    <row r="3231" spans="1:11" ht="15" x14ac:dyDescent="0.25">
      <c r="A3231" s="3" t="str">
        <f>HYPERLINK("proteomic_fractions_linear_files/Yang_linear_img/72535146.jpg", "72535146")</f>
        <v>72535146</v>
      </c>
      <c r="C3231" s="3" t="str">
        <f>HYPERLINK("http://www.ncbi.nlm.nih.gov/protein/72535146","H2-Q2")</f>
        <v>H2-Q2</v>
      </c>
      <c r="E3231" t="str">
        <f>HYPERLINK("J:\Depot - mpkCCD Fractions\Main Web Page\Web Pages_old\proteomic_fractions_linear_files/Yang_linear_img/72535146.jpg","show blot")</f>
        <v>show blot</v>
      </c>
      <c r="G3231" t="s">
        <v>3111</v>
      </c>
      <c r="I3231" s="6">
        <v>4.1521718304452424</v>
      </c>
      <c r="K3231" s="8"/>
    </row>
    <row r="3232" spans="1:11" ht="15" x14ac:dyDescent="0.25">
      <c r="A3232" s="3" t="str">
        <f>HYPERLINK("proteomic_fractions_linear_files/Yang_linear_img/219521935.jpg", "219521935")</f>
        <v>219521935</v>
      </c>
      <c r="C3232" s="3" t="str">
        <f>HYPERLINK("http://www.ncbi.nlm.nih.gov/protein/219521935","H2-Q4")</f>
        <v>H2-Q4</v>
      </c>
      <c r="E3232" t="str">
        <f>HYPERLINK("J:\Depot - mpkCCD Fractions\Main Web Page\Web Pages_old\proteomic_fractions_linear_files/Yang_linear_img/219521935.jpg","show blot")</f>
        <v>show blot</v>
      </c>
      <c r="G3232" t="s">
        <v>3112</v>
      </c>
      <c r="I3232" s="6">
        <v>4.3619135186511331</v>
      </c>
      <c r="K3232" s="8"/>
    </row>
    <row r="3233" spans="1:11" ht="15" x14ac:dyDescent="0.25">
      <c r="A3233" s="3" t="str">
        <f>HYPERLINK("proteomic_fractions_linear_files/Yang_linear_img/46559400.jpg", "46559400")</f>
        <v>46559400</v>
      </c>
      <c r="C3233" s="3" t="str">
        <f>HYPERLINK("http://www.ncbi.nlm.nih.gov/protein/46559400","H2-Q6")</f>
        <v>H2-Q6</v>
      </c>
      <c r="E3233" t="str">
        <f>HYPERLINK("J:\Depot - mpkCCD Fractions\Main Web Page\Web Pages_old\proteomic_fractions_linear_files/Yang_linear_img/46559400.jpg","show blot")</f>
        <v>show blot</v>
      </c>
      <c r="G3233" t="s">
        <v>3113</v>
      </c>
      <c r="I3233" s="6">
        <v>4.2250250166670744</v>
      </c>
      <c r="K3233" s="8"/>
    </row>
    <row r="3234" spans="1:11" ht="15" x14ac:dyDescent="0.25">
      <c r="A3234" s="3" t="str">
        <f>HYPERLINK("proteomic_fractions_linear_files/Yang_linear_img/310616733.jpg", "310616733")</f>
        <v>310616733</v>
      </c>
      <c r="C3234" s="3" t="str">
        <f>HYPERLINK("http://www.ncbi.nlm.nih.gov/protein/310616733","H2-Q7")</f>
        <v>H2-Q7</v>
      </c>
      <c r="E3234" t="str">
        <f>HYPERLINK("J:\Depot - mpkCCD Fractions\Main Web Page\Web Pages_old\proteomic_fractions_linear_files/Yang_linear_img/310616733.jpg","show blot")</f>
        <v>show blot</v>
      </c>
      <c r="G3234" t="s">
        <v>3114</v>
      </c>
      <c r="I3234" s="6">
        <v>4.4266703801951435</v>
      </c>
      <c r="K3234" s="8"/>
    </row>
    <row r="3235" spans="1:11" ht="15" x14ac:dyDescent="0.25">
      <c r="A3235" s="3" t="str">
        <f>HYPERLINK("proteomic_fractions_linear_files/Yang_linear_img/310616735.jpg", "310616735")</f>
        <v>310616735</v>
      </c>
      <c r="C3235" s="3" t="str">
        <f>HYPERLINK("http://www.ncbi.nlm.nih.gov/protein/310616735","H2-Q7")</f>
        <v>H2-Q7</v>
      </c>
      <c r="E3235" t="str">
        <f>HYPERLINK("J:\Depot - mpkCCD Fractions\Main Web Page\Web Pages_old\proteomic_fractions_linear_files/Yang_linear_img/310616735.jpg","show blot")</f>
        <v>show blot</v>
      </c>
      <c r="G3235" t="s">
        <v>3115</v>
      </c>
      <c r="I3235" s="6">
        <v>4.4266703801951435</v>
      </c>
      <c r="K3235" s="8"/>
    </row>
    <row r="3236" spans="1:11" ht="15" x14ac:dyDescent="0.25">
      <c r="A3236" s="3" t="str">
        <f>HYPERLINK("proteomic_fractions_linear_files/Yang_linear_img/310616737.jpg", "310616737")</f>
        <v>310616737</v>
      </c>
      <c r="C3236" s="3" t="str">
        <f>HYPERLINK("http://www.ncbi.nlm.nih.gov/protein/310616737","H2-Q7")</f>
        <v>H2-Q7</v>
      </c>
      <c r="E3236" t="str">
        <f>HYPERLINK("J:\Depot - mpkCCD Fractions\Main Web Page\Web Pages_old\proteomic_fractions_linear_files/Yang_linear_img/310616737.jpg","show blot")</f>
        <v>show blot</v>
      </c>
      <c r="G3236" t="s">
        <v>3116</v>
      </c>
      <c r="I3236" s="6">
        <v>4.4266703801951435</v>
      </c>
      <c r="K3236" s="8"/>
    </row>
    <row r="3237" spans="1:11" ht="15" x14ac:dyDescent="0.25">
      <c r="A3237" s="3" t="str">
        <f>HYPERLINK("proteomic_fractions_linear_files/Yang_linear_img/389595436.jpg", "389595436")</f>
        <v>389595436</v>
      </c>
      <c r="C3237" s="3" t="str">
        <f>HYPERLINK("http://www.ncbi.nlm.nih.gov/protein/389595436","H2-Q8")</f>
        <v>H2-Q8</v>
      </c>
      <c r="E3237" t="str">
        <f>HYPERLINK("J:\Depot - mpkCCD Fractions\Main Web Page\Web Pages_old\proteomic_fractions_linear_files/Yang_linear_img/389595436.jpg","show blot")</f>
        <v>show blot</v>
      </c>
      <c r="G3237" t="s">
        <v>3117</v>
      </c>
      <c r="I3237" s="6">
        <v>4.2250250166670744</v>
      </c>
      <c r="K3237" s="8"/>
    </row>
    <row r="3238" spans="1:11" ht="15" x14ac:dyDescent="0.25">
      <c r="A3238" s="3" t="str">
        <f>HYPERLINK("proteomic_fractions_linear_files/Yang_linear_img/319803125.jpg", "319803125")</f>
        <v>319803125</v>
      </c>
      <c r="C3238" s="3" t="str">
        <f>HYPERLINK("http://www.ncbi.nlm.nih.gov/protein/319803125","H2-Q9")</f>
        <v>H2-Q9</v>
      </c>
      <c r="E3238" t="str">
        <f>HYPERLINK("J:\Depot - mpkCCD Fractions\Main Web Page\Web Pages_old\proteomic_fractions_linear_files/Yang_linear_img/319803125.jpg","show blot")</f>
        <v>show blot</v>
      </c>
      <c r="G3238" t="s">
        <v>3118</v>
      </c>
      <c r="I3238" s="6">
        <v>4.2127905602500624</v>
      </c>
      <c r="K3238" s="8"/>
    </row>
    <row r="3239" spans="1:11" ht="15" x14ac:dyDescent="0.25">
      <c r="A3239" s="3" t="str">
        <f>HYPERLINK("proteomic_fractions_linear_files/Yang_linear_img/407260856.jpg", "407260856")</f>
        <v>407260856</v>
      </c>
      <c r="C3239" s="3" t="str">
        <f>HYPERLINK("http://www.ncbi.nlm.nih.gov/protein/407260856","H2-T23")</f>
        <v>H2-T23</v>
      </c>
      <c r="E3239" t="str">
        <f>HYPERLINK("J:\Depot - mpkCCD Fractions\Main Web Page\Web Pages_old\proteomic_fractions_linear_files/Yang_linear_img/407260856.jpg","show blot")</f>
        <v>show blot</v>
      </c>
      <c r="G3239" t="s">
        <v>3119</v>
      </c>
      <c r="I3239" s="6">
        <v>4.1408908200355539</v>
      </c>
      <c r="K3239" s="8"/>
    </row>
    <row r="3240" spans="1:11" ht="15" x14ac:dyDescent="0.25">
      <c r="A3240" s="3" t="str">
        <f>HYPERLINK("proteomic_fractions_linear_files/Yang_linear_img/6754148.jpg", "6754148")</f>
        <v>6754148</v>
      </c>
      <c r="C3240" s="3" t="str">
        <f>HYPERLINK("http://www.ncbi.nlm.nih.gov/protein/6754148","H2-T23")</f>
        <v>H2-T23</v>
      </c>
      <c r="E3240" t="str">
        <f>HYPERLINK("J:\Depot - mpkCCD Fractions\Main Web Page\Web Pages_old\proteomic_fractions_linear_files/Yang_linear_img/6754148.jpg","show blot")</f>
        <v>show blot</v>
      </c>
      <c r="G3240" t="s">
        <v>3120</v>
      </c>
      <c r="I3240" s="6">
        <v>4.1408908200355539</v>
      </c>
      <c r="K3240" s="8"/>
    </row>
    <row r="3241" spans="1:11" ht="15" x14ac:dyDescent="0.25">
      <c r="A3241" s="3" t="str">
        <f>HYPERLINK("proteomic_fractions_linear_files/Yang_linear_img/6680159.jpg", "6680159")</f>
        <v>6680159</v>
      </c>
      <c r="C3241" s="3" t="str">
        <f>HYPERLINK("http://www.ncbi.nlm.nih.gov/protein/6680159","H3f3a")</f>
        <v>H3f3a</v>
      </c>
      <c r="E3241" t="str">
        <f>HYPERLINK("J:\Depot - mpkCCD Fractions\Main Web Page\Web Pages_old\proteomic_fractions_linear_files/Yang_linear_img/6680159.jpg","show blot")</f>
        <v>show blot</v>
      </c>
      <c r="G3241" t="s">
        <v>3121</v>
      </c>
      <c r="I3241" s="6">
        <v>6.8442986656868117</v>
      </c>
      <c r="K3241" s="8"/>
    </row>
    <row r="3242" spans="1:11" ht="15" x14ac:dyDescent="0.25">
      <c r="A3242" s="3" t="str">
        <f>HYPERLINK("proteomic_fractions_linear_files/Yang_linear_img/6680161.jpg", "6680161")</f>
        <v>6680161</v>
      </c>
      <c r="C3242" s="3" t="str">
        <f>HYPERLINK("http://www.ncbi.nlm.nih.gov/protein/6680161","H3f3b")</f>
        <v>H3f3b</v>
      </c>
      <c r="E3242" t="str">
        <f>HYPERLINK("J:\Depot - mpkCCD Fractions\Main Web Page\Web Pages_old\proteomic_fractions_linear_files/Yang_linear_img/6680161.jpg","show blot")</f>
        <v>show blot</v>
      </c>
      <c r="G3242" t="s">
        <v>3121</v>
      </c>
      <c r="I3242" s="6">
        <v>7.711458180242813</v>
      </c>
      <c r="K3242" s="8"/>
    </row>
    <row r="3243" spans="1:11" ht="15" x14ac:dyDescent="0.25">
      <c r="A3243" s="3" t="str">
        <f>HYPERLINK("proteomic_fractions_linear_files/Yang_linear_img/82886797.jpg", "82886797")</f>
        <v>82886797</v>
      </c>
      <c r="C3243" s="3" t="str">
        <f>HYPERLINK("http://www.ncbi.nlm.nih.gov/protein/82886797","H3f3c")</f>
        <v>H3f3c</v>
      </c>
      <c r="E3243" t="str">
        <f>HYPERLINK("J:\Depot - mpkCCD Fractions\Main Web Page\Web Pages_old\proteomic_fractions_linear_files/Yang_linear_img/82886797.jpg","show blot")</f>
        <v>show blot</v>
      </c>
      <c r="G3243" t="s">
        <v>3122</v>
      </c>
      <c r="I3243" s="6">
        <v>7.7667529567654761</v>
      </c>
      <c r="K3243" s="8"/>
    </row>
    <row r="3244" spans="1:11" ht="15" x14ac:dyDescent="0.25">
      <c r="A3244" s="3" t="str">
        <f>HYPERLINK("proteomic_fractions_linear_files/Yang_linear_img/31982147.jpg", "31982147")</f>
        <v>31982147</v>
      </c>
      <c r="C3244" s="3" t="str">
        <f>HYPERLINK("http://www.ncbi.nlm.nih.gov/protein/31982147","H6pd")</f>
        <v>H6pd</v>
      </c>
      <c r="E3244" t="str">
        <f>HYPERLINK("J:\Depot - mpkCCD Fractions\Main Web Page\Web Pages_old\proteomic_fractions_linear_files/Yang_linear_img/31982147.jpg","show blot")</f>
        <v>show blot</v>
      </c>
      <c r="G3244" t="s">
        <v>3123</v>
      </c>
      <c r="I3244" s="6">
        <v>5.5522096113284363</v>
      </c>
      <c r="K3244" s="8"/>
    </row>
    <row r="3245" spans="1:11" ht="15" x14ac:dyDescent="0.25">
      <c r="A3245" s="3" t="str">
        <f>HYPERLINK("proteomic_fractions_linear_files/Yang_linear_img/283436216.jpg", "283436216")</f>
        <v>283436216</v>
      </c>
      <c r="C3245" s="3" t="str">
        <f>HYPERLINK("http://www.ncbi.nlm.nih.gov/protein/283436216","Hace1")</f>
        <v>Hace1</v>
      </c>
      <c r="E3245" t="str">
        <f>HYPERLINK("J:\Depot - mpkCCD Fractions\Main Web Page\Web Pages_old\proteomic_fractions_linear_files/Yang_linear_img/283436216.jpg","show blot")</f>
        <v>show blot</v>
      </c>
      <c r="G3245" t="s">
        <v>3124</v>
      </c>
      <c r="I3245" s="6">
        <v>1.8115176275539744</v>
      </c>
      <c r="K3245" s="8"/>
    </row>
    <row r="3246" spans="1:11" ht="15" x14ac:dyDescent="0.25">
      <c r="A3246" s="3" t="str">
        <f>HYPERLINK("proteomic_fractions_linear_files/Yang_linear_img/31560355.jpg", "31560355")</f>
        <v>31560355</v>
      </c>
      <c r="C3246" s="3" t="str">
        <f>HYPERLINK("http://www.ncbi.nlm.nih.gov/protein/31560355","Hacl1")</f>
        <v>Hacl1</v>
      </c>
      <c r="E3246" t="str">
        <f>HYPERLINK("J:\Depot - mpkCCD Fractions\Main Web Page\Web Pages_old\proteomic_fractions_linear_files/Yang_linear_img/31560355.jpg","show blot")</f>
        <v>show blot</v>
      </c>
      <c r="G3246" t="s">
        <v>3125</v>
      </c>
      <c r="I3246" s="6">
        <v>2.9442281281464551</v>
      </c>
      <c r="K3246" s="8"/>
    </row>
    <row r="3247" spans="1:11" ht="15" x14ac:dyDescent="0.25">
      <c r="A3247" s="3" t="str">
        <f>HYPERLINK("proteomic_fractions_linear_files/Yang_linear_img/111038118.jpg", "111038118")</f>
        <v>111038118</v>
      </c>
      <c r="C3247" s="3" t="str">
        <f>HYPERLINK("http://www.ncbi.nlm.nih.gov/protein/111038118","Hadh")</f>
        <v>Hadh</v>
      </c>
      <c r="E3247" t="str">
        <f>HYPERLINK("J:\Depot - mpkCCD Fractions\Main Web Page\Web Pages_old\proteomic_fractions_linear_files/Yang_linear_img/111038118.jpg","show blot")</f>
        <v>show blot</v>
      </c>
      <c r="G3247" t="s">
        <v>3126</v>
      </c>
      <c r="I3247" s="6">
        <v>5.4143881677166688</v>
      </c>
      <c r="K3247" s="8"/>
    </row>
    <row r="3248" spans="1:11" ht="15" x14ac:dyDescent="0.25">
      <c r="A3248" s="3" t="str">
        <f>HYPERLINK("proteomic_fractions_linear_files/Yang_linear_img/33859811.jpg", "33859811")</f>
        <v>33859811</v>
      </c>
      <c r="C3248" s="3" t="str">
        <f>HYPERLINK("http://www.ncbi.nlm.nih.gov/protein/33859811","Hadha")</f>
        <v>Hadha</v>
      </c>
      <c r="E3248" t="str">
        <f>HYPERLINK("J:\Depot - mpkCCD Fractions\Main Web Page\Web Pages_old\proteomic_fractions_linear_files/Yang_linear_img/33859811.jpg","show blot")</f>
        <v>show blot</v>
      </c>
      <c r="G3248" t="s">
        <v>3127</v>
      </c>
      <c r="I3248" s="6">
        <v>6.1311372578143484</v>
      </c>
      <c r="K3248" s="8"/>
    </row>
    <row r="3249" spans="1:11" ht="15" x14ac:dyDescent="0.25">
      <c r="A3249" s="3" t="str">
        <f>HYPERLINK("proteomic_fractions_linear_files/Yang_linear_img/21704100.jpg", "21704100")</f>
        <v>21704100</v>
      </c>
      <c r="C3249" s="3" t="str">
        <f>HYPERLINK("http://www.ncbi.nlm.nih.gov/protein/21704100","Hadhb")</f>
        <v>Hadhb</v>
      </c>
      <c r="E3249" t="str">
        <f>HYPERLINK("J:\Depot - mpkCCD Fractions\Main Web Page\Web Pages_old\proteomic_fractions_linear_files/Yang_linear_img/21704100.jpg","show blot")</f>
        <v>show blot</v>
      </c>
      <c r="G3249" t="s">
        <v>3128</v>
      </c>
      <c r="I3249" s="6">
        <v>6.0697734882345866</v>
      </c>
      <c r="K3249" s="8"/>
    </row>
    <row r="3250" spans="1:11" ht="15" x14ac:dyDescent="0.25">
      <c r="A3250" s="3" t="str">
        <f>HYPERLINK("proteomic_fractions_linear_files/Yang_linear_img/227499238.jpg", "227499238")</f>
        <v>227499238</v>
      </c>
      <c r="C3250" s="3" t="str">
        <f>HYPERLINK("http://www.ncbi.nlm.nih.gov/protein/227499238","Hagh")</f>
        <v>Hagh</v>
      </c>
      <c r="E3250" t="str">
        <f>HYPERLINK("J:\Depot - mpkCCD Fractions\Main Web Page\Web Pages_old\proteomic_fractions_linear_files/Yang_linear_img/227499238.jpg","show blot")</f>
        <v>show blot</v>
      </c>
      <c r="G3250" t="s">
        <v>3129</v>
      </c>
      <c r="I3250" s="6">
        <v>5.5458475809202055</v>
      </c>
      <c r="K3250" s="8"/>
    </row>
    <row r="3251" spans="1:11" ht="15" x14ac:dyDescent="0.25">
      <c r="A3251" s="3" t="str">
        <f>HYPERLINK("proteomic_fractions_linear_files/Yang_linear_img/227499240.jpg", "227499240")</f>
        <v>227499240</v>
      </c>
      <c r="C3251" s="3" t="str">
        <f>HYPERLINK("http://www.ncbi.nlm.nih.gov/protein/227499240","Hagh")</f>
        <v>Hagh</v>
      </c>
      <c r="E3251" t="str">
        <f>HYPERLINK("J:\Depot - mpkCCD Fractions\Main Web Page\Web Pages_old\proteomic_fractions_linear_files/Yang_linear_img/227499240.jpg","show blot")</f>
        <v>show blot</v>
      </c>
      <c r="G3251" t="s">
        <v>3130</v>
      </c>
      <c r="I3251" s="6">
        <v>5.5458475809202055</v>
      </c>
      <c r="K3251" s="8"/>
    </row>
    <row r="3252" spans="1:11" ht="15" x14ac:dyDescent="0.25">
      <c r="A3252" s="3" t="str">
        <f>HYPERLINK("proteomic_fractions_linear_files/Yang_linear_img/406855413.jpg", "406855413")</f>
        <v>406855413</v>
      </c>
      <c r="C3252" s="3" t="str">
        <f>HYPERLINK("http://www.ncbi.nlm.nih.gov/protein/406855413","Haghl")</f>
        <v>Haghl</v>
      </c>
      <c r="E3252" t="str">
        <f>HYPERLINK("J:\Depot - mpkCCD Fractions\Main Web Page\Web Pages_old\proteomic_fractions_linear_files/Yang_linear_img/406855413.jpg","show blot")</f>
        <v>show blot</v>
      </c>
      <c r="G3252" t="s">
        <v>3131</v>
      </c>
      <c r="I3252" s="6">
        <v>2.6826864782497681</v>
      </c>
      <c r="K3252" s="8"/>
    </row>
    <row r="3253" spans="1:11" ht="15" x14ac:dyDescent="0.25">
      <c r="A3253" s="3" t="str">
        <f>HYPERLINK("proteomic_fractions_linear_files/Yang_linear_img/251823891.jpg", "251823891")</f>
        <v>251823891</v>
      </c>
      <c r="C3253" s="3" t="str">
        <f>HYPERLINK("http://www.ncbi.nlm.nih.gov/protein/251823891","Hars")</f>
        <v>Hars</v>
      </c>
      <c r="E3253" t="str">
        <f>HYPERLINK("J:\Depot - mpkCCD Fractions\Main Web Page\Web Pages_old\proteomic_fractions_linear_files/Yang_linear_img/251823891.jpg","show blot")</f>
        <v>show blot</v>
      </c>
      <c r="G3253" t="s">
        <v>3132</v>
      </c>
      <c r="I3253" s="6">
        <v>5.6767079665365356</v>
      </c>
      <c r="K3253" s="8"/>
    </row>
    <row r="3254" spans="1:11" ht="15" x14ac:dyDescent="0.25">
      <c r="A3254" s="3" t="str">
        <f>HYPERLINK("proteomic_fractions_linear_files/Yang_linear_img/18079343.jpg", "18079343")</f>
        <v>18079343</v>
      </c>
      <c r="C3254" s="3" t="str">
        <f>HYPERLINK("http://www.ncbi.nlm.nih.gov/protein/18079343","Hars2")</f>
        <v>Hars2</v>
      </c>
      <c r="E3254" t="str">
        <f>HYPERLINK("J:\Depot - mpkCCD Fractions\Main Web Page\Web Pages_old\proteomic_fractions_linear_files/Yang_linear_img/18079343.jpg","show blot")</f>
        <v>show blot</v>
      </c>
      <c r="G3254" t="s">
        <v>3133</v>
      </c>
      <c r="I3254" s="6">
        <v>4.312976051551126</v>
      </c>
      <c r="K3254" s="8"/>
    </row>
    <row r="3255" spans="1:11" ht="15" x14ac:dyDescent="0.25">
      <c r="A3255" s="3" t="str">
        <f>HYPERLINK("proteomic_fractions_linear_files/Yang_linear_img/6680169.jpg", "6680169")</f>
        <v>6680169</v>
      </c>
      <c r="C3255" s="3" t="str">
        <f>HYPERLINK("http://www.ncbi.nlm.nih.gov/protein/6680169","Has1")</f>
        <v>Has1</v>
      </c>
      <c r="E3255" t="str">
        <f>HYPERLINK("J:\Depot - mpkCCD Fractions\Main Web Page\Web Pages_old\proteomic_fractions_linear_files/Yang_linear_img/6680169.jpg","show blot")</f>
        <v>show blot</v>
      </c>
      <c r="G3255" t="s">
        <v>3134</v>
      </c>
      <c r="I3255" s="6">
        <v>5.0083071226560811</v>
      </c>
      <c r="K3255" s="8"/>
    </row>
    <row r="3256" spans="1:11" ht="15" x14ac:dyDescent="0.25">
      <c r="A3256" s="3" t="str">
        <f>HYPERLINK("proteomic_fractions_linear_files/Yang_linear_img/28076885.jpg", "28076885")</f>
        <v>28076885</v>
      </c>
      <c r="C3256" s="3" t="str">
        <f>HYPERLINK("http://www.ncbi.nlm.nih.gov/protein/28076885","Hat1")</f>
        <v>Hat1</v>
      </c>
      <c r="E3256" t="str">
        <f>HYPERLINK("J:\Depot - mpkCCD Fractions\Main Web Page\Web Pages_old\proteomic_fractions_linear_files/Yang_linear_img/28076885.jpg","show blot")</f>
        <v>show blot</v>
      </c>
      <c r="G3256" t="s">
        <v>3135</v>
      </c>
      <c r="I3256" s="6">
        <v>5.6105111254518052</v>
      </c>
      <c r="K3256" s="8"/>
    </row>
    <row r="3257" spans="1:11" ht="15" x14ac:dyDescent="0.25">
      <c r="A3257" s="3" t="str">
        <f>HYPERLINK("proteomic_fractions_linear_files/Yang_linear_img/22122693.jpg", "22122693")</f>
        <v>22122693</v>
      </c>
      <c r="C3257" s="3" t="str">
        <f>HYPERLINK("http://www.ncbi.nlm.nih.gov/protein/22122693","Haus3")</f>
        <v>Haus3</v>
      </c>
      <c r="E3257" t="str">
        <f>HYPERLINK("J:\Depot - mpkCCD Fractions\Main Web Page\Web Pages_old\proteomic_fractions_linear_files/Yang_linear_img/22122693.jpg","show blot")</f>
        <v>show blot</v>
      </c>
      <c r="G3257" t="s">
        <v>3136</v>
      </c>
      <c r="I3257" s="6">
        <v>0.96005255571595594</v>
      </c>
      <c r="K3257" s="8"/>
    </row>
    <row r="3258" spans="1:11" ht="15" x14ac:dyDescent="0.25">
      <c r="A3258" s="3" t="str">
        <f>HYPERLINK("proteomic_fractions_linear_files/Yang_linear_img/226442837.jpg", "226442837")</f>
        <v>226442837</v>
      </c>
      <c r="C3258" s="3" t="str">
        <f>HYPERLINK("http://www.ncbi.nlm.nih.gov/protein/226442837","Haus5")</f>
        <v>Haus5</v>
      </c>
      <c r="E3258" t="str">
        <f>HYPERLINK("J:\Depot - mpkCCD Fractions\Main Web Page\Web Pages_old\proteomic_fractions_linear_files/Yang_linear_img/226442837.jpg","show blot")</f>
        <v>show blot</v>
      </c>
      <c r="G3258" t="s">
        <v>3137</v>
      </c>
      <c r="I3258" s="6">
        <v>2.1711963218988433</v>
      </c>
      <c r="K3258" s="8"/>
    </row>
    <row r="3259" spans="1:11" ht="15" x14ac:dyDescent="0.25">
      <c r="A3259" s="3" t="str">
        <f>HYPERLINK("proteomic_fractions_linear_files/Yang_linear_img/498752597.jpg", "498752597")</f>
        <v>498752597</v>
      </c>
      <c r="C3259" s="3" t="str">
        <f>HYPERLINK("http://www.ncbi.nlm.nih.gov/protein/498752597","Hbb-b1")</f>
        <v>Hbb-b1</v>
      </c>
      <c r="E3259" t="str">
        <f>HYPERLINK("J:\Depot - mpkCCD Fractions\Main Web Page\Web Pages_old\proteomic_fractions_linear_files/Yang_linear_img/498752597.jpg","show blot")</f>
        <v>show blot</v>
      </c>
      <c r="G3259" t="s">
        <v>3138</v>
      </c>
      <c r="I3259" s="6">
        <v>5.4282247425260204</v>
      </c>
      <c r="K3259" s="8"/>
    </row>
    <row r="3260" spans="1:11" ht="15" x14ac:dyDescent="0.25">
      <c r="A3260" s="3" t="str">
        <f>HYPERLINK("proteomic_fractions_linear_files/Yang_linear_img/31982300;319402143.jpg", "31982300;319402143")</f>
        <v>31982300;319402143</v>
      </c>
      <c r="C3260" s="3" t="str">
        <f>HYPERLINK("http://www.ncbi.nlm.nih.gov/protein/31982300;319402143","Hbb-bt")</f>
        <v>Hbb-bt</v>
      </c>
      <c r="E3260" t="str">
        <f>HYPERLINK("J:\Depot - mpkCCD Fractions\Main Web Page\Web Pages_old\proteomic_fractions_linear_files/Yang_linear_img/31982300;319402143.jpg","show blot")</f>
        <v>show blot</v>
      </c>
      <c r="G3260" t="s">
        <v>3139</v>
      </c>
      <c r="I3260" s="6">
        <v>3.8630627122811925</v>
      </c>
      <c r="K3260" s="8"/>
    </row>
    <row r="3261" spans="1:11" ht="15" x14ac:dyDescent="0.25">
      <c r="A3261" s="3" t="str">
        <f>HYPERLINK("proteomic_fractions_linear_files/Yang_linear_img/6754178.jpg", "6754178")</f>
        <v>6754178</v>
      </c>
      <c r="C3261" s="3" t="str">
        <f>HYPERLINK("http://www.ncbi.nlm.nih.gov/protein/6754178","Hbegf")</f>
        <v>Hbegf</v>
      </c>
      <c r="E3261" t="str">
        <f>HYPERLINK("J:\Depot - mpkCCD Fractions\Main Web Page\Web Pages_old\proteomic_fractions_linear_files/Yang_linear_img/6754178.jpg","show blot")</f>
        <v>show blot</v>
      </c>
      <c r="G3261" t="s">
        <v>3140</v>
      </c>
      <c r="I3261" s="6">
        <v>3.9621537925627375</v>
      </c>
      <c r="K3261" s="8"/>
    </row>
    <row r="3262" spans="1:11" ht="15" x14ac:dyDescent="0.25">
      <c r="A3262" s="3" t="str">
        <f>HYPERLINK("proteomic_fractions_linear_files/Yang_linear_img/223634002.jpg", "223634002")</f>
        <v>223634002</v>
      </c>
      <c r="C3262" s="3" t="str">
        <f>HYPERLINK("http://www.ncbi.nlm.nih.gov/protein/223634002","Hbs1l")</f>
        <v>Hbs1l</v>
      </c>
      <c r="E3262" t="str">
        <f>HYPERLINK("J:\Depot - mpkCCD Fractions\Main Web Page\Web Pages_old\proteomic_fractions_linear_files/Yang_linear_img/223634002.jpg","show blot")</f>
        <v>show blot</v>
      </c>
      <c r="G3262" t="s">
        <v>3141</v>
      </c>
      <c r="I3262" s="6">
        <v>3.7789385945622009</v>
      </c>
      <c r="K3262" s="8"/>
    </row>
    <row r="3263" spans="1:11" ht="15" x14ac:dyDescent="0.25">
      <c r="A3263" s="3" t="str">
        <f>HYPERLINK("proteomic_fractions_linear_files/Yang_linear_img/110611222.jpg", "110611222")</f>
        <v>110611222</v>
      </c>
      <c r="C3263" s="3" t="str">
        <f>HYPERLINK("http://www.ncbi.nlm.nih.gov/protein/110611222","Hbs1l")</f>
        <v>Hbs1l</v>
      </c>
      <c r="E3263" t="str">
        <f>HYPERLINK("J:\Depot - mpkCCD Fractions\Main Web Page\Web Pages_old\proteomic_fractions_linear_files/Yang_linear_img/110611222.jpg","show blot")</f>
        <v>show blot</v>
      </c>
      <c r="G3263" t="s">
        <v>3142</v>
      </c>
      <c r="I3263" s="6">
        <v>3.7789385945622009</v>
      </c>
      <c r="K3263" s="8"/>
    </row>
    <row r="3264" spans="1:11" ht="15" x14ac:dyDescent="0.25">
      <c r="A3264" s="3" t="str">
        <f>HYPERLINK("proteomic_fractions_linear_files/Yang_linear_img/110611224.jpg", "110611224")</f>
        <v>110611224</v>
      </c>
      <c r="C3264" s="3" t="str">
        <f>HYPERLINK("http://www.ncbi.nlm.nih.gov/protein/110611224","Hbs1l")</f>
        <v>Hbs1l</v>
      </c>
      <c r="E3264" t="str">
        <f>HYPERLINK("J:\Depot - mpkCCD Fractions\Main Web Page\Web Pages_old\proteomic_fractions_linear_files/Yang_linear_img/110611224.jpg","show blot")</f>
        <v>show blot</v>
      </c>
      <c r="G3264" t="s">
        <v>3143</v>
      </c>
      <c r="I3264" s="6">
        <v>3.7789385945622009</v>
      </c>
      <c r="K3264" s="8"/>
    </row>
    <row r="3265" spans="1:11" ht="15" x14ac:dyDescent="0.25">
      <c r="A3265" s="3" t="str">
        <f>HYPERLINK("proteomic_fractions_linear_files/Yang_linear_img/225543251.jpg", "225543251")</f>
        <v>225543251</v>
      </c>
      <c r="C3265" s="3" t="str">
        <f>HYPERLINK("http://www.ncbi.nlm.nih.gov/protein/225543251","Hccs")</f>
        <v>Hccs</v>
      </c>
      <c r="E3265" t="str">
        <f>HYPERLINK("J:\Depot - mpkCCD Fractions\Main Web Page\Web Pages_old\proteomic_fractions_linear_files/Yang_linear_img/225543251.jpg","show blot")</f>
        <v>show blot</v>
      </c>
      <c r="G3265" t="s">
        <v>3144</v>
      </c>
      <c r="I3265" s="6">
        <v>4.1246699621975962</v>
      </c>
      <c r="K3265" s="8"/>
    </row>
    <row r="3266" spans="1:11" ht="15" x14ac:dyDescent="0.25">
      <c r="A3266" s="3" t="str">
        <f>HYPERLINK("proteomic_fractions_linear_files/Yang_linear_img/34328130.jpg", "34328130")</f>
        <v>34328130</v>
      </c>
      <c r="C3266" s="3" t="str">
        <f>HYPERLINK("http://www.ncbi.nlm.nih.gov/protein/34328130","Hcfc1")</f>
        <v>Hcfc1</v>
      </c>
      <c r="E3266" t="str">
        <f>HYPERLINK("J:\Depot - mpkCCD Fractions\Main Web Page\Web Pages_old\proteomic_fractions_linear_files/Yang_linear_img/34328130.jpg","show blot")</f>
        <v>show blot</v>
      </c>
      <c r="G3266" t="s">
        <v>3145</v>
      </c>
      <c r="I3266" s="6">
        <v>3.347086720038797</v>
      </c>
      <c r="K3266" s="8"/>
    </row>
    <row r="3267" spans="1:11" ht="15" x14ac:dyDescent="0.25">
      <c r="A3267" s="3" t="str">
        <f>HYPERLINK("proteomic_fractions_linear_files/Yang_linear_img/287323109.jpg", "287323109")</f>
        <v>287323109</v>
      </c>
      <c r="C3267" s="3" t="str">
        <f>HYPERLINK("http://www.ncbi.nlm.nih.gov/protein/287323109","Hck")</f>
        <v>Hck</v>
      </c>
      <c r="E3267" t="str">
        <f>HYPERLINK("J:\Depot - mpkCCD Fractions\Main Web Page\Web Pages_old\proteomic_fractions_linear_files/Yang_linear_img/287323109.jpg","show blot")</f>
        <v>show blot</v>
      </c>
      <c r="G3267" t="s">
        <v>3146</v>
      </c>
      <c r="I3267" s="6">
        <v>5.4107693347487693</v>
      </c>
      <c r="K3267" s="8"/>
    </row>
    <row r="3268" spans="1:11" ht="15" x14ac:dyDescent="0.25">
      <c r="A3268" s="3" t="str">
        <f>HYPERLINK("proteomic_fractions_linear_files/Yang_linear_img/34734056.jpg", "34734056")</f>
        <v>34734056</v>
      </c>
      <c r="C3268" s="3" t="str">
        <f>HYPERLINK("http://www.ncbi.nlm.nih.gov/protein/34734056","Hck")</f>
        <v>Hck</v>
      </c>
      <c r="E3268" t="str">
        <f>HYPERLINK("J:\Depot - mpkCCD Fractions\Main Web Page\Web Pages_old\proteomic_fractions_linear_files/Yang_linear_img/34734056.jpg","show blot")</f>
        <v>show blot</v>
      </c>
      <c r="G3268" t="s">
        <v>3147</v>
      </c>
      <c r="I3268" s="6">
        <v>5.4107693347487693</v>
      </c>
      <c r="K3268" s="8"/>
    </row>
    <row r="3269" spans="1:11" ht="15" x14ac:dyDescent="0.25">
      <c r="A3269" s="3" t="str">
        <f>HYPERLINK("proteomic_fractions_linear_files/Yang_linear_img/6680191.jpg", "6680191")</f>
        <v>6680191</v>
      </c>
      <c r="C3269" s="3" t="str">
        <f>HYPERLINK("http://www.ncbi.nlm.nih.gov/protein/6680191","Hcn3")</f>
        <v>Hcn3</v>
      </c>
      <c r="E3269" t="str">
        <f>HYPERLINK("J:\Depot - mpkCCD Fractions\Main Web Page\Web Pages_old\proteomic_fractions_linear_files/Yang_linear_img/6680191.jpg","show blot")</f>
        <v>show blot</v>
      </c>
      <c r="G3269" t="s">
        <v>3148</v>
      </c>
      <c r="I3269" s="6">
        <v>1.2867564899852353</v>
      </c>
      <c r="K3269" s="8"/>
    </row>
    <row r="3270" spans="1:11" ht="15" x14ac:dyDescent="0.25">
      <c r="A3270" s="3" t="str">
        <f>HYPERLINK("proteomic_fractions_linear_files/Yang_linear_img/6680193.jpg", "6680193")</f>
        <v>6680193</v>
      </c>
      <c r="C3270" s="3" t="str">
        <f>HYPERLINK("http://www.ncbi.nlm.nih.gov/protein/6680193","Hdac1")</f>
        <v>Hdac1</v>
      </c>
      <c r="E3270" t="str">
        <f>HYPERLINK("J:\Depot - mpkCCD Fractions\Main Web Page\Web Pages_old\proteomic_fractions_linear_files/Yang_linear_img/6680193.jpg","show blot")</f>
        <v>show blot</v>
      </c>
      <c r="G3270" t="s">
        <v>3149</v>
      </c>
      <c r="I3270" s="6">
        <v>5.7759913968542387</v>
      </c>
      <c r="K3270" s="8"/>
    </row>
    <row r="3271" spans="1:11" ht="15" x14ac:dyDescent="0.25">
      <c r="A3271" s="3" t="str">
        <f>HYPERLINK("proteomic_fractions_linear_files/Yang_linear_img/259089444.jpg", "259089444")</f>
        <v>259089444</v>
      </c>
      <c r="C3271" s="3" t="str">
        <f>HYPERLINK("http://www.ncbi.nlm.nih.gov/protein/259089444","Hdac10")</f>
        <v>Hdac10</v>
      </c>
      <c r="E3271" t="str">
        <f>HYPERLINK("J:\Depot - mpkCCD Fractions\Main Web Page\Web Pages_old\proteomic_fractions_linear_files/Yang_linear_img/259089444.jpg","show blot")</f>
        <v>show blot</v>
      </c>
      <c r="G3271" t="s">
        <v>3150</v>
      </c>
      <c r="I3271" s="6">
        <v>3.1089133385628616</v>
      </c>
      <c r="K3271" s="8"/>
    </row>
    <row r="3272" spans="1:11" ht="15" x14ac:dyDescent="0.25">
      <c r="A3272" s="3" t="str">
        <f>HYPERLINK("proteomic_fractions_linear_files/Yang_linear_img/87162464.jpg", "87162464")</f>
        <v>87162464</v>
      </c>
      <c r="C3272" s="3" t="str">
        <f>HYPERLINK("http://www.ncbi.nlm.nih.gov/protein/87162464","Hdac2")</f>
        <v>Hdac2</v>
      </c>
      <c r="E3272" t="str">
        <f>HYPERLINK("J:\Depot - mpkCCD Fractions\Main Web Page\Web Pages_old\proteomic_fractions_linear_files/Yang_linear_img/87162464.jpg","show blot")</f>
        <v>show blot</v>
      </c>
      <c r="G3272" t="s">
        <v>3151</v>
      </c>
      <c r="I3272" s="6">
        <v>5.2879995830429323</v>
      </c>
      <c r="K3272" s="8"/>
    </row>
    <row r="3273" spans="1:11" ht="15" x14ac:dyDescent="0.25">
      <c r="A3273" s="3" t="str">
        <f>HYPERLINK("proteomic_fractions_linear_files/Yang_linear_img/89257352.jpg", "89257352")</f>
        <v>89257352</v>
      </c>
      <c r="C3273" s="3" t="str">
        <f>HYPERLINK("http://www.ncbi.nlm.nih.gov/protein/89257352","Hdac3")</f>
        <v>Hdac3</v>
      </c>
      <c r="E3273" t="str">
        <f>HYPERLINK("J:\Depot - mpkCCD Fractions\Main Web Page\Web Pages_old\proteomic_fractions_linear_files/Yang_linear_img/89257352.jpg","show blot")</f>
        <v>show blot</v>
      </c>
      <c r="G3273" t="s">
        <v>3152</v>
      </c>
      <c r="I3273" s="6">
        <v>4.0929970359915844</v>
      </c>
      <c r="K3273" s="8"/>
    </row>
    <row r="3274" spans="1:11" ht="15" x14ac:dyDescent="0.25">
      <c r="A3274" s="3" t="str">
        <f>HYPERLINK("proteomic_fractions_linear_files/Yang_linear_img/46402201.jpg", "46402201")</f>
        <v>46402201</v>
      </c>
      <c r="C3274" s="3" t="str">
        <f>HYPERLINK("http://www.ncbi.nlm.nih.gov/protein/46402201","Hdac4")</f>
        <v>Hdac4</v>
      </c>
      <c r="E3274" t="str">
        <f>HYPERLINK("J:\Depot - mpkCCD Fractions\Main Web Page\Web Pages_old\proteomic_fractions_linear_files/Yang_linear_img/46402201.jpg","show blot")</f>
        <v>show blot</v>
      </c>
      <c r="G3274" t="s">
        <v>3153</v>
      </c>
      <c r="I3274" s="6">
        <v>3.0772945112739913</v>
      </c>
      <c r="K3274" s="8"/>
    </row>
    <row r="3275" spans="1:11" ht="15" x14ac:dyDescent="0.25">
      <c r="A3275" s="3" t="str">
        <f>HYPERLINK("proteomic_fractions_linear_files/Yang_linear_img/194353997.jpg", "194353997")</f>
        <v>194353997</v>
      </c>
      <c r="C3275" s="3" t="str">
        <f>HYPERLINK("http://www.ncbi.nlm.nih.gov/protein/194353997","Hdac6")</f>
        <v>Hdac6</v>
      </c>
      <c r="E3275" t="str">
        <f>HYPERLINK("J:\Depot - mpkCCD Fractions\Main Web Page\Web Pages_old\proteomic_fractions_linear_files/Yang_linear_img/194353997.jpg","show blot")</f>
        <v>show blot</v>
      </c>
      <c r="G3275" t="s">
        <v>3154</v>
      </c>
      <c r="I3275" s="6">
        <v>4.377544426029961</v>
      </c>
      <c r="K3275" s="8"/>
    </row>
    <row r="3276" spans="1:11" ht="15" x14ac:dyDescent="0.25">
      <c r="A3276" s="3" t="str">
        <f>HYPERLINK("proteomic_fractions_linear_files/Yang_linear_img/58037203.jpg", "58037203")</f>
        <v>58037203</v>
      </c>
      <c r="C3276" s="3" t="str">
        <f>HYPERLINK("http://www.ncbi.nlm.nih.gov/protein/58037203","Hdac8")</f>
        <v>Hdac8</v>
      </c>
      <c r="E3276" t="str">
        <f>HYPERLINK("J:\Depot - mpkCCD Fractions\Main Web Page\Web Pages_old\proteomic_fractions_linear_files/Yang_linear_img/58037203.jpg","show blot")</f>
        <v>show blot</v>
      </c>
      <c r="G3276" t="s">
        <v>3155</v>
      </c>
      <c r="I3276" s="6">
        <v>3.2638152985486046</v>
      </c>
      <c r="K3276" s="8"/>
    </row>
    <row r="3277" spans="1:11" ht="15" x14ac:dyDescent="0.25">
      <c r="A3277" s="3" t="str">
        <f>HYPERLINK("proteomic_fractions_linear_files/Yang_linear_img/75832031.jpg", "75832031")</f>
        <v>75832031</v>
      </c>
      <c r="C3277" s="3" t="str">
        <f>HYPERLINK("http://www.ncbi.nlm.nih.gov/protein/75832031","Hddc2")</f>
        <v>Hddc2</v>
      </c>
      <c r="E3277" t="str">
        <f>HYPERLINK("J:\Depot - mpkCCD Fractions\Main Web Page\Web Pages_old\proteomic_fractions_linear_files/Yang_linear_img/75832031.jpg","show blot")</f>
        <v>show blot</v>
      </c>
      <c r="G3277" t="s">
        <v>3156</v>
      </c>
      <c r="I3277" s="6">
        <v>5.2276494257856285</v>
      </c>
      <c r="K3277" s="8"/>
    </row>
    <row r="3278" spans="1:11" ht="15" x14ac:dyDescent="0.25">
      <c r="A3278" s="3" t="str">
        <f>HYPERLINK("proteomic_fractions_linear_files/Yang_linear_img/21312092.jpg", "21312092")</f>
        <v>21312092</v>
      </c>
      <c r="C3278" s="3" t="str">
        <f>HYPERLINK("http://www.ncbi.nlm.nih.gov/protein/21312092","Hddc3")</f>
        <v>Hddc3</v>
      </c>
      <c r="E3278" t="str">
        <f>HYPERLINK("J:\Depot - mpkCCD Fractions\Main Web Page\Web Pages_old\proteomic_fractions_linear_files/Yang_linear_img/21312092.jpg","show blot")</f>
        <v>show blot</v>
      </c>
      <c r="G3278" t="s">
        <v>3157</v>
      </c>
      <c r="I3278" s="6">
        <v>4.6054476343266586</v>
      </c>
      <c r="K3278" s="8"/>
    </row>
    <row r="3279" spans="1:11" ht="15" x14ac:dyDescent="0.25">
      <c r="A3279" s="3" t="str">
        <f>HYPERLINK("proteomic_fractions_linear_files/Yang_linear_img/188497724.jpg", "188497724")</f>
        <v>188497724</v>
      </c>
      <c r="C3279" s="3" t="str">
        <f>HYPERLINK("http://www.ncbi.nlm.nih.gov/protein/188497724","Hdgf")</f>
        <v>Hdgf</v>
      </c>
      <c r="E3279" t="str">
        <f>HYPERLINK("J:\Depot - mpkCCD Fractions\Main Web Page\Web Pages_old\proteomic_fractions_linear_files/Yang_linear_img/188497724.jpg","show blot")</f>
        <v>show blot</v>
      </c>
      <c r="G3279" t="s">
        <v>3158</v>
      </c>
      <c r="I3279" s="6">
        <v>6.2865408198986543</v>
      </c>
      <c r="K3279" s="8"/>
    </row>
    <row r="3280" spans="1:11" ht="15" x14ac:dyDescent="0.25">
      <c r="A3280" s="3" t="str">
        <f>HYPERLINK("proteomic_fractions_linear_files/Yang_linear_img/6680201.jpg", "6680201")</f>
        <v>6680201</v>
      </c>
      <c r="C3280" s="3" t="str">
        <f>HYPERLINK("http://www.ncbi.nlm.nih.gov/protein/6680201","Hdgfrp2")</f>
        <v>Hdgfrp2</v>
      </c>
      <c r="E3280" t="str">
        <f>HYPERLINK("J:\Depot - mpkCCD Fractions\Main Web Page\Web Pages_old\proteomic_fractions_linear_files/Yang_linear_img/6680201.jpg","show blot")</f>
        <v>show blot</v>
      </c>
      <c r="G3280" t="s">
        <v>3159</v>
      </c>
      <c r="I3280" s="6">
        <v>4.1907731035080031</v>
      </c>
      <c r="K3280" s="8"/>
    </row>
    <row r="3281" spans="1:11" ht="15" x14ac:dyDescent="0.25">
      <c r="A3281" s="3" t="str">
        <f>HYPERLINK("proteomic_fractions_linear_files/Yang_linear_img/21313310.jpg", "21313310")</f>
        <v>21313310</v>
      </c>
      <c r="C3281" s="3" t="str">
        <f>HYPERLINK("http://www.ncbi.nlm.nih.gov/protein/21313310","Hdhd2")</f>
        <v>Hdhd2</v>
      </c>
      <c r="E3281" t="str">
        <f>HYPERLINK("J:\Depot - mpkCCD Fractions\Main Web Page\Web Pages_old\proteomic_fractions_linear_files/Yang_linear_img/21313310.jpg","show blot")</f>
        <v>show blot</v>
      </c>
      <c r="G3281" t="s">
        <v>3160</v>
      </c>
      <c r="I3281" s="6">
        <v>3.7742187717042732</v>
      </c>
      <c r="K3281" s="8"/>
    </row>
    <row r="3282" spans="1:11" ht="15" x14ac:dyDescent="0.25">
      <c r="A3282" s="3" t="str">
        <f>HYPERLINK("proteomic_fractions_linear_files/Yang_linear_img/21312204.jpg", "21312204")</f>
        <v>21312204</v>
      </c>
      <c r="C3282" s="3" t="str">
        <f>HYPERLINK("http://www.ncbi.nlm.nih.gov/protein/21312204","Hdhd3")</f>
        <v>Hdhd3</v>
      </c>
      <c r="E3282" t="str">
        <f>HYPERLINK("J:\Depot - mpkCCD Fractions\Main Web Page\Web Pages_old\proteomic_fractions_linear_files/Yang_linear_img/21312204.jpg","show blot")</f>
        <v>show blot</v>
      </c>
      <c r="G3282" t="s">
        <v>3161</v>
      </c>
      <c r="I3282" s="6">
        <v>4.4070743351631085</v>
      </c>
      <c r="K3282" s="8"/>
    </row>
    <row r="3283" spans="1:11" ht="15" x14ac:dyDescent="0.25">
      <c r="A3283" s="3" t="str">
        <f>HYPERLINK("proteomic_fractions_linear_files/Yang_linear_img/19527028.jpg", "19527028")</f>
        <v>19527028</v>
      </c>
      <c r="C3283" s="3" t="str">
        <f>HYPERLINK("http://www.ncbi.nlm.nih.gov/protein/19527028","Hdlbp")</f>
        <v>Hdlbp</v>
      </c>
      <c r="E3283" t="str">
        <f>HYPERLINK("J:\Depot - mpkCCD Fractions\Main Web Page\Web Pages_old\proteomic_fractions_linear_files/Yang_linear_img/19527028.jpg","show blot")</f>
        <v>show blot</v>
      </c>
      <c r="G3283" t="s">
        <v>3162</v>
      </c>
      <c r="I3283" s="6">
        <v>5.3183236710869624</v>
      </c>
      <c r="K3283" s="8"/>
    </row>
    <row r="3284" spans="1:11" ht="15" x14ac:dyDescent="0.25">
      <c r="A3284" s="3" t="str">
        <f>HYPERLINK("proteomic_fractions_linear_files/Yang_linear_img/46519149.jpg", "46519149")</f>
        <v>46519149</v>
      </c>
      <c r="C3284" s="3" t="str">
        <f>HYPERLINK("http://www.ncbi.nlm.nih.gov/protein/46519149","Heatr1")</f>
        <v>Heatr1</v>
      </c>
      <c r="E3284" t="str">
        <f>HYPERLINK("J:\Depot - mpkCCD Fractions\Main Web Page\Web Pages_old\proteomic_fractions_linear_files/Yang_linear_img/46519149.jpg","show blot")</f>
        <v>show blot</v>
      </c>
      <c r="G3284" t="s">
        <v>3163</v>
      </c>
      <c r="I3284" s="6">
        <v>3.0902591665056245</v>
      </c>
      <c r="K3284" s="8"/>
    </row>
    <row r="3285" spans="1:11" ht="15" x14ac:dyDescent="0.25">
      <c r="A3285" s="3" t="str">
        <f>HYPERLINK("proteomic_fractions_linear_files/Yang_linear_img/124486915.jpg", "124486915")</f>
        <v>124486915</v>
      </c>
      <c r="C3285" s="3" t="str">
        <f>HYPERLINK("http://www.ncbi.nlm.nih.gov/protein/124486915","Heatr2")</f>
        <v>Heatr2</v>
      </c>
      <c r="E3285" t="str">
        <f>HYPERLINK("J:\Depot - mpkCCD Fractions\Main Web Page\Web Pages_old\proteomic_fractions_linear_files/Yang_linear_img/124486915.jpg","show blot")</f>
        <v>show blot</v>
      </c>
      <c r="G3285" t="s">
        <v>3164</v>
      </c>
      <c r="I3285" s="6">
        <v>3.7061363429900198</v>
      </c>
      <c r="K3285" s="8"/>
    </row>
    <row r="3286" spans="1:11" ht="15" x14ac:dyDescent="0.25">
      <c r="A3286" s="3" t="str">
        <f>HYPERLINK("proteomic_fractions_linear_files/Yang_linear_img/40789301.jpg", "40789301")</f>
        <v>40789301</v>
      </c>
      <c r="C3286" s="3" t="str">
        <f>HYPERLINK("http://www.ncbi.nlm.nih.gov/protein/40789301","Heatr3")</f>
        <v>Heatr3</v>
      </c>
      <c r="E3286" t="str">
        <f>HYPERLINK("J:\Depot - mpkCCD Fractions\Main Web Page\Web Pages_old\proteomic_fractions_linear_files/Yang_linear_img/40789301.jpg","show blot")</f>
        <v>show blot</v>
      </c>
      <c r="G3286" t="s">
        <v>3165</v>
      </c>
      <c r="I3286" s="6">
        <v>4.5844405826632704</v>
      </c>
      <c r="K3286" s="8"/>
    </row>
    <row r="3287" spans="1:11" ht="15" x14ac:dyDescent="0.25">
      <c r="A3287" s="3" t="str">
        <f>HYPERLINK("proteomic_fractions_linear_files/Yang_linear_img/38505263.jpg", "38505263")</f>
        <v>38505263</v>
      </c>
      <c r="C3287" s="3" t="str">
        <f>HYPERLINK("http://www.ncbi.nlm.nih.gov/protein/38505263","Heatr5a")</f>
        <v>Heatr5a</v>
      </c>
      <c r="E3287" t="str">
        <f>HYPERLINK("J:\Depot - mpkCCD Fractions\Main Web Page\Web Pages_old\proteomic_fractions_linear_files/Yang_linear_img/38505263.jpg","show blot")</f>
        <v>show blot</v>
      </c>
      <c r="G3287" t="s">
        <v>3166</v>
      </c>
      <c r="I3287" s="6">
        <v>3.4471782355773577</v>
      </c>
      <c r="K3287" s="8"/>
    </row>
    <row r="3288" spans="1:11" ht="15" x14ac:dyDescent="0.25">
      <c r="A3288" s="3" t="str">
        <f>HYPERLINK("proteomic_fractions_linear_files/Yang_linear_img/124487157.jpg", "124487157")</f>
        <v>124487157</v>
      </c>
      <c r="C3288" s="3" t="str">
        <f>HYPERLINK("http://www.ncbi.nlm.nih.gov/protein/124487157","Heatr5b")</f>
        <v>Heatr5b</v>
      </c>
      <c r="E3288" t="str">
        <f>HYPERLINK("J:\Depot - mpkCCD Fractions\Main Web Page\Web Pages_old\proteomic_fractions_linear_files/Yang_linear_img/124487157.jpg","show blot")</f>
        <v>show blot</v>
      </c>
      <c r="G3288" t="s">
        <v>3167</v>
      </c>
      <c r="I3288" s="6">
        <v>3.9997133253857835</v>
      </c>
      <c r="K3288" s="8"/>
    </row>
    <row r="3289" spans="1:11" ht="15" x14ac:dyDescent="0.25">
      <c r="A3289" s="3" t="str">
        <f>HYPERLINK("proteomic_fractions_linear_files/Yang_linear_img/124249080.jpg", "124249080")</f>
        <v>124249080</v>
      </c>
      <c r="C3289" s="3" t="str">
        <f>HYPERLINK("http://www.ncbi.nlm.nih.gov/protein/124249080","Heatr6")</f>
        <v>Heatr6</v>
      </c>
      <c r="E3289" t="str">
        <f>HYPERLINK("J:\Depot - mpkCCD Fractions\Main Web Page\Web Pages_old\proteomic_fractions_linear_files/Yang_linear_img/124249080.jpg","show blot")</f>
        <v>show blot</v>
      </c>
      <c r="G3289" t="s">
        <v>3168</v>
      </c>
      <c r="I3289" s="6">
        <v>3.4752322270678304</v>
      </c>
      <c r="K3289" s="8"/>
    </row>
    <row r="3290" spans="1:11" ht="15" x14ac:dyDescent="0.25">
      <c r="A3290" s="3" t="str">
        <f>HYPERLINK("proteomic_fractions_linear_files/Yang_linear_img/124001580.jpg", "124001580")</f>
        <v>124001580</v>
      </c>
      <c r="C3290" s="3" t="str">
        <f>HYPERLINK("http://www.ncbi.nlm.nih.gov/protein/124001580","Hebp1")</f>
        <v>Hebp1</v>
      </c>
      <c r="E3290" t="str">
        <f>HYPERLINK("J:\Depot - mpkCCD Fractions\Main Web Page\Web Pages_old\proteomic_fractions_linear_files/Yang_linear_img/124001580.jpg","show blot")</f>
        <v>show blot</v>
      </c>
      <c r="G3290" t="s">
        <v>3169</v>
      </c>
      <c r="I3290" s="6">
        <v>4.3825050858799033</v>
      </c>
      <c r="K3290" s="8"/>
    </row>
    <row r="3291" spans="1:11" ht="15" x14ac:dyDescent="0.25">
      <c r="A3291" s="3" t="str">
        <f>HYPERLINK("proteomic_fractions_linear_files/Yang_linear_img/9507129.jpg", "9507129")</f>
        <v>9507129</v>
      </c>
      <c r="C3291" s="3" t="str">
        <f>HYPERLINK("http://www.ncbi.nlm.nih.gov/protein/9507129","Hebp2")</f>
        <v>Hebp2</v>
      </c>
      <c r="E3291" t="str">
        <f>HYPERLINK("J:\Depot - mpkCCD Fractions\Main Web Page\Web Pages_old\proteomic_fractions_linear_files/Yang_linear_img/9507129.jpg","show blot")</f>
        <v>show blot</v>
      </c>
      <c r="G3291" t="s">
        <v>3170</v>
      </c>
      <c r="I3291" s="6">
        <v>4.8027822369834094</v>
      </c>
      <c r="K3291" s="8"/>
    </row>
    <row r="3292" spans="1:11" ht="15" x14ac:dyDescent="0.25">
      <c r="A3292" s="3" t="str">
        <f>HYPERLINK("proteomic_fractions_linear_files/Yang_linear_img/205277432.jpg", "205277432")</f>
        <v>205277432</v>
      </c>
      <c r="C3292" s="3" t="str">
        <f>HYPERLINK("http://www.ncbi.nlm.nih.gov/protein/205277432","Hectd1")</f>
        <v>Hectd1</v>
      </c>
      <c r="E3292" t="str">
        <f>HYPERLINK("J:\Depot - mpkCCD Fractions\Main Web Page\Web Pages_old\proteomic_fractions_linear_files/Yang_linear_img/205277432.jpg","show blot")</f>
        <v>show blot</v>
      </c>
      <c r="G3292" t="s">
        <v>3171</v>
      </c>
      <c r="I3292" s="6">
        <v>4.2345829936532295</v>
      </c>
      <c r="K3292" s="8"/>
    </row>
    <row r="3293" spans="1:11" ht="15" x14ac:dyDescent="0.25">
      <c r="A3293" s="3" t="str">
        <f>HYPERLINK("proteomic_fractions_linear_files/Yang_linear_img/30424882.jpg", "30424882")</f>
        <v>30424882</v>
      </c>
      <c r="C3293" s="3" t="str">
        <f>HYPERLINK("http://www.ncbi.nlm.nih.gov/protein/30424882","Hectd3")</f>
        <v>Hectd3</v>
      </c>
      <c r="E3293" t="str">
        <f>HYPERLINK("J:\Depot - mpkCCD Fractions\Main Web Page\Web Pages_old\proteomic_fractions_linear_files/Yang_linear_img/30424882.jpg","show blot")</f>
        <v>show blot</v>
      </c>
      <c r="G3293" t="s">
        <v>3172</v>
      </c>
      <c r="I3293" s="6">
        <v>4.4420714506757024</v>
      </c>
      <c r="K3293" s="8"/>
    </row>
    <row r="3294" spans="1:11" ht="15" x14ac:dyDescent="0.25">
      <c r="A3294" s="3" t="str">
        <f>HYPERLINK("proteomic_fractions_linear_files/Yang_linear_img/163644255.jpg", "163644255")</f>
        <v>163644255</v>
      </c>
      <c r="C3294" s="3" t="str">
        <f>HYPERLINK("http://www.ncbi.nlm.nih.gov/protein/163644255","Hecw1")</f>
        <v>Hecw1</v>
      </c>
      <c r="E3294" t="str">
        <f>HYPERLINK("J:\Depot - mpkCCD Fractions\Main Web Page\Web Pages_old\proteomic_fractions_linear_files/Yang_linear_img/163644255.jpg","show blot")</f>
        <v>show blot</v>
      </c>
      <c r="G3294" t="s">
        <v>3173</v>
      </c>
      <c r="I3294" s="6">
        <v>3.0724147466559049</v>
      </c>
      <c r="K3294" s="8"/>
    </row>
    <row r="3295" spans="1:11" ht="15" x14ac:dyDescent="0.25">
      <c r="A3295" s="3" t="str">
        <f>HYPERLINK("proteomic_fractions_linear_files/Yang_linear_img/165932362.jpg", "165932362")</f>
        <v>165932362</v>
      </c>
      <c r="C3295" s="3" t="str">
        <f>HYPERLINK("http://www.ncbi.nlm.nih.gov/protein/165932362","Helb")</f>
        <v>Helb</v>
      </c>
      <c r="E3295" t="str">
        <f>HYPERLINK("J:\Depot - mpkCCD Fractions\Main Web Page\Web Pages_old\proteomic_fractions_linear_files/Yang_linear_img/165932362.jpg","show blot")</f>
        <v>show blot</v>
      </c>
      <c r="G3295" t="s">
        <v>3174</v>
      </c>
      <c r="I3295" s="6">
        <v>4.0621780951472779</v>
      </c>
      <c r="K3295" s="8"/>
    </row>
    <row r="3296" spans="1:11" ht="15" x14ac:dyDescent="0.25">
      <c r="A3296" s="3" t="str">
        <f>HYPERLINK("proteomic_fractions_linear_files/Yang_linear_img/12232371.jpg", "12232371")</f>
        <v>12232371</v>
      </c>
      <c r="C3296" s="3" t="str">
        <f>HYPERLINK("http://www.ncbi.nlm.nih.gov/protein/12232371","Hells")</f>
        <v>Hells</v>
      </c>
      <c r="E3296" t="str">
        <f>HYPERLINK("J:\Depot - mpkCCD Fractions\Main Web Page\Web Pages_old\proteomic_fractions_linear_files/Yang_linear_img/12232371.jpg","show blot")</f>
        <v>show blot</v>
      </c>
      <c r="G3296" t="s">
        <v>3175</v>
      </c>
      <c r="I3296" s="6">
        <v>4.7695765758524473</v>
      </c>
      <c r="K3296" s="8"/>
    </row>
    <row r="3297" spans="1:11" ht="15" x14ac:dyDescent="0.25">
      <c r="A3297" s="3" t="str">
        <f>HYPERLINK("proteomic_fractions_linear_files/Yang_linear_img/50355943.jpg", "50355943")</f>
        <v>50355943</v>
      </c>
      <c r="C3297" s="3" t="str">
        <f>HYPERLINK("http://www.ncbi.nlm.nih.gov/protein/50355943","Helz")</f>
        <v>Helz</v>
      </c>
      <c r="E3297" t="str">
        <f>HYPERLINK("J:\Depot - mpkCCD Fractions\Main Web Page\Web Pages_old\proteomic_fractions_linear_files/Yang_linear_img/50355943.jpg","show blot")</f>
        <v>show blot</v>
      </c>
      <c r="G3297" t="s">
        <v>3176</v>
      </c>
      <c r="I3297" s="6">
        <v>2.2728643819280441</v>
      </c>
      <c r="K3297" s="8"/>
    </row>
    <row r="3298" spans="1:11" ht="15" x14ac:dyDescent="0.25">
      <c r="A3298" s="3" t="str">
        <f>HYPERLINK("proteomic_fractions_linear_files/Yang_linear_img/125347767.jpg", "125347767")</f>
        <v>125347767</v>
      </c>
      <c r="C3298" s="3" t="str">
        <f>HYPERLINK("http://www.ncbi.nlm.nih.gov/protein/125347767","Helz2")</f>
        <v>Helz2</v>
      </c>
      <c r="E3298" t="str">
        <f>HYPERLINK("J:\Depot - mpkCCD Fractions\Main Web Page\Web Pages_old\proteomic_fractions_linear_files/Yang_linear_img/125347767.jpg","show blot")</f>
        <v>show blot</v>
      </c>
      <c r="G3298" t="s">
        <v>3177</v>
      </c>
      <c r="I3298" s="6">
        <v>2.3635722184380628</v>
      </c>
      <c r="K3298" s="8"/>
    </row>
    <row r="3299" spans="1:11" ht="15" x14ac:dyDescent="0.25">
      <c r="A3299" s="3" t="str">
        <f>HYPERLINK("proteomic_fractions_linear_files/Yang_linear_img/257196144.jpg", "257196144")</f>
        <v>257196144</v>
      </c>
      <c r="C3299" s="3" t="str">
        <f>HYPERLINK("http://www.ncbi.nlm.nih.gov/protein/257196144","Herc1")</f>
        <v>Herc1</v>
      </c>
      <c r="E3299" t="str">
        <f>HYPERLINK("J:\Depot - mpkCCD Fractions\Main Web Page\Web Pages_old\proteomic_fractions_linear_files/Yang_linear_img/257196144.jpg","show blot")</f>
        <v>show blot</v>
      </c>
      <c r="G3299" t="s">
        <v>3178</v>
      </c>
      <c r="I3299" s="6">
        <v>3.3646525082184096</v>
      </c>
      <c r="K3299" s="8"/>
    </row>
    <row r="3300" spans="1:11" ht="15" x14ac:dyDescent="0.25">
      <c r="A3300" s="3" t="str">
        <f>HYPERLINK("proteomic_fractions_linear_files/Yang_linear_img/134288898.jpg", "134288898")</f>
        <v>134288898</v>
      </c>
      <c r="C3300" s="3" t="str">
        <f>HYPERLINK("http://www.ncbi.nlm.nih.gov/protein/134288898","Herc2")</f>
        <v>Herc2</v>
      </c>
      <c r="E3300" t="str">
        <f>HYPERLINK("J:\Depot - mpkCCD Fractions\Main Web Page\Web Pages_old\proteomic_fractions_linear_files/Yang_linear_img/134288898.jpg","show blot")</f>
        <v>show blot</v>
      </c>
      <c r="G3300" t="s">
        <v>3179</v>
      </c>
      <c r="I3300" s="6">
        <v>1.2307022931260734</v>
      </c>
      <c r="K3300" s="8"/>
    </row>
    <row r="3301" spans="1:11" ht="15" x14ac:dyDescent="0.25">
      <c r="A3301" s="3" t="str">
        <f>HYPERLINK("proteomic_fractions_linear_files/Yang_linear_img/312433980.jpg", "312433980")</f>
        <v>312433980</v>
      </c>
      <c r="C3301" s="3" t="str">
        <f>HYPERLINK("http://www.ncbi.nlm.nih.gov/protein/312433980","Herc4")</f>
        <v>Herc4</v>
      </c>
      <c r="E3301" t="str">
        <f>HYPERLINK("J:\Depot - mpkCCD Fractions\Main Web Page\Web Pages_old\proteomic_fractions_linear_files/Yang_linear_img/312433980.jpg","show blot")</f>
        <v>show blot</v>
      </c>
      <c r="G3301" t="s">
        <v>3180</v>
      </c>
      <c r="I3301" s="6">
        <v>4.7339615731217775</v>
      </c>
      <c r="K3301" s="8"/>
    </row>
    <row r="3302" spans="1:11" ht="15" x14ac:dyDescent="0.25">
      <c r="A3302" s="3" t="str">
        <f>HYPERLINK("proteomic_fractions_linear_files/Yang_linear_img/32451488.jpg", "32451488")</f>
        <v>32451488</v>
      </c>
      <c r="C3302" s="3" t="str">
        <f>HYPERLINK("http://www.ncbi.nlm.nih.gov/protein/32451488","Herc4")</f>
        <v>Herc4</v>
      </c>
      <c r="E3302" t="str">
        <f>HYPERLINK("J:\Depot - mpkCCD Fractions\Main Web Page\Web Pages_old\proteomic_fractions_linear_files/Yang_linear_img/32451488.jpg","show blot")</f>
        <v>show blot</v>
      </c>
      <c r="G3302" t="s">
        <v>3181</v>
      </c>
      <c r="I3302" s="6">
        <v>4.7339615731217775</v>
      </c>
      <c r="K3302" s="8"/>
    </row>
    <row r="3303" spans="1:11" ht="15" x14ac:dyDescent="0.25">
      <c r="A3303" s="3" t="str">
        <f>HYPERLINK("proteomic_fractions_linear_files/Yang_linear_img/11612515.jpg", "11612515")</f>
        <v>11612515</v>
      </c>
      <c r="C3303" s="3" t="str">
        <f>HYPERLINK("http://www.ncbi.nlm.nih.gov/protein/11612515","Herpud1")</f>
        <v>Herpud1</v>
      </c>
      <c r="E3303" t="str">
        <f>HYPERLINK("J:\Depot - mpkCCD Fractions\Main Web Page\Web Pages_old\proteomic_fractions_linear_files/Yang_linear_img/11612515.jpg","show blot")</f>
        <v>show blot</v>
      </c>
      <c r="G3303" t="s">
        <v>3182</v>
      </c>
      <c r="I3303" s="6">
        <v>2.5658702989071336</v>
      </c>
      <c r="K3303" s="8"/>
    </row>
    <row r="3304" spans="1:11" ht="15" x14ac:dyDescent="0.25">
      <c r="A3304" s="3" t="str">
        <f>HYPERLINK("proteomic_fractions_linear_files/Yang_linear_img/67514549.jpg", "67514549")</f>
        <v>67514549</v>
      </c>
      <c r="C3304" s="3" t="str">
        <f>HYPERLINK("http://www.ncbi.nlm.nih.gov/protein/67514549","Hexa")</f>
        <v>Hexa</v>
      </c>
      <c r="E3304" t="str">
        <f>HYPERLINK("J:\Depot - mpkCCD Fractions\Main Web Page\Web Pages_old\proteomic_fractions_linear_files/Yang_linear_img/67514549.jpg","show blot")</f>
        <v>show blot</v>
      </c>
      <c r="G3304" t="s">
        <v>3183</v>
      </c>
      <c r="I3304" s="6">
        <v>4.9814007718279552</v>
      </c>
      <c r="K3304" s="8"/>
    </row>
    <row r="3305" spans="1:11" ht="15" x14ac:dyDescent="0.25">
      <c r="A3305" s="3" t="str">
        <f>HYPERLINK("proteomic_fractions_linear_files/Yang_linear_img/6754186.jpg", "6754186")</f>
        <v>6754186</v>
      </c>
      <c r="C3305" s="3" t="str">
        <f>HYPERLINK("http://www.ncbi.nlm.nih.gov/protein/6754186","Hexb")</f>
        <v>Hexb</v>
      </c>
      <c r="E3305" t="str">
        <f>HYPERLINK("J:\Depot - mpkCCD Fractions\Main Web Page\Web Pages_old\proteomic_fractions_linear_files/Yang_linear_img/6754186.jpg","show blot")</f>
        <v>show blot</v>
      </c>
      <c r="G3305" t="s">
        <v>3184</v>
      </c>
      <c r="I3305" s="6">
        <v>4.9992680471419044</v>
      </c>
      <c r="K3305" s="8"/>
    </row>
    <row r="3306" spans="1:11" ht="15" x14ac:dyDescent="0.25">
      <c r="A3306" s="3" t="str">
        <f>HYPERLINK("proteomic_fractions_linear_files/Yang_linear_img/20270289.jpg", "20270289")</f>
        <v>20270289</v>
      </c>
      <c r="C3306" s="3" t="str">
        <f>HYPERLINK("http://www.ncbi.nlm.nih.gov/protein/20270289","Hexim1")</f>
        <v>Hexim1</v>
      </c>
      <c r="E3306" t="str">
        <f>HYPERLINK("J:\Depot - mpkCCD Fractions\Main Web Page\Web Pages_old\proteomic_fractions_linear_files/Yang_linear_img/20270289.jpg","show blot")</f>
        <v>show blot</v>
      </c>
      <c r="G3306" t="s">
        <v>3185</v>
      </c>
      <c r="I3306" s="6">
        <v>4.2483261881307808</v>
      </c>
      <c r="K3306" s="8"/>
    </row>
    <row r="3307" spans="1:11" ht="15" x14ac:dyDescent="0.25">
      <c r="A3307" s="3" t="str">
        <f>HYPERLINK("proteomic_fractions_linear_files/Yang_linear_img/226693388.jpg", "226693388")</f>
        <v>226693388</v>
      </c>
      <c r="C3307" s="3" t="str">
        <f>HYPERLINK("http://www.ncbi.nlm.nih.gov/protein/226693388","Hgs")</f>
        <v>Hgs</v>
      </c>
      <c r="E3307" t="str">
        <f>HYPERLINK("J:\Depot - mpkCCD Fractions\Main Web Page\Web Pages_old\proteomic_fractions_linear_files/Yang_linear_img/226693388.jpg","show blot")</f>
        <v>show blot</v>
      </c>
      <c r="G3307" t="s">
        <v>3186</v>
      </c>
      <c r="I3307" s="6">
        <v>4.8185132876923076</v>
      </c>
      <c r="K3307" s="8"/>
    </row>
    <row r="3308" spans="1:11" ht="15" x14ac:dyDescent="0.25">
      <c r="A3308" s="3" t="str">
        <f>HYPERLINK("proteomic_fractions_linear_files/Yang_linear_img/226874952.jpg", "226874952")</f>
        <v>226874952</v>
      </c>
      <c r="C3308" s="3" t="str">
        <f>HYPERLINK("http://www.ncbi.nlm.nih.gov/protein/226874952","Hgs")</f>
        <v>Hgs</v>
      </c>
      <c r="E3308" t="str">
        <f>HYPERLINK("J:\Depot - mpkCCD Fractions\Main Web Page\Web Pages_old\proteomic_fractions_linear_files/Yang_linear_img/226874952.jpg","show blot")</f>
        <v>show blot</v>
      </c>
      <c r="G3308" t="s">
        <v>3187</v>
      </c>
      <c r="I3308" s="6">
        <v>4.8185132876923076</v>
      </c>
      <c r="K3308" s="8"/>
    </row>
    <row r="3309" spans="1:11" ht="15" x14ac:dyDescent="0.25">
      <c r="A3309" s="3" t="str">
        <f>HYPERLINK("proteomic_fractions_linear_files/Yang_linear_img/115292433.jpg", "115292433")</f>
        <v>115292433</v>
      </c>
      <c r="C3309" s="3" t="str">
        <f>HYPERLINK("http://www.ncbi.nlm.nih.gov/protein/115292433","Hgsnat")</f>
        <v>Hgsnat</v>
      </c>
      <c r="E3309" t="str">
        <f>HYPERLINK("J:\Depot - mpkCCD Fractions\Main Web Page\Web Pages_old\proteomic_fractions_linear_files/Yang_linear_img/115292433.jpg","show blot")</f>
        <v>show blot</v>
      </c>
      <c r="G3309" t="s">
        <v>3188</v>
      </c>
      <c r="I3309" s="6">
        <v>3.5896840733132174</v>
      </c>
      <c r="K3309" s="8"/>
    </row>
    <row r="3310" spans="1:11" ht="15" x14ac:dyDescent="0.25">
      <c r="A3310" s="3" t="str">
        <f>HYPERLINK("proteomic_fractions_linear_files/Yang_linear_img/160358774.jpg", "160358774")</f>
        <v>160358774</v>
      </c>
      <c r="C3310" s="3" t="str">
        <f>HYPERLINK("http://www.ncbi.nlm.nih.gov/protein/160358774","Hhip")</f>
        <v>Hhip</v>
      </c>
      <c r="E3310" t="str">
        <f>HYPERLINK("J:\Depot - mpkCCD Fractions\Main Web Page\Web Pages_old\proteomic_fractions_linear_files/Yang_linear_img/160358774.jpg","show blot")</f>
        <v>show blot</v>
      </c>
      <c r="G3310" t="s">
        <v>3189</v>
      </c>
      <c r="I3310" s="6">
        <v>4.2233538297608773</v>
      </c>
      <c r="K3310" s="8"/>
    </row>
    <row r="3311" spans="1:11" ht="15" x14ac:dyDescent="0.25">
      <c r="A3311" s="3" t="str">
        <f>HYPERLINK("proteomic_fractions_linear_files/Yang_linear_img/21704140.jpg", "21704140")</f>
        <v>21704140</v>
      </c>
      <c r="C3311" s="3" t="str">
        <f>HYPERLINK("http://www.ncbi.nlm.nih.gov/protein/21704140","Hibadh")</f>
        <v>Hibadh</v>
      </c>
      <c r="E3311" t="str">
        <f>HYPERLINK("J:\Depot - mpkCCD Fractions\Main Web Page\Web Pages_old\proteomic_fractions_linear_files/Yang_linear_img/21704140.jpg","show blot")</f>
        <v>show blot</v>
      </c>
      <c r="G3311" t="s">
        <v>3190</v>
      </c>
      <c r="I3311" s="6">
        <v>5.5098969315140209</v>
      </c>
      <c r="K3311" s="8"/>
    </row>
    <row r="3312" spans="1:11" ht="15" x14ac:dyDescent="0.25">
      <c r="A3312" s="3" t="str">
        <f>HYPERLINK("proteomic_fractions_linear_files/Yang_linear_img/22122625.jpg", "22122625")</f>
        <v>22122625</v>
      </c>
      <c r="C3312" s="3" t="str">
        <f>HYPERLINK("http://www.ncbi.nlm.nih.gov/protein/22122625","Hibch")</f>
        <v>Hibch</v>
      </c>
      <c r="E3312" t="str">
        <f>HYPERLINK("J:\Depot - mpkCCD Fractions\Main Web Page\Web Pages_old\proteomic_fractions_linear_files/Yang_linear_img/22122625.jpg","show blot")</f>
        <v>show blot</v>
      </c>
      <c r="G3312" t="s">
        <v>3191</v>
      </c>
      <c r="I3312" s="6">
        <v>4.5281387019114305</v>
      </c>
      <c r="K3312" s="8"/>
    </row>
    <row r="3313" spans="1:11" ht="15" x14ac:dyDescent="0.25">
      <c r="A3313" s="3" t="str">
        <f>HYPERLINK("proteomic_fractions_linear_files/Yang_linear_img/70887767.jpg", "70887767")</f>
        <v>70887767</v>
      </c>
      <c r="C3313" s="3" t="str">
        <f>HYPERLINK("http://www.ncbi.nlm.nih.gov/protein/70887767","Hic2")</f>
        <v>Hic2</v>
      </c>
      <c r="E3313" t="str">
        <f>HYPERLINK("J:\Depot - mpkCCD Fractions\Main Web Page\Web Pages_old\proteomic_fractions_linear_files/Yang_linear_img/70887767.jpg","show blot")</f>
        <v>show blot</v>
      </c>
      <c r="G3313" t="s">
        <v>3192</v>
      </c>
      <c r="I3313" s="6">
        <v>4.9011421008759362</v>
      </c>
      <c r="K3313" s="8"/>
    </row>
    <row r="3314" spans="1:11" ht="15" x14ac:dyDescent="0.25">
      <c r="A3314" s="3" t="str">
        <f>HYPERLINK("proteomic_fractions_linear_files/Yang_linear_img/29825825.jpg", "29825825")</f>
        <v>29825825</v>
      </c>
      <c r="C3314" s="3" t="str">
        <f>HYPERLINK("http://www.ncbi.nlm.nih.gov/protein/29825825","Hid1")</f>
        <v>Hid1</v>
      </c>
      <c r="E3314" t="str">
        <f>HYPERLINK("J:\Depot - mpkCCD Fractions\Main Web Page\Web Pages_old\proteomic_fractions_linear_files/Yang_linear_img/29825825.jpg","show blot")</f>
        <v>show blot</v>
      </c>
      <c r="G3314" t="s">
        <v>3193</v>
      </c>
      <c r="I3314" s="6">
        <v>3.7433617356650357</v>
      </c>
      <c r="K3314" s="8"/>
    </row>
    <row r="3315" spans="1:11" ht="15" x14ac:dyDescent="0.25">
      <c r="A3315" s="3" t="str">
        <f>HYPERLINK("proteomic_fractions_linear_files/Yang_linear_img/70909332.jpg", "70909332")</f>
        <v>70909332</v>
      </c>
      <c r="C3315" s="3" t="str">
        <f>HYPERLINK("http://www.ncbi.nlm.nih.gov/protein/70909332","Hif1an")</f>
        <v>Hif1an</v>
      </c>
      <c r="E3315" t="str">
        <f>HYPERLINK("J:\Depot - mpkCCD Fractions\Main Web Page\Web Pages_old\proteomic_fractions_linear_files/Yang_linear_img/70909332.jpg","show blot")</f>
        <v>show blot</v>
      </c>
      <c r="G3315" t="s">
        <v>3194</v>
      </c>
      <c r="I3315" s="6">
        <v>4.4518996722635427</v>
      </c>
      <c r="K3315" s="8"/>
    </row>
    <row r="3316" spans="1:11" ht="15" x14ac:dyDescent="0.25">
      <c r="A3316" s="3" t="str">
        <f>HYPERLINK("proteomic_fractions_linear_files/Yang_linear_img/9789977.jpg", "9789977")</f>
        <v>9789977</v>
      </c>
      <c r="C3316" s="3" t="str">
        <f>HYPERLINK("http://www.ncbi.nlm.nih.gov/protein/9789977","Higd1a")</f>
        <v>Higd1a</v>
      </c>
      <c r="E3316" t="str">
        <f>HYPERLINK("J:\Depot - mpkCCD Fractions\Main Web Page\Web Pages_old\proteomic_fractions_linear_files/Yang_linear_img/9789977.jpg","show blot")</f>
        <v>show blot</v>
      </c>
      <c r="G3316" t="s">
        <v>3195</v>
      </c>
      <c r="I3316" s="6">
        <v>3.1099778387137187</v>
      </c>
      <c r="K3316" s="8"/>
    </row>
    <row r="3317" spans="1:11" ht="15" x14ac:dyDescent="0.25">
      <c r="A3317" s="3" t="str">
        <f>HYPERLINK("proteomic_fractions_linear_files/Yang_linear_img/12963711.jpg", "12963711")</f>
        <v>12963711</v>
      </c>
      <c r="C3317" s="3" t="str">
        <f>HYPERLINK("http://www.ncbi.nlm.nih.gov/protein/12963711","Hilpda")</f>
        <v>Hilpda</v>
      </c>
      <c r="E3317" t="str">
        <f>HYPERLINK("J:\Depot - mpkCCD Fractions\Main Web Page\Web Pages_old\proteomic_fractions_linear_files/Yang_linear_img/12963711.jpg","show blot")</f>
        <v>show blot</v>
      </c>
      <c r="G3317" t="s">
        <v>3196</v>
      </c>
      <c r="I3317" s="6">
        <v>3.2245330626060857</v>
      </c>
      <c r="K3317" s="8"/>
    </row>
    <row r="3318" spans="1:11" ht="15" x14ac:dyDescent="0.25">
      <c r="A3318" s="3" t="str">
        <f>HYPERLINK("proteomic_fractions_linear_files/Yang_linear_img/299758486.jpg", "299758486")</f>
        <v>299758486</v>
      </c>
      <c r="C3318" s="3" t="str">
        <f>HYPERLINK("http://www.ncbi.nlm.nih.gov/protein/299758486","Hilpda")</f>
        <v>Hilpda</v>
      </c>
      <c r="E3318" t="str">
        <f>HYPERLINK("J:\Depot - mpkCCD Fractions\Main Web Page\Web Pages_old\proteomic_fractions_linear_files/Yang_linear_img/299758486.jpg","show blot")</f>
        <v>show blot</v>
      </c>
      <c r="G3318" t="s">
        <v>3197</v>
      </c>
      <c r="I3318" s="6">
        <v>3.2245330626060857</v>
      </c>
      <c r="K3318" s="8"/>
    </row>
    <row r="3319" spans="1:11" ht="15" x14ac:dyDescent="0.25">
      <c r="A3319" s="3" t="str">
        <f>HYPERLINK("proteomic_fractions_linear_files/Yang_linear_img/33468857.jpg", "33468857")</f>
        <v>33468857</v>
      </c>
      <c r="C3319" s="3" t="str">
        <f>HYPERLINK("http://www.ncbi.nlm.nih.gov/protein/33468857","Hint1")</f>
        <v>Hint1</v>
      </c>
      <c r="E3319" t="str">
        <f>HYPERLINK("J:\Depot - mpkCCD Fractions\Main Web Page\Web Pages_old\proteomic_fractions_linear_files/Yang_linear_img/33468857.jpg","show blot")</f>
        <v>show blot</v>
      </c>
      <c r="G3319" t="s">
        <v>3198</v>
      </c>
      <c r="I3319" s="6">
        <v>6.308036137939121</v>
      </c>
      <c r="K3319" s="8"/>
    </row>
    <row r="3320" spans="1:11" ht="15" x14ac:dyDescent="0.25">
      <c r="A3320" s="3" t="str">
        <f>HYPERLINK("proteomic_fractions_linear_files/Yang_linear_img/110625719.jpg", "110625719")</f>
        <v>110625719</v>
      </c>
      <c r="C3320" s="3" t="str">
        <f>HYPERLINK("http://www.ncbi.nlm.nih.gov/protein/110625719","Hint2")</f>
        <v>Hint2</v>
      </c>
      <c r="E3320" t="str">
        <f>HYPERLINK("J:\Depot - mpkCCD Fractions\Main Web Page\Web Pages_old\proteomic_fractions_linear_files/Yang_linear_img/110625719.jpg","show blot")</f>
        <v>show blot</v>
      </c>
      <c r="G3320" t="s">
        <v>3199</v>
      </c>
      <c r="I3320" s="6">
        <v>4.5755094646672303</v>
      </c>
      <c r="K3320" s="8"/>
    </row>
    <row r="3321" spans="1:11" ht="15" x14ac:dyDescent="0.25">
      <c r="A3321" s="3" t="str">
        <f>HYPERLINK("proteomic_fractions_linear_files/Yang_linear_img/13385270.jpg", "13385270")</f>
        <v>13385270</v>
      </c>
      <c r="C3321" s="3" t="str">
        <f>HYPERLINK("http://www.ncbi.nlm.nih.gov/protein/13385270","Hint3")</f>
        <v>Hint3</v>
      </c>
      <c r="E3321" t="str">
        <f>HYPERLINK("J:\Depot - mpkCCD Fractions\Main Web Page\Web Pages_old\proteomic_fractions_linear_files/Yang_linear_img/13385270.jpg","show blot")</f>
        <v>show blot</v>
      </c>
      <c r="G3321" t="s">
        <v>3200</v>
      </c>
      <c r="I3321" s="6">
        <v>4.5858840271113053</v>
      </c>
      <c r="K3321" s="8"/>
    </row>
    <row r="3322" spans="1:11" ht="15" x14ac:dyDescent="0.25">
      <c r="A3322" s="3" t="str">
        <f>HYPERLINK("proteomic_fractions_linear_files/Yang_linear_img/225007582.jpg", "225007582")</f>
        <v>225007582</v>
      </c>
      <c r="C3322" s="3" t="str">
        <f>HYPERLINK("http://www.ncbi.nlm.nih.gov/protein/225007582","Hip1")</f>
        <v>Hip1</v>
      </c>
      <c r="E3322" t="str">
        <f>HYPERLINK("J:\Depot - mpkCCD Fractions\Main Web Page\Web Pages_old\proteomic_fractions_linear_files/Yang_linear_img/225007582.jpg","show blot")</f>
        <v>show blot</v>
      </c>
      <c r="G3322" t="s">
        <v>3201</v>
      </c>
      <c r="I3322" s="6">
        <v>2.5514075636104492</v>
      </c>
      <c r="K3322" s="8"/>
    </row>
    <row r="3323" spans="1:11" ht="15" x14ac:dyDescent="0.25">
      <c r="A3323" s="3" t="str">
        <f>HYPERLINK("proteomic_fractions_linear_files/Yang_linear_img/255308928.jpg", "255308928")</f>
        <v>255308928</v>
      </c>
      <c r="C3323" s="3" t="str">
        <f>HYPERLINK("http://www.ncbi.nlm.nih.gov/protein/255308928","Hip1r")</f>
        <v>Hip1r</v>
      </c>
      <c r="E3323" t="str">
        <f>HYPERLINK("J:\Depot - mpkCCD Fractions\Main Web Page\Web Pages_old\proteomic_fractions_linear_files/Yang_linear_img/255308928.jpg","show blot")</f>
        <v>show blot</v>
      </c>
      <c r="G3323" t="s">
        <v>3202</v>
      </c>
      <c r="I3323" s="6">
        <v>4.1102468194052193</v>
      </c>
      <c r="K3323" s="8"/>
    </row>
    <row r="3324" spans="1:11" ht="15" x14ac:dyDescent="0.25">
      <c r="A3324" s="3" t="str">
        <f>HYPERLINK("proteomic_fractions_linear_files/Yang_linear_img/27370102.jpg", "27370102")</f>
        <v>27370102</v>
      </c>
      <c r="C3324" s="3" t="str">
        <f>HYPERLINK("http://www.ncbi.nlm.nih.gov/protein/27370102","Hirip3")</f>
        <v>Hirip3</v>
      </c>
      <c r="E3324" t="str">
        <f>HYPERLINK("J:\Depot - mpkCCD Fractions\Main Web Page\Web Pages_old\proteomic_fractions_linear_files/Yang_linear_img/27370102.jpg","show blot")</f>
        <v>show blot</v>
      </c>
      <c r="G3324" t="s">
        <v>3203</v>
      </c>
      <c r="I3324" s="6">
        <v>2.6762112236316118</v>
      </c>
      <c r="K3324" s="8"/>
    </row>
    <row r="3325" spans="1:11" ht="15" x14ac:dyDescent="0.25">
      <c r="A3325" s="3" t="str">
        <f>HYPERLINK("proteomic_fractions_linear_files/Yang_linear_img/21426823.jpg", "21426823")</f>
        <v>21426823</v>
      </c>
      <c r="C3325" s="3" t="str">
        <f>HYPERLINK("http://www.ncbi.nlm.nih.gov/protein/21426823","Hist1h1a")</f>
        <v>Hist1h1a</v>
      </c>
      <c r="E3325" t="str">
        <f>HYPERLINK("J:\Depot - mpkCCD Fractions\Main Web Page\Web Pages_old\proteomic_fractions_linear_files/Yang_linear_img/21426823.jpg","show blot")</f>
        <v>show blot</v>
      </c>
      <c r="G3325" t="s">
        <v>3204</v>
      </c>
      <c r="I3325" s="6">
        <v>7.0746539666495778</v>
      </c>
      <c r="K3325" s="8"/>
    </row>
    <row r="3326" spans="1:11" ht="15" x14ac:dyDescent="0.25">
      <c r="A3326" s="3" t="str">
        <f>HYPERLINK("proteomic_fractions_linear_files/Yang_linear_img/21426893.jpg", "21426893")</f>
        <v>21426893</v>
      </c>
      <c r="C3326" s="3" t="str">
        <f>HYPERLINK("http://www.ncbi.nlm.nih.gov/protein/21426893","Hist1h1b")</f>
        <v>Hist1h1b</v>
      </c>
      <c r="E3326" t="str">
        <f>HYPERLINK("J:\Depot - mpkCCD Fractions\Main Web Page\Web Pages_old\proteomic_fractions_linear_files/Yang_linear_img/21426893.jpg","show blot")</f>
        <v>show blot</v>
      </c>
      <c r="G3326" t="s">
        <v>3205</v>
      </c>
      <c r="I3326" s="6">
        <v>7.1657061342431234</v>
      </c>
      <c r="K3326" s="8"/>
    </row>
    <row r="3327" spans="1:11" ht="15" x14ac:dyDescent="0.25">
      <c r="A3327" s="3" t="str">
        <f>HYPERLINK("proteomic_fractions_linear_files/Yang_linear_img/9845257.jpg", "9845257")</f>
        <v>9845257</v>
      </c>
      <c r="C3327" s="3" t="str">
        <f>HYPERLINK("http://www.ncbi.nlm.nih.gov/protein/9845257","Hist1h1c")</f>
        <v>Hist1h1c</v>
      </c>
      <c r="E3327" t="str">
        <f>HYPERLINK("J:\Depot - mpkCCD Fractions\Main Web Page\Web Pages_old\proteomic_fractions_linear_files/Yang_linear_img/9845257.jpg","show blot")</f>
        <v>show blot</v>
      </c>
      <c r="G3327" t="s">
        <v>3206</v>
      </c>
      <c r="I3327" s="6">
        <v>7.6691991142201514</v>
      </c>
      <c r="K3327" s="8"/>
    </row>
    <row r="3328" spans="1:11" ht="15" x14ac:dyDescent="0.25">
      <c r="A3328" s="3" t="str">
        <f>HYPERLINK("proteomic_fractions_linear_files/Yang_linear_img/254588110.jpg", "254588110")</f>
        <v>254588110</v>
      </c>
      <c r="C3328" s="3" t="str">
        <f>HYPERLINK("http://www.ncbi.nlm.nih.gov/protein/254588110","Hist1h1d")</f>
        <v>Hist1h1d</v>
      </c>
      <c r="E3328" t="str">
        <f>HYPERLINK("J:\Depot - mpkCCD Fractions\Main Web Page\Web Pages_old\proteomic_fractions_linear_files/Yang_linear_img/254588110.jpg","show blot")</f>
        <v>show blot</v>
      </c>
      <c r="G3328" t="s">
        <v>3207</v>
      </c>
      <c r="I3328" s="6">
        <v>7.6505660462007912</v>
      </c>
      <c r="K3328" s="8"/>
    </row>
    <row r="3329" spans="1:11" ht="15" x14ac:dyDescent="0.25">
      <c r="A3329" s="3" t="str">
        <f>HYPERLINK("proteomic_fractions_linear_files/Yang_linear_img/13430890.jpg", "13430890")</f>
        <v>13430890</v>
      </c>
      <c r="C3329" s="3" t="str">
        <f>HYPERLINK("http://www.ncbi.nlm.nih.gov/protein/13430890","Hist1h1e")</f>
        <v>Hist1h1e</v>
      </c>
      <c r="E3329" t="str">
        <f>HYPERLINK("J:\Depot - mpkCCD Fractions\Main Web Page\Web Pages_old\proteomic_fractions_linear_files/Yang_linear_img/13430890.jpg","show blot")</f>
        <v>show blot</v>
      </c>
      <c r="G3329" t="s">
        <v>3208</v>
      </c>
      <c r="I3329" s="6">
        <v>7.4616550293290897</v>
      </c>
      <c r="K3329" s="8"/>
    </row>
    <row r="3330" spans="1:11" ht="15" x14ac:dyDescent="0.25">
      <c r="A3330" s="3" t="str">
        <f>HYPERLINK("proteomic_fractions_linear_files/Yang_linear_img/112807207.jpg", "112807207")</f>
        <v>112807207</v>
      </c>
      <c r="C3330" s="3" t="str">
        <f>HYPERLINK("http://www.ncbi.nlm.nih.gov/protein/112807207","Hist1h1t")</f>
        <v>Hist1h1t</v>
      </c>
      <c r="E3330" t="str">
        <f>HYPERLINK("J:\Depot - mpkCCD Fractions\Main Web Page\Web Pages_old\proteomic_fractions_linear_files/Yang_linear_img/112807207.jpg","show blot")</f>
        <v>show blot</v>
      </c>
      <c r="G3330" t="s">
        <v>3209</v>
      </c>
      <c r="I3330" s="6">
        <v>6.9372273810098886</v>
      </c>
      <c r="K3330" s="8"/>
    </row>
    <row r="3331" spans="1:11" ht="15" x14ac:dyDescent="0.25">
      <c r="A3331" s="3" t="str">
        <f>HYPERLINK("proteomic_fractions_linear_files/Yang_linear_img/28316756.jpg", "28316756")</f>
        <v>28316756</v>
      </c>
      <c r="C3331" s="3" t="str">
        <f>HYPERLINK("http://www.ncbi.nlm.nih.gov/protein/28316756","Hist1h2aa")</f>
        <v>Hist1h2aa</v>
      </c>
      <c r="E3331" t="str">
        <f>HYPERLINK("J:\Depot - mpkCCD Fractions\Main Web Page\Web Pages_old\proteomic_fractions_linear_files/Yang_linear_img/28316756.jpg","show blot")</f>
        <v>show blot</v>
      </c>
      <c r="G3331" t="s">
        <v>3210</v>
      </c>
      <c r="I3331" s="6">
        <v>8.2452327661609672</v>
      </c>
      <c r="K3331" s="8"/>
    </row>
    <row r="3332" spans="1:11" ht="15" x14ac:dyDescent="0.25">
      <c r="A3332" s="3" t="str">
        <f>HYPERLINK("proteomic_fractions_linear_files/Yang_linear_img/30061379.jpg", "30061379")</f>
        <v>30061379</v>
      </c>
      <c r="C3332" s="3" t="str">
        <f>HYPERLINK("http://www.ncbi.nlm.nih.gov/protein/30061379","Hist1h2af")</f>
        <v>Hist1h2af</v>
      </c>
      <c r="E3332" t="str">
        <f>HYPERLINK("J:\Depot - mpkCCD Fractions\Main Web Page\Web Pages_old\proteomic_fractions_linear_files/Yang_linear_img/30061379.jpg","show blot")</f>
        <v>show blot</v>
      </c>
      <c r="G3332" t="s">
        <v>3211</v>
      </c>
      <c r="I3332" s="6">
        <v>8.2450691367786177</v>
      </c>
      <c r="K3332" s="8"/>
    </row>
    <row r="3333" spans="1:11" ht="15" x14ac:dyDescent="0.25">
      <c r="A3333" s="3" t="str">
        <f>HYPERLINK("proteomic_fractions_linear_files/Yang_linear_img/30061327.jpg", "30061327")</f>
        <v>30061327</v>
      </c>
      <c r="C3333" s="3" t="str">
        <f>HYPERLINK("http://www.ncbi.nlm.nih.gov/protein/30061327","Hist1h2ah")</f>
        <v>Hist1h2ah</v>
      </c>
      <c r="E3333" t="str">
        <f>HYPERLINK("J:\Depot - mpkCCD Fractions\Main Web Page\Web Pages_old\proteomic_fractions_linear_files/Yang_linear_img/30061327.jpg","show blot")</f>
        <v>show blot</v>
      </c>
      <c r="G3333" t="s">
        <v>3212</v>
      </c>
      <c r="I3333" s="6">
        <v>8.2471182295440428</v>
      </c>
      <c r="K3333" s="8"/>
    </row>
    <row r="3334" spans="1:11" ht="15" x14ac:dyDescent="0.25">
      <c r="A3334" s="3" t="str">
        <f>HYPERLINK("proteomic_fractions_linear_files/Yang_linear_img/30061371.jpg", "30061371")</f>
        <v>30061371</v>
      </c>
      <c r="C3334" s="3" t="str">
        <f>HYPERLINK("http://www.ncbi.nlm.nih.gov/protein/30061371","Hist1h2ak")</f>
        <v>Hist1h2ak</v>
      </c>
      <c r="E3334" t="str">
        <f>HYPERLINK("J:\Depot - mpkCCD Fractions\Main Web Page\Web Pages_old\proteomic_fractions_linear_files/Yang_linear_img/30061371.jpg","show blot")</f>
        <v>show blot</v>
      </c>
      <c r="G3334" t="s">
        <v>3213</v>
      </c>
      <c r="I3334" s="6">
        <v>8.2474507359734393</v>
      </c>
      <c r="K3334" s="8"/>
    </row>
    <row r="3335" spans="1:11" ht="15" x14ac:dyDescent="0.25">
      <c r="A3335" s="3" t="str">
        <f>HYPERLINK("proteomic_fractions_linear_files/Yang_linear_img/407262045.jpg", "407262045")</f>
        <v>407262045</v>
      </c>
      <c r="C3335" s="3" t="str">
        <f>HYPERLINK("http://www.ncbi.nlm.nih.gov/protein/407262045","Hist1h2al")</f>
        <v>Hist1h2al</v>
      </c>
      <c r="E3335" t="str">
        <f>HYPERLINK("J:\Depot - mpkCCD Fractions\Main Web Page\Web Pages_old\proteomic_fractions_linear_files/Yang_linear_img/407262045.jpg","show blot")</f>
        <v>show blot</v>
      </c>
      <c r="G3335" t="s">
        <v>3214</v>
      </c>
      <c r="I3335" s="6">
        <v>8.1872900806451341</v>
      </c>
      <c r="K3335" s="8"/>
    </row>
    <row r="3336" spans="1:11" ht="15" x14ac:dyDescent="0.25">
      <c r="A3336" s="3" t="str">
        <f>HYPERLINK("proteomic_fractions_linear_files/Yang_linear_img/294712564;30061365.jpg", "294712564;30061365")</f>
        <v>294712564;30061365</v>
      </c>
      <c r="C3336" s="3" t="str">
        <f>HYPERLINK("http://www.ncbi.nlm.nih.gov/protein/294712564;30061365","Hist1h2ao")</f>
        <v>Hist1h2ao</v>
      </c>
      <c r="E3336" t="str">
        <f>HYPERLINK("J:\Depot - mpkCCD Fractions\Main Web Page\Web Pages_old\proteomic_fractions_linear_files/Yang_linear_img/294712564;30061365.jpg","show blot")</f>
        <v>show blot</v>
      </c>
      <c r="G3336" t="s">
        <v>3215</v>
      </c>
      <c r="I3336" s="6">
        <v>6.8962093301908594</v>
      </c>
      <c r="K3336" s="8"/>
    </row>
    <row r="3337" spans="1:11" ht="15" x14ac:dyDescent="0.25">
      <c r="A3337" s="3" t="str">
        <f>HYPERLINK("proteomic_fractions_linear_files/Yang_linear_img/30061375;30061365.jpg", "30061375;30061365")</f>
        <v>30061375;30061365</v>
      </c>
      <c r="C3337" s="3" t="str">
        <f>HYPERLINK("http://www.ncbi.nlm.nih.gov/protein/30061375;30061365","Hist1h2ap")</f>
        <v>Hist1h2ap</v>
      </c>
      <c r="E3337" t="str">
        <f>HYPERLINK("J:\Depot - mpkCCD Fractions\Main Web Page\Web Pages_old\proteomic_fractions_linear_files/Yang_linear_img/30061375;30061365.jpg","show blot")</f>
        <v>show blot</v>
      </c>
      <c r="G3337" t="s">
        <v>3215</v>
      </c>
      <c r="I3337" s="6">
        <v>8.2211113057332721</v>
      </c>
      <c r="K3337" s="8"/>
    </row>
    <row r="3338" spans="1:11" ht="15" x14ac:dyDescent="0.25">
      <c r="A3338" s="3" t="str">
        <f>HYPERLINK("proteomic_fractions_linear_files/Yang_linear_img/30061375;294712564;30061365.jpg", "30061375;294712564;30061365")</f>
        <v>30061375;294712564;30061365</v>
      </c>
      <c r="C3338" s="3" t="str">
        <f>HYPERLINK("http://www.ncbi.nlm.nih.gov/protein/30061375;294712564;30061365","Hist1h2ap")</f>
        <v>Hist1h2ap</v>
      </c>
      <c r="E3338" t="str">
        <f>HYPERLINK("J:\Depot - mpkCCD Fractions\Main Web Page\Web Pages_old\proteomic_fractions_linear_files/Yang_linear_img/30061375;294712564;30061365.jpg","show blot")</f>
        <v>show blot</v>
      </c>
      <c r="G3338" t="s">
        <v>3215</v>
      </c>
      <c r="I3338" s="6">
        <v>8.2211113057332721</v>
      </c>
      <c r="K3338" s="8"/>
    </row>
    <row r="3339" spans="1:11" ht="15" x14ac:dyDescent="0.25">
      <c r="A3339" s="3" t="str">
        <f>HYPERLINK("proteomic_fractions_linear_files/Yang_linear_img/28316750.jpg", "28316750")</f>
        <v>28316750</v>
      </c>
      <c r="C3339" s="3" t="str">
        <f>HYPERLINK("http://www.ncbi.nlm.nih.gov/protein/28316750","Hist1h2ba")</f>
        <v>Hist1h2ba</v>
      </c>
      <c r="E3339" t="str">
        <f>HYPERLINK("J:\Depot - mpkCCD Fractions\Main Web Page\Web Pages_old\proteomic_fractions_linear_files/Yang_linear_img/28316750.jpg","show blot")</f>
        <v>show blot</v>
      </c>
      <c r="G3339" t="s">
        <v>3216</v>
      </c>
      <c r="I3339" s="6">
        <v>8.4627875557056385</v>
      </c>
      <c r="K3339" s="8"/>
    </row>
    <row r="3340" spans="1:11" ht="15" x14ac:dyDescent="0.25">
      <c r="A3340" s="3" t="str">
        <f>HYPERLINK("proteomic_fractions_linear_files/Yang_linear_img/28316760.jpg", "28316760")</f>
        <v>28316760</v>
      </c>
      <c r="C3340" s="3" t="str">
        <f>HYPERLINK("http://www.ncbi.nlm.nih.gov/protein/28316760","Hist1h2bb")</f>
        <v>Hist1h2bb</v>
      </c>
      <c r="E3340" t="str">
        <f>HYPERLINK("J:\Depot - mpkCCD Fractions\Main Web Page\Web Pages_old\proteomic_fractions_linear_files/Yang_linear_img/28316760.jpg","show blot")</f>
        <v>show blot</v>
      </c>
      <c r="G3340" t="s">
        <v>3217</v>
      </c>
      <c r="I3340" s="6">
        <v>8.4974985171285624</v>
      </c>
      <c r="K3340" s="8"/>
    </row>
    <row r="3341" spans="1:11" ht="15" x14ac:dyDescent="0.25">
      <c r="A3341" s="3" t="str">
        <f>HYPERLINK("proteomic_fractions_linear_files/Yang_linear_img/30089706;68131547.jpg", "30089706;68131547")</f>
        <v>30089706;68131547</v>
      </c>
      <c r="C3341" s="3" t="str">
        <f>HYPERLINK("http://www.ncbi.nlm.nih.gov/protein/30089706;68131547","Hist1h2be")</f>
        <v>Hist1h2be</v>
      </c>
      <c r="E3341" t="str">
        <f>HYPERLINK("J:\Depot - mpkCCD Fractions\Main Web Page\Web Pages_old\proteomic_fractions_linear_files/Yang_linear_img/30089706;68131547.jpg","show blot")</f>
        <v>show blot</v>
      </c>
      <c r="G3341" t="s">
        <v>3218</v>
      </c>
      <c r="I3341" s="6">
        <v>8.4974985171285624</v>
      </c>
      <c r="K3341" s="8"/>
    </row>
    <row r="3342" spans="1:11" ht="15" x14ac:dyDescent="0.25">
      <c r="A3342" s="3" t="str">
        <f>HYPERLINK("proteomic_fractions_linear_files/Yang_linear_img/30061383.jpg", "30061383")</f>
        <v>30061383</v>
      </c>
      <c r="C3342" s="3" t="str">
        <f>HYPERLINK("http://www.ncbi.nlm.nih.gov/protein/30061383","Hist1h2bf")</f>
        <v>Hist1h2bf</v>
      </c>
      <c r="E3342" t="str">
        <f>HYPERLINK("J:\Depot - mpkCCD Fractions\Main Web Page\Web Pages_old\proteomic_fractions_linear_files/Yang_linear_img/30061383.jpg","show blot")</f>
        <v>show blot</v>
      </c>
      <c r="G3342" t="s">
        <v>3219</v>
      </c>
      <c r="I3342" s="6">
        <v>8.5029262963747101</v>
      </c>
      <c r="K3342" s="8"/>
    </row>
    <row r="3343" spans="1:11" ht="15" x14ac:dyDescent="0.25">
      <c r="A3343" s="3" t="str">
        <f>HYPERLINK("proteomic_fractions_linear_files/Yang_linear_img/30061387.jpg", "30061387")</f>
        <v>30061387</v>
      </c>
      <c r="C3343" s="3" t="str">
        <f>HYPERLINK("http://www.ncbi.nlm.nih.gov/protein/30061387","Hist1h2bh")</f>
        <v>Hist1h2bh</v>
      </c>
      <c r="E3343" t="str">
        <f>HYPERLINK("J:\Depot - mpkCCD Fractions\Main Web Page\Web Pages_old\proteomic_fractions_linear_files/Yang_linear_img/30061387.jpg","show blot")</f>
        <v>show blot</v>
      </c>
      <c r="G3343" t="s">
        <v>3220</v>
      </c>
      <c r="I3343" s="6">
        <v>8.497507155512956</v>
      </c>
      <c r="K3343" s="8"/>
    </row>
    <row r="3344" spans="1:11" ht="15" x14ac:dyDescent="0.25">
      <c r="A3344" s="3" t="str">
        <f>HYPERLINK("proteomic_fractions_linear_files/Yang_linear_img/30089704.jpg", "30089704")</f>
        <v>30089704</v>
      </c>
      <c r="C3344" s="3" t="str">
        <f>HYPERLINK("http://www.ncbi.nlm.nih.gov/protein/30089704","Hist1h2bk")</f>
        <v>Hist1h2bk</v>
      </c>
      <c r="E3344" t="str">
        <f>HYPERLINK("J:\Depot - mpkCCD Fractions\Main Web Page\Web Pages_old\proteomic_fractions_linear_files/Yang_linear_img/30089704.jpg","show blot")</f>
        <v>show blot</v>
      </c>
      <c r="G3344" t="s">
        <v>3221</v>
      </c>
      <c r="I3344" s="6">
        <v>8.4974933672407307</v>
      </c>
      <c r="K3344" s="8"/>
    </row>
    <row r="3345" spans="1:11" ht="15" x14ac:dyDescent="0.25">
      <c r="A3345" s="3" t="str">
        <f>HYPERLINK("proteomic_fractions_linear_files/Yang_linear_img/30061385.jpg", "30061385")</f>
        <v>30061385</v>
      </c>
      <c r="C3345" s="3" t="str">
        <f>HYPERLINK("http://www.ncbi.nlm.nih.gov/protein/30061385","Hist1h2bm")</f>
        <v>Hist1h2bm</v>
      </c>
      <c r="E3345" t="str">
        <f>HYPERLINK("J:\Depot - mpkCCD Fractions\Main Web Page\Web Pages_old\proteomic_fractions_linear_files/Yang_linear_img/30061385.jpg","show blot")</f>
        <v>show blot</v>
      </c>
      <c r="G3345" t="s">
        <v>3222</v>
      </c>
      <c r="I3345" s="6">
        <v>8.4974956930040868</v>
      </c>
      <c r="K3345" s="8"/>
    </row>
    <row r="3346" spans="1:11" ht="15" x14ac:dyDescent="0.25">
      <c r="A3346" s="3" t="str">
        <f>HYPERLINK("proteomic_fractions_linear_files/Yang_linear_img/160420308.jpg", "160420308")</f>
        <v>160420308</v>
      </c>
      <c r="C3346" s="3" t="str">
        <f>HYPERLINK("http://www.ncbi.nlm.nih.gov/protein/160420308","Hist1h2bp")</f>
        <v>Hist1h2bp</v>
      </c>
      <c r="E3346" t="str">
        <f>HYPERLINK("J:\Depot - mpkCCD Fractions\Main Web Page\Web Pages_old\proteomic_fractions_linear_files/Yang_linear_img/160420308.jpg","show blot")</f>
        <v>show blot</v>
      </c>
      <c r="G3346" t="s">
        <v>3223</v>
      </c>
      <c r="I3346" s="6">
        <v>8.4675326357521215</v>
      </c>
      <c r="K3346" s="8"/>
    </row>
    <row r="3347" spans="1:11" ht="15" x14ac:dyDescent="0.25">
      <c r="A3347" s="3" t="str">
        <f>HYPERLINK("proteomic_fractions_linear_files/Yang_linear_img/160420310;160420312.jpg", "160420310;160420312")</f>
        <v>160420310;160420312</v>
      </c>
      <c r="C3347" s="3" t="str">
        <f>HYPERLINK("http://www.ncbi.nlm.nih.gov/protein/160420310;160420312","Hist1h2bq")</f>
        <v>Hist1h2bq</v>
      </c>
      <c r="E3347" t="str">
        <f>HYPERLINK("J:\Depot - mpkCCD Fractions\Main Web Page\Web Pages_old\proteomic_fractions_linear_files/Yang_linear_img/160420310;160420312.jpg","show blot")</f>
        <v>show blot</v>
      </c>
      <c r="G3347" t="s">
        <v>3224</v>
      </c>
      <c r="I3347" s="6">
        <v>8.4438785856733602</v>
      </c>
      <c r="K3347" s="8"/>
    </row>
    <row r="3348" spans="1:11" ht="15" x14ac:dyDescent="0.25">
      <c r="A3348" s="3" t="str">
        <f>HYPERLINK("proteomic_fractions_linear_files/Yang_linear_img/160420312.jpg", "160420312")</f>
        <v>160420312</v>
      </c>
      <c r="C3348" s="3" t="str">
        <f>HYPERLINK("http://www.ncbi.nlm.nih.gov/protein/160420312","Hist1h2br")</f>
        <v>Hist1h2br</v>
      </c>
      <c r="E3348" t="str">
        <f>HYPERLINK("J:\Depot - mpkCCD Fractions\Main Web Page\Web Pages_old\proteomic_fractions_linear_files/Yang_linear_img/160420312.jpg","show blot")</f>
        <v>show blot</v>
      </c>
      <c r="G3348" t="s">
        <v>3225</v>
      </c>
      <c r="I3348" s="6">
        <v>7.1920935448738135</v>
      </c>
      <c r="K3348" s="8"/>
    </row>
    <row r="3349" spans="1:11" ht="15" x14ac:dyDescent="0.25">
      <c r="A3349" s="3" t="str">
        <f>HYPERLINK("proteomic_fractions_linear_files/Yang_linear_img/30089712.jpg", "30089712")</f>
        <v>30089712</v>
      </c>
      <c r="C3349" s="3" t="str">
        <f>HYPERLINK("http://www.ncbi.nlm.nih.gov/protein/30089712","Hist1h3c")</f>
        <v>Hist1h3c</v>
      </c>
      <c r="E3349" t="str">
        <f>HYPERLINK("J:\Depot - mpkCCD Fractions\Main Web Page\Web Pages_old\proteomic_fractions_linear_files/Yang_linear_img/30089712.jpg","show blot")</f>
        <v>show blot</v>
      </c>
      <c r="G3349" t="s">
        <v>3226</v>
      </c>
      <c r="I3349" s="6">
        <v>7.711458180242813</v>
      </c>
      <c r="K3349" s="8"/>
    </row>
    <row r="3350" spans="1:11" ht="15" x14ac:dyDescent="0.25">
      <c r="A3350" s="3" t="str">
        <f>HYPERLINK("proteomic_fractions_linear_files/Yang_linear_img/30089712;21489953.jpg", "30089712;21489953")</f>
        <v>30089712;21489953</v>
      </c>
      <c r="C3350" s="3" t="str">
        <f>HYPERLINK("http://www.ncbi.nlm.nih.gov/protein/30089712;21489953","Hist1h3c")</f>
        <v>Hist1h3c</v>
      </c>
      <c r="E3350" t="str">
        <f>HYPERLINK("J:\Depot - mpkCCD Fractions\Main Web Page\Web Pages_old\proteomic_fractions_linear_files/Yang_linear_img/30089712;21489953.jpg","show blot")</f>
        <v>show blot</v>
      </c>
      <c r="G3350" t="s">
        <v>3226</v>
      </c>
      <c r="I3350" s="6">
        <v>7.711458180242813</v>
      </c>
      <c r="K3350" s="8"/>
    </row>
    <row r="3351" spans="1:11" ht="15" x14ac:dyDescent="0.25">
      <c r="A3351" s="3" t="str">
        <f>HYPERLINK("proteomic_fractions_linear_files/Yang_linear_img/21489955.jpg", "21489955")</f>
        <v>21489955</v>
      </c>
      <c r="C3351" s="3" t="str">
        <f>HYPERLINK("http://www.ncbi.nlm.nih.gov/protein/21489955","Hist1h3g")</f>
        <v>Hist1h3g</v>
      </c>
      <c r="E3351" t="str">
        <f>HYPERLINK("J:\Depot - mpkCCD Fractions\Main Web Page\Web Pages_old\proteomic_fractions_linear_files/Yang_linear_img/21489955.jpg","show blot")</f>
        <v>show blot</v>
      </c>
      <c r="G3351" t="s">
        <v>3227</v>
      </c>
      <c r="I3351" s="6">
        <v>7.7589852072310803</v>
      </c>
      <c r="K3351" s="8"/>
    </row>
    <row r="3352" spans="1:11" ht="15" x14ac:dyDescent="0.25">
      <c r="A3352" s="3" t="str">
        <f>HYPERLINK("proteomic_fractions_linear_files/Yang_linear_img/30061345;21489955.jpg", "30061345;21489955")</f>
        <v>30061345;21489955</v>
      </c>
      <c r="C3352" s="3" t="str">
        <f>HYPERLINK("http://www.ncbi.nlm.nih.gov/protein/30061345;21489955","Hist1h3i")</f>
        <v>Hist1h3i</v>
      </c>
      <c r="E3352" t="str">
        <f>HYPERLINK("J:\Depot - mpkCCD Fractions\Main Web Page\Web Pages_old\proteomic_fractions_linear_files/Yang_linear_img/30061345;21489955.jpg","show blot")</f>
        <v>show blot</v>
      </c>
      <c r="G3352" t="s">
        <v>3227</v>
      </c>
      <c r="I3352" s="6">
        <v>6.0153857731731462</v>
      </c>
      <c r="K3352" s="8"/>
    </row>
    <row r="3353" spans="1:11" ht="15" x14ac:dyDescent="0.25">
      <c r="A3353" s="3" t="str">
        <f>HYPERLINK("proteomic_fractions_linear_files/Yang_linear_img/306482623.jpg", "306482623")</f>
        <v>306482623</v>
      </c>
      <c r="C3353" s="3" t="str">
        <f>HYPERLINK("http://www.ncbi.nlm.nih.gov/protein/306482623","Hist1h4m")</f>
        <v>Hist1h4m</v>
      </c>
      <c r="E3353" t="str">
        <f>HYPERLINK("J:\Depot - mpkCCD Fractions\Main Web Page\Web Pages_old\proteomic_fractions_linear_files/Yang_linear_img/306482623.jpg","show blot")</f>
        <v>show blot</v>
      </c>
      <c r="G3353" t="s">
        <v>3228</v>
      </c>
      <c r="I3353" s="6">
        <v>8.3624743540048048</v>
      </c>
      <c r="K3353" s="8"/>
    </row>
    <row r="3354" spans="1:11" ht="15" x14ac:dyDescent="0.25">
      <c r="A3354" s="3" t="str">
        <f>HYPERLINK("proteomic_fractions_linear_files/Yang_linear_img/306482623;30089708.jpg", "306482623;30089708")</f>
        <v>306482623;30089708</v>
      </c>
      <c r="C3354" s="3" t="str">
        <f>HYPERLINK("http://www.ncbi.nlm.nih.gov/protein/306482623;30089708","Hist1h4m")</f>
        <v>Hist1h4m</v>
      </c>
      <c r="E3354" t="str">
        <f>HYPERLINK("J:\Depot - mpkCCD Fractions\Main Web Page\Web Pages_old\proteomic_fractions_linear_files/Yang_linear_img/306482623;30089708.jpg","show blot")</f>
        <v>show blot</v>
      </c>
      <c r="G3354" t="s">
        <v>3228</v>
      </c>
      <c r="I3354" s="6">
        <v>8.3624743540048048</v>
      </c>
      <c r="K3354" s="8"/>
    </row>
    <row r="3355" spans="1:11" ht="15" x14ac:dyDescent="0.25">
      <c r="A3355" s="3" t="str">
        <f>HYPERLINK("proteomic_fractions_linear_files/Yang_linear_img/30089708;306482623.jpg", "30089708;306482623")</f>
        <v>30089708;306482623</v>
      </c>
      <c r="C3355" s="3" t="str">
        <f>HYPERLINK("http://www.ncbi.nlm.nih.gov/protein/30089708;306482623","Hist1h4n")</f>
        <v>Hist1h4n</v>
      </c>
      <c r="E3355" t="str">
        <f>HYPERLINK("J:\Depot - mpkCCD Fractions\Main Web Page\Web Pages_old\proteomic_fractions_linear_files/Yang_linear_img/30089708;306482623.jpg","show blot")</f>
        <v>show blot</v>
      </c>
      <c r="G3355" t="s">
        <v>3228</v>
      </c>
      <c r="I3355" s="6">
        <v>7.1035340769970423</v>
      </c>
      <c r="K3355" s="8"/>
    </row>
    <row r="3356" spans="1:11" ht="15" x14ac:dyDescent="0.25">
      <c r="A3356" s="3" t="str">
        <f>HYPERLINK("proteomic_fractions_linear_files/Yang_linear_img/20799907.jpg", "20799907")</f>
        <v>20799907</v>
      </c>
      <c r="C3356" s="3" t="str">
        <f>HYPERLINK("http://www.ncbi.nlm.nih.gov/protein/20799907","Hist2h2aa1")</f>
        <v>Hist2h2aa1</v>
      </c>
      <c r="E3356" t="str">
        <f>HYPERLINK("J:\Depot - mpkCCD Fractions\Main Web Page\Web Pages_old\proteomic_fractions_linear_files/Yang_linear_img/20799907.jpg","show blot")</f>
        <v>show blot</v>
      </c>
      <c r="G3356" t="s">
        <v>3229</v>
      </c>
      <c r="I3356" s="6">
        <v>8.2211386846895653</v>
      </c>
      <c r="K3356" s="8"/>
    </row>
    <row r="3357" spans="1:11" ht="15" x14ac:dyDescent="0.25">
      <c r="A3357" s="3" t="str">
        <f>HYPERLINK("proteomic_fractions_linear_files/Yang_linear_img/30061399;20799907.jpg", "30061399;20799907")</f>
        <v>30061399;20799907</v>
      </c>
      <c r="C3357" s="3" t="str">
        <f>HYPERLINK("http://www.ncbi.nlm.nih.gov/protein/30061399;20799907","Hist2h2aa2")</f>
        <v>Hist2h2aa2</v>
      </c>
      <c r="E3357" t="str">
        <f>HYPERLINK("J:\Depot - mpkCCD Fractions\Main Web Page\Web Pages_old\proteomic_fractions_linear_files/Yang_linear_img/30061399;20799907.jpg","show blot")</f>
        <v>show blot</v>
      </c>
      <c r="G3357" t="s">
        <v>3229</v>
      </c>
      <c r="I3357" s="6">
        <v>6.9651119837094733</v>
      </c>
      <c r="K3357" s="8"/>
    </row>
    <row r="3358" spans="1:11" ht="15" x14ac:dyDescent="0.25">
      <c r="A3358" s="3" t="str">
        <f>HYPERLINK("proteomic_fractions_linear_files/Yang_linear_img/119433657.jpg", "119433657")</f>
        <v>119433657</v>
      </c>
      <c r="C3358" s="3" t="str">
        <f>HYPERLINK("http://www.ncbi.nlm.nih.gov/protein/119433657","Hist2h2ab")</f>
        <v>Hist2h2ab</v>
      </c>
      <c r="E3358" t="str">
        <f>HYPERLINK("J:\Depot - mpkCCD Fractions\Main Web Page\Web Pages_old\proteomic_fractions_linear_files/Yang_linear_img/119433657.jpg","show blot")</f>
        <v>show blot</v>
      </c>
      <c r="G3358" t="s">
        <v>3230</v>
      </c>
      <c r="I3358" s="6">
        <v>7.7394638375129601</v>
      </c>
      <c r="K3358" s="8"/>
    </row>
    <row r="3359" spans="1:11" ht="15" x14ac:dyDescent="0.25">
      <c r="A3359" s="3" t="str">
        <f>HYPERLINK("proteomic_fractions_linear_files/Yang_linear_img/30089710.jpg", "30089710")</f>
        <v>30089710</v>
      </c>
      <c r="C3359" s="3" t="str">
        <f>HYPERLINK("http://www.ncbi.nlm.nih.gov/protein/30089710","Hist2h2ac")</f>
        <v>Hist2h2ac</v>
      </c>
      <c r="E3359" t="str">
        <f>HYPERLINK("J:\Depot - mpkCCD Fractions\Main Web Page\Web Pages_old\proteomic_fractions_linear_files/Yang_linear_img/30089710.jpg","show blot")</f>
        <v>show blot</v>
      </c>
      <c r="G3359" t="s">
        <v>3231</v>
      </c>
      <c r="I3359" s="6">
        <v>8.2446092636109789</v>
      </c>
      <c r="K3359" s="8"/>
    </row>
    <row r="3360" spans="1:11" ht="15" x14ac:dyDescent="0.25">
      <c r="A3360" s="3" t="str">
        <f>HYPERLINK("proteomic_fractions_linear_files/Yang_linear_img/68226433.jpg", "68226433")</f>
        <v>68226433</v>
      </c>
      <c r="C3360" s="3" t="str">
        <f>HYPERLINK("http://www.ncbi.nlm.nih.gov/protein/68226433","Hist2h2bb")</f>
        <v>Hist2h2bb</v>
      </c>
      <c r="E3360" t="str">
        <f>HYPERLINK("J:\Depot - mpkCCD Fractions\Main Web Page\Web Pages_old\proteomic_fractions_linear_files/Yang_linear_img/68226433.jpg","show blot")</f>
        <v>show blot</v>
      </c>
      <c r="G3360" t="s">
        <v>3232</v>
      </c>
      <c r="I3360" s="6">
        <v>8.4974870543916925</v>
      </c>
      <c r="K3360" s="8"/>
    </row>
    <row r="3361" spans="1:11" ht="15" x14ac:dyDescent="0.25">
      <c r="A3361" s="3" t="str">
        <f>HYPERLINK("proteomic_fractions_linear_files/Yang_linear_img/68226431.jpg", "68226431")</f>
        <v>68226431</v>
      </c>
      <c r="C3361" s="3" t="str">
        <f>HYPERLINK("http://www.ncbi.nlm.nih.gov/protein/68226431","Hist2h2be")</f>
        <v>Hist2h2be</v>
      </c>
      <c r="E3361" t="str">
        <f>HYPERLINK("J:\Depot - mpkCCD Fractions\Main Web Page\Web Pages_old\proteomic_fractions_linear_files/Yang_linear_img/68226431.jpg","show blot")</f>
        <v>show blot</v>
      </c>
      <c r="G3361" t="s">
        <v>3233</v>
      </c>
      <c r="I3361" s="6">
        <v>8.4704857823392423</v>
      </c>
      <c r="K3361" s="8"/>
    </row>
    <row r="3362" spans="1:11" ht="15" x14ac:dyDescent="0.25">
      <c r="A3362" s="3" t="str">
        <f>HYPERLINK("proteomic_fractions_linear_files/Yang_linear_img/21489953.jpg", "21489953")</f>
        <v>21489953</v>
      </c>
      <c r="C3362" s="3" t="str">
        <f>HYPERLINK("http://www.ncbi.nlm.nih.gov/protein/21489953","Hist2h3c2")</f>
        <v>Hist2h3c2</v>
      </c>
      <c r="E3362" t="str">
        <f>HYPERLINK("J:\Depot - mpkCCD Fractions\Main Web Page\Web Pages_old\proteomic_fractions_linear_files/Yang_linear_img/21489953.jpg","show blot")</f>
        <v>show blot</v>
      </c>
      <c r="G3362" t="s">
        <v>3226</v>
      </c>
      <c r="I3362" s="6">
        <v>6.7745947224331147</v>
      </c>
      <c r="K3362" s="8"/>
    </row>
    <row r="3363" spans="1:11" ht="15" x14ac:dyDescent="0.25">
      <c r="A3363" s="3" t="str">
        <f>HYPERLINK("proteomic_fractions_linear_files/Yang_linear_img/30061353.jpg", "30061353")</f>
        <v>30061353</v>
      </c>
      <c r="C3363" s="3" t="str">
        <f>HYPERLINK("http://www.ncbi.nlm.nih.gov/protein/30061353","Hist3h2a")</f>
        <v>Hist3h2a</v>
      </c>
      <c r="E3363" t="str">
        <f>HYPERLINK("J:\Depot - mpkCCD Fractions\Main Web Page\Web Pages_old\proteomic_fractions_linear_files/Yang_linear_img/30061353.jpg","show blot")</f>
        <v>show blot</v>
      </c>
      <c r="G3363" t="s">
        <v>3234</v>
      </c>
      <c r="I3363" s="6">
        <v>8.2445780680962919</v>
      </c>
      <c r="K3363" s="8"/>
    </row>
    <row r="3364" spans="1:11" ht="15" x14ac:dyDescent="0.25">
      <c r="A3364" s="3" t="str">
        <f>HYPERLINK("proteomic_fractions_linear_files/Yang_linear_img/13386452.jpg", "13386452")</f>
        <v>13386452</v>
      </c>
      <c r="C3364" s="3" t="str">
        <f>HYPERLINK("http://www.ncbi.nlm.nih.gov/protein/13386452","Hist3h2ba")</f>
        <v>Hist3h2ba</v>
      </c>
      <c r="E3364" t="str">
        <f>HYPERLINK("J:\Depot - mpkCCD Fractions\Main Web Page\Web Pages_old\proteomic_fractions_linear_files/Yang_linear_img/13386452.jpg","show blot")</f>
        <v>show blot</v>
      </c>
      <c r="G3364" t="s">
        <v>3235</v>
      </c>
      <c r="I3364" s="6">
        <v>8.4703372572635534</v>
      </c>
      <c r="K3364" s="8"/>
    </row>
    <row r="3365" spans="1:11" ht="15" x14ac:dyDescent="0.25">
      <c r="A3365" s="3" t="str">
        <f>HYPERLINK("proteomic_fractions_linear_files/Yang_linear_img/46049029.jpg", "46049029")</f>
        <v>46049029</v>
      </c>
      <c r="C3365" s="3" t="str">
        <f>HYPERLINK("http://www.ncbi.nlm.nih.gov/protein/46049029","Hist3h2bb-ps")</f>
        <v>Hist3h2bb-ps</v>
      </c>
      <c r="E3365" t="str">
        <f>HYPERLINK("J:\Depot - mpkCCD Fractions\Main Web Page\Web Pages_old\proteomic_fractions_linear_files/Yang_linear_img/46049029.jpg","show blot")</f>
        <v>show blot</v>
      </c>
      <c r="G3365" t="s">
        <v>3236</v>
      </c>
      <c r="I3365" s="6">
        <v>8.3860163715635174</v>
      </c>
      <c r="K3365" s="8"/>
    </row>
    <row r="3366" spans="1:11" ht="15" x14ac:dyDescent="0.25">
      <c r="A3366" s="3" t="str">
        <f>HYPERLINK("proteomic_fractions_linear_files/Yang_linear_img/225735582.jpg", "225735582")</f>
        <v>225735582</v>
      </c>
      <c r="C3366" s="3" t="str">
        <f>HYPERLINK("http://www.ncbi.nlm.nih.gov/protein/225735582","Hk1")</f>
        <v>Hk1</v>
      </c>
      <c r="E3366" t="str">
        <f>HYPERLINK("J:\Depot - mpkCCD Fractions\Main Web Page\Web Pages_old\proteomic_fractions_linear_files/Yang_linear_img/225735582.jpg","show blot")</f>
        <v>show blot</v>
      </c>
      <c r="G3366" t="s">
        <v>3237</v>
      </c>
      <c r="I3366" s="6">
        <v>6.5550244039292522</v>
      </c>
      <c r="K3366" s="8"/>
    </row>
    <row r="3367" spans="1:11" ht="15" x14ac:dyDescent="0.25">
      <c r="A3367" s="3" t="str">
        <f>HYPERLINK("proteomic_fractions_linear_files/Yang_linear_img/225735584.jpg", "225735584")</f>
        <v>225735584</v>
      </c>
      <c r="C3367" s="3" t="str">
        <f>HYPERLINK("http://www.ncbi.nlm.nih.gov/protein/225735584","Hk1")</f>
        <v>Hk1</v>
      </c>
      <c r="E3367" t="str">
        <f>HYPERLINK("J:\Depot - mpkCCD Fractions\Main Web Page\Web Pages_old\proteomic_fractions_linear_files/Yang_linear_img/225735584.jpg","show blot")</f>
        <v>show blot</v>
      </c>
      <c r="G3367" t="s">
        <v>3238</v>
      </c>
      <c r="I3367" s="6">
        <v>6.5550244039292522</v>
      </c>
      <c r="K3367" s="8"/>
    </row>
    <row r="3368" spans="1:11" ht="15" x14ac:dyDescent="0.25">
      <c r="A3368" s="3" t="str">
        <f>HYPERLINK("proteomic_fractions_linear_files/Yang_linear_img/7305143.jpg", "7305143")</f>
        <v>7305143</v>
      </c>
      <c r="C3368" s="3" t="str">
        <f>HYPERLINK("http://www.ncbi.nlm.nih.gov/protein/7305143","Hk2")</f>
        <v>Hk2</v>
      </c>
      <c r="E3368" t="str">
        <f>HYPERLINK("J:\Depot - mpkCCD Fractions\Main Web Page\Web Pages_old\proteomic_fractions_linear_files/Yang_linear_img/7305143.jpg","show blot")</f>
        <v>show blot</v>
      </c>
      <c r="G3368" t="s">
        <v>3239</v>
      </c>
      <c r="I3368" s="6">
        <v>5.6330354197938304</v>
      </c>
      <c r="K3368" s="8"/>
    </row>
    <row r="3369" spans="1:11" ht="15" x14ac:dyDescent="0.25">
      <c r="A3369" s="3" t="str">
        <f>HYPERLINK("proteomic_fractions_linear_files/Yang_linear_img/329755310.jpg", "329755310")</f>
        <v>329755310</v>
      </c>
      <c r="C3369" s="3" t="str">
        <f>HYPERLINK("http://www.ncbi.nlm.nih.gov/protein/329755310","Hk3")</f>
        <v>Hk3</v>
      </c>
      <c r="E3369" t="str">
        <f>HYPERLINK("J:\Depot - mpkCCD Fractions\Main Web Page\Web Pages_old\proteomic_fractions_linear_files/Yang_linear_img/329755310.jpg","show blot")</f>
        <v>show blot</v>
      </c>
      <c r="G3369" t="s">
        <v>3240</v>
      </c>
      <c r="I3369" s="6">
        <v>4.8957051988227622</v>
      </c>
      <c r="K3369" s="8"/>
    </row>
    <row r="3370" spans="1:11" ht="15" x14ac:dyDescent="0.25">
      <c r="A3370" s="3" t="str">
        <f>HYPERLINK("proteomic_fractions_linear_files/Yang_linear_img/329755312.jpg", "329755312")</f>
        <v>329755312</v>
      </c>
      <c r="C3370" s="3" t="str">
        <f>HYPERLINK("http://www.ncbi.nlm.nih.gov/protein/329755312","Hk3")</f>
        <v>Hk3</v>
      </c>
      <c r="E3370" t="str">
        <f>HYPERLINK("J:\Depot - mpkCCD Fractions\Main Web Page\Web Pages_old\proteomic_fractions_linear_files/Yang_linear_img/329755312.jpg","show blot")</f>
        <v>show blot</v>
      </c>
      <c r="G3370" t="s">
        <v>3241</v>
      </c>
      <c r="I3370" s="6">
        <v>4.8957051988227622</v>
      </c>
      <c r="K3370" s="8"/>
    </row>
    <row r="3371" spans="1:11" ht="15" x14ac:dyDescent="0.25">
      <c r="A3371" s="3" t="str">
        <f>HYPERLINK("proteomic_fractions_linear_files/Yang_linear_img/84370288.jpg", "84370288")</f>
        <v>84370288</v>
      </c>
      <c r="C3371" s="3" t="str">
        <f>HYPERLINK("http://www.ncbi.nlm.nih.gov/protein/84370288","Hk3")</f>
        <v>Hk3</v>
      </c>
      <c r="E3371" t="str">
        <f>HYPERLINK("J:\Depot - mpkCCD Fractions\Main Web Page\Web Pages_old\proteomic_fractions_linear_files/Yang_linear_img/84370288.jpg","show blot")</f>
        <v>show blot</v>
      </c>
      <c r="G3371" t="s">
        <v>3242</v>
      </c>
      <c r="I3371" s="6">
        <v>4.8957051988227622</v>
      </c>
      <c r="K3371" s="8"/>
    </row>
    <row r="3372" spans="1:11" ht="15" x14ac:dyDescent="0.25">
      <c r="A3372" s="3" t="str">
        <f>HYPERLINK("proteomic_fractions_linear_files/Yang_linear_img/21703836.jpg", "21703836")</f>
        <v>21703836</v>
      </c>
      <c r="C3372" s="3" t="str">
        <f>HYPERLINK("http://www.ncbi.nlm.nih.gov/protein/21703836","Hkdc1")</f>
        <v>Hkdc1</v>
      </c>
      <c r="E3372" t="str">
        <f>HYPERLINK("J:\Depot - mpkCCD Fractions\Main Web Page\Web Pages_old\proteomic_fractions_linear_files/Yang_linear_img/21703836.jpg","show blot")</f>
        <v>show blot</v>
      </c>
      <c r="G3372" t="s">
        <v>3243</v>
      </c>
      <c r="I3372" s="6">
        <v>5.7556786893317913</v>
      </c>
      <c r="K3372" s="8"/>
    </row>
    <row r="3373" spans="1:11" ht="15" x14ac:dyDescent="0.25">
      <c r="A3373" s="3" t="str">
        <f>HYPERLINK("proteomic_fractions_linear_files/Yang_linear_img/20982837.jpg", "20982837")</f>
        <v>20982837</v>
      </c>
      <c r="C3373" s="3" t="str">
        <f>HYPERLINK("http://www.ncbi.nlm.nih.gov/protein/20982837","Hlcs")</f>
        <v>Hlcs</v>
      </c>
      <c r="E3373" t="str">
        <f>HYPERLINK("J:\Depot - mpkCCD Fractions\Main Web Page\Web Pages_old\proteomic_fractions_linear_files/Yang_linear_img/20982837.jpg","show blot")</f>
        <v>show blot</v>
      </c>
      <c r="G3373" t="s">
        <v>3244</v>
      </c>
      <c r="I3373" s="6">
        <v>2.0195155822564046</v>
      </c>
      <c r="K3373" s="8"/>
    </row>
    <row r="3374" spans="1:11" ht="15" x14ac:dyDescent="0.25">
      <c r="A3374" s="3" t="str">
        <f>HYPERLINK("proteomic_fractions_linear_files/Yang_linear_img/67763824.jpg", "67763824")</f>
        <v>67763824</v>
      </c>
      <c r="C3374" s="3" t="str">
        <f>HYPERLINK("http://www.ncbi.nlm.nih.gov/protein/67763824","Hltf")</f>
        <v>Hltf</v>
      </c>
      <c r="E3374" t="str">
        <f>HYPERLINK("J:\Depot - mpkCCD Fractions\Main Web Page\Web Pages_old\proteomic_fractions_linear_files/Yang_linear_img/67763824.jpg","show blot")</f>
        <v>show blot</v>
      </c>
      <c r="G3374" t="s">
        <v>3245</v>
      </c>
      <c r="I3374" s="6">
        <v>0.90260930683008611</v>
      </c>
      <c r="K3374" s="8"/>
    </row>
    <row r="3375" spans="1:11" ht="15" x14ac:dyDescent="0.25">
      <c r="A3375" s="3" t="str">
        <f>HYPERLINK("proteomic_fractions_linear_files/Yang_linear_img/159110431.jpg", "159110431")</f>
        <v>159110431</v>
      </c>
      <c r="C3375" s="3" t="str">
        <f>HYPERLINK("http://www.ncbi.nlm.nih.gov/protein/159110431","Hmbs")</f>
        <v>Hmbs</v>
      </c>
      <c r="E3375" t="str">
        <f>HYPERLINK("J:\Depot - mpkCCD Fractions\Main Web Page\Web Pages_old\proteomic_fractions_linear_files/Yang_linear_img/159110431.jpg","show blot")</f>
        <v>show blot</v>
      </c>
      <c r="G3375" t="s">
        <v>3246</v>
      </c>
      <c r="I3375" s="6">
        <v>4.9109321757669964</v>
      </c>
      <c r="K3375" s="8"/>
    </row>
    <row r="3376" spans="1:11" ht="15" x14ac:dyDescent="0.25">
      <c r="A3376" s="3" t="str">
        <f>HYPERLINK("proteomic_fractions_linear_files/Yang_linear_img/159110463.jpg", "159110463")</f>
        <v>159110463</v>
      </c>
      <c r="C3376" s="3" t="str">
        <f>HYPERLINK("http://www.ncbi.nlm.nih.gov/protein/159110463","Hmbs")</f>
        <v>Hmbs</v>
      </c>
      <c r="E3376" t="str">
        <f>HYPERLINK("J:\Depot - mpkCCD Fractions\Main Web Page\Web Pages_old\proteomic_fractions_linear_files/Yang_linear_img/159110463.jpg","show blot")</f>
        <v>show blot</v>
      </c>
      <c r="G3376" t="s">
        <v>3247</v>
      </c>
      <c r="I3376" s="6">
        <v>4.9109321757669964</v>
      </c>
      <c r="K3376" s="8"/>
    </row>
    <row r="3377" spans="1:11" ht="15" x14ac:dyDescent="0.25">
      <c r="A3377" s="3" t="str">
        <f>HYPERLINK("proteomic_fractions_linear_files/Yang_linear_img/154689979.jpg", "154689979")</f>
        <v>154689979</v>
      </c>
      <c r="C3377" s="3" t="str">
        <f>HYPERLINK("http://www.ncbi.nlm.nih.gov/protein/154689979","Hmcn1")</f>
        <v>Hmcn1</v>
      </c>
      <c r="E3377" t="str">
        <f>HYPERLINK("J:\Depot - mpkCCD Fractions\Main Web Page\Web Pages_old\proteomic_fractions_linear_files/Yang_linear_img/154689979.jpg","show blot")</f>
        <v>show blot</v>
      </c>
      <c r="G3377" t="s">
        <v>3248</v>
      </c>
      <c r="I3377" s="6">
        <v>2.669097280800881</v>
      </c>
      <c r="K3377" s="8"/>
    </row>
    <row r="3378" spans="1:11" ht="15" x14ac:dyDescent="0.25">
      <c r="A3378" s="3" t="str">
        <f>HYPERLINK("proteomic_fractions_linear_files/Yang_linear_img/262331501.jpg", "262331501")</f>
        <v>262331501</v>
      </c>
      <c r="C3378" s="3" t="str">
        <f>HYPERLINK("http://www.ncbi.nlm.nih.gov/protein/262331501","Hmga1")</f>
        <v>Hmga1</v>
      </c>
      <c r="E3378" t="str">
        <f>HYPERLINK("J:\Depot - mpkCCD Fractions\Main Web Page\Web Pages_old\proteomic_fractions_linear_files/Yang_linear_img/262331501.jpg","show blot")</f>
        <v>show blot</v>
      </c>
      <c r="G3378" t="s">
        <v>3249</v>
      </c>
      <c r="I3378" s="6">
        <v>5.6364688026162435</v>
      </c>
      <c r="K3378" s="8"/>
    </row>
    <row r="3379" spans="1:11" ht="15" x14ac:dyDescent="0.25">
      <c r="A3379" s="3" t="str">
        <f>HYPERLINK("proteomic_fractions_linear_files/Yang_linear_img/262331513.jpg", "262331513")</f>
        <v>262331513</v>
      </c>
      <c r="C3379" s="3" t="str">
        <f>HYPERLINK("http://www.ncbi.nlm.nih.gov/protein/262331513","Hmga1")</f>
        <v>Hmga1</v>
      </c>
      <c r="E3379" t="str">
        <f>HYPERLINK("J:\Depot - mpkCCD Fractions\Main Web Page\Web Pages_old\proteomic_fractions_linear_files/Yang_linear_img/262331513.jpg","show blot")</f>
        <v>show blot</v>
      </c>
      <c r="G3379" t="s">
        <v>3250</v>
      </c>
      <c r="I3379" s="6">
        <v>5.6364688026162435</v>
      </c>
      <c r="K3379" s="8"/>
    </row>
    <row r="3380" spans="1:11" ht="15" x14ac:dyDescent="0.25">
      <c r="A3380" s="3" t="str">
        <f>HYPERLINK("proteomic_fractions_linear_files/Yang_linear_img/262331509.jpg", "262331509")</f>
        <v>262331509</v>
      </c>
      <c r="C3380" s="3" t="str">
        <f>HYPERLINK("http://www.ncbi.nlm.nih.gov/protein/262331509","Hmga1")</f>
        <v>Hmga1</v>
      </c>
      <c r="E3380" t="str">
        <f>HYPERLINK("J:\Depot - mpkCCD Fractions\Main Web Page\Web Pages_old\proteomic_fractions_linear_files/Yang_linear_img/262331509.jpg","show blot")</f>
        <v>show blot</v>
      </c>
      <c r="G3380" t="s">
        <v>3251</v>
      </c>
      <c r="I3380" s="6">
        <v>5.6364688026162435</v>
      </c>
      <c r="K3380" s="8"/>
    </row>
    <row r="3381" spans="1:11" ht="15" x14ac:dyDescent="0.25">
      <c r="A3381" s="3" t="str">
        <f>HYPERLINK("proteomic_fractions_linear_files/Yang_linear_img/262331515.jpg", "262331515")</f>
        <v>262331515</v>
      </c>
      <c r="C3381" s="3" t="str">
        <f>HYPERLINK("http://www.ncbi.nlm.nih.gov/protein/262331515","Hmga1")</f>
        <v>Hmga1</v>
      </c>
      <c r="E3381" t="str">
        <f>HYPERLINK("J:\Depot - mpkCCD Fractions\Main Web Page\Web Pages_old\proteomic_fractions_linear_files/Yang_linear_img/262331515.jpg","show blot")</f>
        <v>show blot</v>
      </c>
      <c r="G3381" t="s">
        <v>3252</v>
      </c>
      <c r="I3381" s="6">
        <v>5.6364688026162435</v>
      </c>
      <c r="K3381" s="8"/>
    </row>
    <row r="3382" spans="1:11" ht="15" x14ac:dyDescent="0.25">
      <c r="A3382" s="3" t="str">
        <f>HYPERLINK("proteomic_fractions_linear_files/Yang_linear_img/262072972;262331501.jpg", "262072972;262331501")</f>
        <v>262072972;262331501</v>
      </c>
      <c r="C3382" s="3" t="str">
        <f>HYPERLINK("http://www.ncbi.nlm.nih.gov/protein/262072972;262331501","Hmga1-rs1")</f>
        <v>Hmga1-rs1</v>
      </c>
      <c r="E3382" t="str">
        <f>HYPERLINK("J:\Depot - mpkCCD Fractions\Main Web Page\Web Pages_old\proteomic_fractions_linear_files/Yang_linear_img/262072972;262331501.jpg","show blot")</f>
        <v>show blot</v>
      </c>
      <c r="G3382" t="s">
        <v>3253</v>
      </c>
      <c r="I3382" s="6">
        <v>5.6380872571408158</v>
      </c>
      <c r="K3382" s="8"/>
    </row>
    <row r="3383" spans="1:11" ht="15" x14ac:dyDescent="0.25">
      <c r="A3383" s="3" t="str">
        <f>HYPERLINK("proteomic_fractions_linear_files/Yang_linear_img/262072970;86198323.jpg", "262072970;86198323")</f>
        <v>262072970;86198323</v>
      </c>
      <c r="C3383" s="3" t="str">
        <f>HYPERLINK("http://www.ncbi.nlm.nih.gov/protein/262072970;86198323","Hmga1-rs1")</f>
        <v>Hmga1-rs1</v>
      </c>
      <c r="E3383" t="str">
        <f>HYPERLINK("J:\Depot - mpkCCD Fractions\Main Web Page\Web Pages_old\proteomic_fractions_linear_files/Yang_linear_img/262072970;86198323.jpg","show blot")</f>
        <v>show blot</v>
      </c>
      <c r="G3383" t="s">
        <v>3254</v>
      </c>
      <c r="I3383" s="6">
        <v>5.6380872571408158</v>
      </c>
      <c r="K3383" s="8"/>
    </row>
    <row r="3384" spans="1:11" ht="15" x14ac:dyDescent="0.25">
      <c r="A3384" s="3" t="str">
        <f>HYPERLINK("proteomic_fractions_linear_files/Yang_linear_img/262072970.jpg", "262072970")</f>
        <v>262072970</v>
      </c>
      <c r="C3384" s="3" t="str">
        <f>HYPERLINK("http://www.ncbi.nlm.nih.gov/protein/262072970","Hmga1-rs1")</f>
        <v>Hmga1-rs1</v>
      </c>
      <c r="E3384" t="str">
        <f>HYPERLINK("J:\Depot - mpkCCD Fractions\Main Web Page\Web Pages_old\proteomic_fractions_linear_files/Yang_linear_img/262072970.jpg","show blot")</f>
        <v>show blot</v>
      </c>
      <c r="G3384" t="s">
        <v>3254</v>
      </c>
      <c r="I3384" s="6">
        <v>5.6380872571408158</v>
      </c>
      <c r="K3384" s="8"/>
    </row>
    <row r="3385" spans="1:11" ht="15" x14ac:dyDescent="0.25">
      <c r="A3385" s="3" t="str">
        <f>HYPERLINK("proteomic_fractions_linear_files/Yang_linear_img/6754210.jpg", "6754210")</f>
        <v>6754210</v>
      </c>
      <c r="C3385" s="3" t="str">
        <f>HYPERLINK("http://www.ncbi.nlm.nih.gov/protein/6754210","Hmga2")</f>
        <v>Hmga2</v>
      </c>
      <c r="E3385" t="str">
        <f>HYPERLINK("J:\Depot - mpkCCD Fractions\Main Web Page\Web Pages_old\proteomic_fractions_linear_files/Yang_linear_img/6754210.jpg","show blot")</f>
        <v>show blot</v>
      </c>
      <c r="G3385" t="s">
        <v>3255</v>
      </c>
      <c r="I3385" s="6">
        <v>4.9571200230745252</v>
      </c>
      <c r="K3385" s="8"/>
    </row>
    <row r="3386" spans="1:11" ht="15" x14ac:dyDescent="0.25">
      <c r="A3386" s="3" t="str">
        <f>HYPERLINK("proteomic_fractions_linear_files/Yang_linear_img/6680229.jpg", "6680229")</f>
        <v>6680229</v>
      </c>
      <c r="C3386" s="3" t="str">
        <f>HYPERLINK("http://www.ncbi.nlm.nih.gov/protein/6680229","Hmgb2")</f>
        <v>Hmgb2</v>
      </c>
      <c r="E3386" t="str">
        <f>HYPERLINK("J:\Depot - mpkCCD Fractions\Main Web Page\Web Pages_old\proteomic_fractions_linear_files/Yang_linear_img/6680229.jpg","show blot")</f>
        <v>show blot</v>
      </c>
      <c r="G3386" t="s">
        <v>3256</v>
      </c>
      <c r="I3386" s="6">
        <v>6.8405655142824093</v>
      </c>
      <c r="K3386" s="8"/>
    </row>
    <row r="3387" spans="1:11" ht="15" x14ac:dyDescent="0.25">
      <c r="A3387" s="3" t="str">
        <f>HYPERLINK("proteomic_fractions_linear_files/Yang_linear_img/6680231.jpg", "6680231")</f>
        <v>6680231</v>
      </c>
      <c r="C3387" s="3" t="str">
        <f>HYPERLINK("http://www.ncbi.nlm.nih.gov/protein/6680231","Hmgb3")</f>
        <v>Hmgb3</v>
      </c>
      <c r="E3387" t="str">
        <f>HYPERLINK("J:\Depot - mpkCCD Fractions\Main Web Page\Web Pages_old\proteomic_fractions_linear_files/Yang_linear_img/6680231.jpg","show blot")</f>
        <v>show blot</v>
      </c>
      <c r="G3387" t="s">
        <v>3257</v>
      </c>
      <c r="I3387" s="6">
        <v>5.9811909486113519</v>
      </c>
      <c r="K3387" s="8"/>
    </row>
    <row r="3388" spans="1:11" ht="15" x14ac:dyDescent="0.25">
      <c r="A3388" s="3" t="str">
        <f>HYPERLINK("proteomic_fractions_linear_files/Yang_linear_img/171543858.jpg", "171543858")</f>
        <v>171543858</v>
      </c>
      <c r="C3388" s="3" t="str">
        <f>HYPERLINK("http://www.ncbi.nlm.nih.gov/protein/171543858","Hmgcl")</f>
        <v>Hmgcl</v>
      </c>
      <c r="E3388" t="str">
        <f>HYPERLINK("J:\Depot - mpkCCD Fractions\Main Web Page\Web Pages_old\proteomic_fractions_linear_files/Yang_linear_img/171543858.jpg","show blot")</f>
        <v>show blot</v>
      </c>
      <c r="G3388" t="s">
        <v>3258</v>
      </c>
      <c r="I3388" s="6">
        <v>4.3562586227668261</v>
      </c>
      <c r="K3388" s="8"/>
    </row>
    <row r="3389" spans="1:11" ht="15" x14ac:dyDescent="0.25">
      <c r="A3389" s="3" t="str">
        <f>HYPERLINK("proteomic_fractions_linear_files/Yang_linear_img/31981842.jpg", "31981842")</f>
        <v>31981842</v>
      </c>
      <c r="C3389" s="3" t="str">
        <f>HYPERLINK("http://www.ncbi.nlm.nih.gov/protein/31981842","Hmgcs1")</f>
        <v>Hmgcs1</v>
      </c>
      <c r="E3389" t="str">
        <f>HYPERLINK("J:\Depot - mpkCCD Fractions\Main Web Page\Web Pages_old\proteomic_fractions_linear_files/Yang_linear_img/31981842.jpg","show blot")</f>
        <v>show blot</v>
      </c>
      <c r="G3389" t="s">
        <v>3259</v>
      </c>
      <c r="I3389" s="6">
        <v>5.2506234797444282</v>
      </c>
      <c r="K3389" s="8"/>
    </row>
    <row r="3390" spans="1:11" ht="15" x14ac:dyDescent="0.25">
      <c r="A3390" s="3" t="str">
        <f>HYPERLINK("proteomic_fractions_linear_files/Yang_linear_img/31560689.jpg", "31560689")</f>
        <v>31560689</v>
      </c>
      <c r="C3390" s="3" t="str">
        <f>HYPERLINK("http://www.ncbi.nlm.nih.gov/protein/31560689","Hmgcs2")</f>
        <v>Hmgcs2</v>
      </c>
      <c r="E3390" t="str">
        <f>HYPERLINK("J:\Depot - mpkCCD Fractions\Main Web Page\Web Pages_old\proteomic_fractions_linear_files/Yang_linear_img/31560689.jpg","show blot")</f>
        <v>show blot</v>
      </c>
      <c r="G3390" t="s">
        <v>3260</v>
      </c>
      <c r="I3390" s="6">
        <v>4.5320045767558588</v>
      </c>
      <c r="K3390" s="8"/>
    </row>
    <row r="3391" spans="1:11" ht="15" x14ac:dyDescent="0.25">
      <c r="A3391" s="3" t="str">
        <f>HYPERLINK("proteomic_fractions_linear_files/Yang_linear_img/21313298.jpg", "21313298")</f>
        <v>21313298</v>
      </c>
      <c r="C3391" s="3" t="str">
        <f>HYPERLINK("http://www.ncbi.nlm.nih.gov/protein/21313298","Hmgn3")</f>
        <v>Hmgn3</v>
      </c>
      <c r="E3391" t="str">
        <f>HYPERLINK("J:\Depot - mpkCCD Fractions\Main Web Page\Web Pages_old\proteomic_fractions_linear_files/Yang_linear_img/21313298.jpg","show blot")</f>
        <v>show blot</v>
      </c>
      <c r="G3391" t="s">
        <v>3261</v>
      </c>
      <c r="I3391" s="6">
        <v>3.6551486112181748</v>
      </c>
      <c r="K3391" s="8"/>
    </row>
    <row r="3392" spans="1:11" ht="15" x14ac:dyDescent="0.25">
      <c r="A3392" s="3" t="str">
        <f>HYPERLINK("proteomic_fractions_linear_files/Yang_linear_img/133778915.jpg", "133778915")</f>
        <v>133778915</v>
      </c>
      <c r="C3392" s="3" t="str">
        <f>HYPERLINK("http://www.ncbi.nlm.nih.gov/protein/133778915","Hmgn5")</f>
        <v>Hmgn5</v>
      </c>
      <c r="E3392" t="str">
        <f>HYPERLINK("J:\Depot - mpkCCD Fractions\Main Web Page\Web Pages_old\proteomic_fractions_linear_files/Yang_linear_img/133778915.jpg","show blot")</f>
        <v>show blot</v>
      </c>
      <c r="G3392" t="s">
        <v>3262</v>
      </c>
      <c r="I3392" s="6">
        <v>4.758936212304941</v>
      </c>
      <c r="K3392" s="8"/>
    </row>
    <row r="3393" spans="1:11" ht="15" x14ac:dyDescent="0.25">
      <c r="A3393" s="3" t="str">
        <f>HYPERLINK("proteomic_fractions_linear_files/Yang_linear_img/225007593.jpg", "225007593")</f>
        <v>225007593</v>
      </c>
      <c r="C3393" s="3" t="str">
        <f>HYPERLINK("http://www.ncbi.nlm.nih.gov/protein/225007593","Hmox2")</f>
        <v>Hmox2</v>
      </c>
      <c r="E3393" t="str">
        <f>HYPERLINK("J:\Depot - mpkCCD Fractions\Main Web Page\Web Pages_old\proteomic_fractions_linear_files/Yang_linear_img/225007593.jpg","show blot")</f>
        <v>show blot</v>
      </c>
      <c r="G3393" t="s">
        <v>3263</v>
      </c>
      <c r="I3393" s="6">
        <v>5.5020439920415063</v>
      </c>
      <c r="K3393" s="8"/>
    </row>
    <row r="3394" spans="1:11" ht="15" x14ac:dyDescent="0.25">
      <c r="A3394" s="3" t="str">
        <f>HYPERLINK("proteomic_fractions_linear_files/Yang_linear_img/6680237.jpg", "6680237")</f>
        <v>6680237</v>
      </c>
      <c r="C3394" s="3" t="str">
        <f>HYPERLINK("http://www.ncbi.nlm.nih.gov/protein/6680237","Hn1")</f>
        <v>Hn1</v>
      </c>
      <c r="E3394" t="str">
        <f>HYPERLINK("J:\Depot - mpkCCD Fractions\Main Web Page\Web Pages_old\proteomic_fractions_linear_files/Yang_linear_img/6680237.jpg","show blot")</f>
        <v>show blot</v>
      </c>
      <c r="G3394" t="s">
        <v>3264</v>
      </c>
      <c r="I3394" s="6">
        <v>5.444795078480368</v>
      </c>
      <c r="K3394" s="8"/>
    </row>
    <row r="3395" spans="1:11" ht="15" x14ac:dyDescent="0.25">
      <c r="A3395" s="3" t="str">
        <f>HYPERLINK("proteomic_fractions_linear_files/Yang_linear_img/39573709.jpg", "39573709")</f>
        <v>39573709</v>
      </c>
      <c r="C3395" s="3" t="str">
        <f>HYPERLINK("http://www.ncbi.nlm.nih.gov/protein/39573709","Hn1l")</f>
        <v>Hn1l</v>
      </c>
      <c r="E3395" t="str">
        <f>HYPERLINK("J:\Depot - mpkCCD Fractions\Main Web Page\Web Pages_old\proteomic_fractions_linear_files/Yang_linear_img/39573709.jpg","show blot")</f>
        <v>show blot</v>
      </c>
      <c r="G3395" t="s">
        <v>3265</v>
      </c>
      <c r="I3395" s="6">
        <v>5.9537108163230563</v>
      </c>
      <c r="K3395" s="8"/>
    </row>
    <row r="3396" spans="1:11" ht="15" x14ac:dyDescent="0.25">
      <c r="A3396" s="3" t="str">
        <f>HYPERLINK("proteomic_fractions_linear_files/Yang_linear_img/226443091.jpg", "226443091")</f>
        <v>226443091</v>
      </c>
      <c r="C3396" s="3" t="str">
        <f>HYPERLINK("http://www.ncbi.nlm.nih.gov/protein/226443091","Hnrnpa0")</f>
        <v>Hnrnpa0</v>
      </c>
      <c r="E3396" t="str">
        <f>HYPERLINK("J:\Depot - mpkCCD Fractions\Main Web Page\Web Pages_old\proteomic_fractions_linear_files/Yang_linear_img/226443091.jpg","show blot")</f>
        <v>show blot</v>
      </c>
      <c r="G3396" t="s">
        <v>3266</v>
      </c>
      <c r="I3396" s="6">
        <v>6.4661433444050544</v>
      </c>
      <c r="K3396" s="8"/>
    </row>
    <row r="3397" spans="1:11" ht="15" x14ac:dyDescent="0.25">
      <c r="A3397" s="3" t="str">
        <f>HYPERLINK("proteomic_fractions_linear_files/Yang_linear_img/6754220.jpg", "6754220")</f>
        <v>6754220</v>
      </c>
      <c r="C3397" s="3" t="str">
        <f>HYPERLINK("http://www.ncbi.nlm.nih.gov/protein/6754220","Hnrnpa1")</f>
        <v>Hnrnpa1</v>
      </c>
      <c r="E3397" t="str">
        <f>HYPERLINK("J:\Depot - mpkCCD Fractions\Main Web Page\Web Pages_old\proteomic_fractions_linear_files/Yang_linear_img/6754220.jpg","show blot")</f>
        <v>show blot</v>
      </c>
      <c r="G3397" t="s">
        <v>3267</v>
      </c>
      <c r="I3397" s="6">
        <v>6.9721372213562613</v>
      </c>
      <c r="K3397" s="8"/>
    </row>
    <row r="3398" spans="1:11" ht="15" x14ac:dyDescent="0.25">
      <c r="A3398" s="3" t="str">
        <f>HYPERLINK("proteomic_fractions_linear_files/Yang_linear_img/85060507.jpg", "85060507")</f>
        <v>85060507</v>
      </c>
      <c r="C3398" s="3" t="str">
        <f>HYPERLINK("http://www.ncbi.nlm.nih.gov/protein/85060507","Hnrnpa1")</f>
        <v>Hnrnpa1</v>
      </c>
      <c r="E3398" t="str">
        <f>HYPERLINK("J:\Depot - mpkCCD Fractions\Main Web Page\Web Pages_old\proteomic_fractions_linear_files/Yang_linear_img/85060507.jpg","show blot")</f>
        <v>show blot</v>
      </c>
      <c r="G3398" t="s">
        <v>3268</v>
      </c>
      <c r="I3398" s="6">
        <v>6.9721372213562613</v>
      </c>
      <c r="K3398" s="8"/>
    </row>
    <row r="3399" spans="1:11" ht="15" x14ac:dyDescent="0.25">
      <c r="A3399" s="3" t="str">
        <f>HYPERLINK("proteomic_fractions_linear_files/Yang_linear_img/109134362;309267107.jpg", "109134362;309267107")</f>
        <v>109134362;309267107</v>
      </c>
      <c r="C3399" s="3" t="str">
        <f>HYPERLINK("http://www.ncbi.nlm.nih.gov/protein/109134362;309267107","Hnrnpa2b1")</f>
        <v>Hnrnpa2b1</v>
      </c>
      <c r="E3399" t="str">
        <f>HYPERLINK("J:\Depot - mpkCCD Fractions\Main Web Page\Web Pages_old\proteomic_fractions_linear_files/Yang_linear_img/109134362;309267107.jpg","show blot")</f>
        <v>show blot</v>
      </c>
      <c r="G3399" t="s">
        <v>3269</v>
      </c>
      <c r="I3399" s="6">
        <v>7.1715458071545717</v>
      </c>
      <c r="K3399" s="8"/>
    </row>
    <row r="3400" spans="1:11" ht="15" x14ac:dyDescent="0.25">
      <c r="A3400" s="3" t="str">
        <f>HYPERLINK("proteomic_fractions_linear_files/Yang_linear_img/32880197.jpg", "32880197")</f>
        <v>32880197</v>
      </c>
      <c r="C3400" s="3" t="str">
        <f>HYPERLINK("http://www.ncbi.nlm.nih.gov/protein/32880197","Hnrnpa2b1")</f>
        <v>Hnrnpa2b1</v>
      </c>
      <c r="E3400" t="str">
        <f>HYPERLINK("J:\Depot - mpkCCD Fractions\Main Web Page\Web Pages_old\proteomic_fractions_linear_files/Yang_linear_img/32880197.jpg","show blot")</f>
        <v>show blot</v>
      </c>
      <c r="G3400" t="s">
        <v>3270</v>
      </c>
      <c r="I3400" s="6">
        <v>7.1715458071545717</v>
      </c>
      <c r="K3400" s="8"/>
    </row>
    <row r="3401" spans="1:11" ht="15" x14ac:dyDescent="0.25">
      <c r="A3401" s="3" t="str">
        <f>HYPERLINK("proteomic_fractions_linear_files/Yang_linear_img/157277969.jpg", "157277969")</f>
        <v>157277969</v>
      </c>
      <c r="C3401" s="3" t="str">
        <f>HYPERLINK("http://www.ncbi.nlm.nih.gov/protein/157277969","Hnrnpa3")</f>
        <v>Hnrnpa3</v>
      </c>
      <c r="E3401" t="str">
        <f>HYPERLINK("J:\Depot - mpkCCD Fractions\Main Web Page\Web Pages_old\proteomic_fractions_linear_files/Yang_linear_img/157277969.jpg","show blot")</f>
        <v>show blot</v>
      </c>
      <c r="G3401" t="s">
        <v>3271</v>
      </c>
      <c r="I3401" s="6">
        <v>7.0186396400299413</v>
      </c>
      <c r="K3401" s="8"/>
    </row>
    <row r="3402" spans="1:11" ht="15" x14ac:dyDescent="0.25">
      <c r="A3402" s="3" t="str">
        <f>HYPERLINK("proteomic_fractions_linear_files/Yang_linear_img/37674277.jpg", "37674277")</f>
        <v>37674277</v>
      </c>
      <c r="C3402" s="3" t="str">
        <f>HYPERLINK("http://www.ncbi.nlm.nih.gov/protein/37674277","Hnrnpa3")</f>
        <v>Hnrnpa3</v>
      </c>
      <c r="E3402" t="str">
        <f>HYPERLINK("J:\Depot - mpkCCD Fractions\Main Web Page\Web Pages_old\proteomic_fractions_linear_files/Yang_linear_img/37674277.jpg","show blot")</f>
        <v>show blot</v>
      </c>
      <c r="G3402" t="s">
        <v>3272</v>
      </c>
      <c r="I3402" s="6">
        <v>7.0186396400299413</v>
      </c>
      <c r="K3402" s="8"/>
    </row>
    <row r="3403" spans="1:11" ht="15" x14ac:dyDescent="0.25">
      <c r="A3403" s="3" t="str">
        <f>HYPERLINK("proteomic_fractions_linear_files/Yang_linear_img/146260280.jpg", "146260280")</f>
        <v>146260280</v>
      </c>
      <c r="C3403" s="3" t="str">
        <f>HYPERLINK("http://www.ncbi.nlm.nih.gov/protein/146260280","Hnrnpab")</f>
        <v>Hnrnpab</v>
      </c>
      <c r="E3403" t="str">
        <f>HYPERLINK("J:\Depot - mpkCCD Fractions\Main Web Page\Web Pages_old\proteomic_fractions_linear_files/Yang_linear_img/146260280.jpg","show blot")</f>
        <v>show blot</v>
      </c>
      <c r="G3403" t="s">
        <v>3273</v>
      </c>
      <c r="I3403" s="6">
        <v>6.8486765821175091</v>
      </c>
      <c r="K3403" s="8"/>
    </row>
    <row r="3404" spans="1:11" ht="15" x14ac:dyDescent="0.25">
      <c r="A3404" s="3" t="str">
        <f>HYPERLINK("proteomic_fractions_linear_files/Yang_linear_img/6754222.jpg", "6754222")</f>
        <v>6754222</v>
      </c>
      <c r="C3404" s="3" t="str">
        <f>HYPERLINK("http://www.ncbi.nlm.nih.gov/protein/6754222","Hnrnpab")</f>
        <v>Hnrnpab</v>
      </c>
      <c r="E3404" t="str">
        <f>HYPERLINK("J:\Depot - mpkCCD Fractions\Main Web Page\Web Pages_old\proteomic_fractions_linear_files/Yang_linear_img/6754222.jpg","show blot")</f>
        <v>show blot</v>
      </c>
      <c r="G3404" t="s">
        <v>3274</v>
      </c>
      <c r="I3404" s="6">
        <v>6.8486765821175091</v>
      </c>
      <c r="K3404" s="8"/>
    </row>
    <row r="3405" spans="1:11" ht="15" x14ac:dyDescent="0.25">
      <c r="A3405" s="3" t="str">
        <f>HYPERLINK("proteomic_fractions_linear_files/Yang_linear_img/283436176.jpg", "283436176")</f>
        <v>283436176</v>
      </c>
      <c r="C3405" s="3" t="str">
        <f>HYPERLINK("http://www.ncbi.nlm.nih.gov/protein/283436176","Hnrnpc")</f>
        <v>Hnrnpc</v>
      </c>
      <c r="E3405" t="str">
        <f>HYPERLINK("J:\Depot - mpkCCD Fractions\Main Web Page\Web Pages_old\proteomic_fractions_linear_files/Yang_linear_img/283436176.jpg","show blot")</f>
        <v>show blot</v>
      </c>
      <c r="G3405" t="s">
        <v>3275</v>
      </c>
      <c r="I3405" s="6">
        <v>6.4355891038035056</v>
      </c>
      <c r="K3405" s="8"/>
    </row>
    <row r="3406" spans="1:11" ht="15" x14ac:dyDescent="0.25">
      <c r="A3406" s="3" t="str">
        <f>HYPERLINK("proteomic_fractions_linear_files/Yang_linear_img/283436180.jpg", "283436180")</f>
        <v>283436180</v>
      </c>
      <c r="C3406" s="3" t="str">
        <f>HYPERLINK("http://www.ncbi.nlm.nih.gov/protein/283436180","Hnrnpc")</f>
        <v>Hnrnpc</v>
      </c>
      <c r="E3406" t="str">
        <f>HYPERLINK("J:\Depot - mpkCCD Fractions\Main Web Page\Web Pages_old\proteomic_fractions_linear_files/Yang_linear_img/283436180.jpg","show blot")</f>
        <v>show blot</v>
      </c>
      <c r="G3406" t="s">
        <v>3276</v>
      </c>
      <c r="I3406" s="6">
        <v>6.4355891038035056</v>
      </c>
      <c r="K3406" s="8"/>
    </row>
    <row r="3407" spans="1:11" ht="15" x14ac:dyDescent="0.25">
      <c r="A3407" s="3" t="str">
        <f>HYPERLINK("proteomic_fractions_linear_files/Yang_linear_img/283436182.jpg", "283436182")</f>
        <v>283436182</v>
      </c>
      <c r="C3407" s="3" t="str">
        <f>HYPERLINK("http://www.ncbi.nlm.nih.gov/protein/283436182","Hnrnpc")</f>
        <v>Hnrnpc</v>
      </c>
      <c r="E3407" t="str">
        <f>HYPERLINK("J:\Depot - mpkCCD Fractions\Main Web Page\Web Pages_old\proteomic_fractions_linear_files/Yang_linear_img/283436182.jpg","show blot")</f>
        <v>show blot</v>
      </c>
      <c r="G3407" t="s">
        <v>3277</v>
      </c>
      <c r="I3407" s="6">
        <v>6.4355891038035056</v>
      </c>
      <c r="K3407" s="8"/>
    </row>
    <row r="3408" spans="1:11" ht="15" x14ac:dyDescent="0.25">
      <c r="A3408" s="3" t="str">
        <f>HYPERLINK("proteomic_fractions_linear_files/Yang_linear_img/8393544.jpg", "8393544")</f>
        <v>8393544</v>
      </c>
      <c r="C3408" s="3" t="str">
        <f>HYPERLINK("http://www.ncbi.nlm.nih.gov/protein/8393544","Hnrnpc")</f>
        <v>Hnrnpc</v>
      </c>
      <c r="E3408" t="str">
        <f>HYPERLINK("J:\Depot - mpkCCD Fractions\Main Web Page\Web Pages_old\proteomic_fractions_linear_files/Yang_linear_img/8393544.jpg","show blot")</f>
        <v>show blot</v>
      </c>
      <c r="G3408" t="s">
        <v>3278</v>
      </c>
      <c r="I3408" s="6">
        <v>6.4355891038035056</v>
      </c>
      <c r="K3408" s="8"/>
    </row>
    <row r="3409" spans="1:11" ht="15" x14ac:dyDescent="0.25">
      <c r="A3409" s="3" t="str">
        <f>HYPERLINK("proteomic_fractions_linear_files/Yang_linear_img/116256512.jpg", "116256512")</f>
        <v>116256512</v>
      </c>
      <c r="C3409" s="3" t="str">
        <f>HYPERLINK("http://www.ncbi.nlm.nih.gov/protein/116256512","Hnrnpd")</f>
        <v>Hnrnpd</v>
      </c>
      <c r="E3409" t="str">
        <f>HYPERLINK("J:\Depot - mpkCCD Fractions\Main Web Page\Web Pages_old\proteomic_fractions_linear_files/Yang_linear_img/116256512.jpg","show blot")</f>
        <v>show blot</v>
      </c>
      <c r="G3409" t="s">
        <v>3279</v>
      </c>
      <c r="I3409" s="6">
        <v>6.6347016613376342</v>
      </c>
      <c r="K3409" s="8"/>
    </row>
    <row r="3410" spans="1:11" ht="15" x14ac:dyDescent="0.25">
      <c r="A3410" s="3" t="str">
        <f>HYPERLINK("proteomic_fractions_linear_files/Yang_linear_img/116256514.jpg", "116256514")</f>
        <v>116256514</v>
      </c>
      <c r="C3410" s="3" t="str">
        <f>HYPERLINK("http://www.ncbi.nlm.nih.gov/protein/116256514","Hnrnpd")</f>
        <v>Hnrnpd</v>
      </c>
      <c r="E3410" t="str">
        <f>HYPERLINK("J:\Depot - mpkCCD Fractions\Main Web Page\Web Pages_old\proteomic_fractions_linear_files/Yang_linear_img/116256514.jpg","show blot")</f>
        <v>show blot</v>
      </c>
      <c r="G3410" t="s">
        <v>3280</v>
      </c>
      <c r="I3410" s="6">
        <v>6.6347016613376342</v>
      </c>
      <c r="K3410" s="8"/>
    </row>
    <row r="3411" spans="1:11" ht="15" x14ac:dyDescent="0.25">
      <c r="A3411" s="3" t="str">
        <f>HYPERLINK("proteomic_fractions_linear_files/Yang_linear_img/116256516.jpg", "116256516")</f>
        <v>116256516</v>
      </c>
      <c r="C3411" s="3" t="str">
        <f>HYPERLINK("http://www.ncbi.nlm.nih.gov/protein/116256516","Hnrnpd")</f>
        <v>Hnrnpd</v>
      </c>
      <c r="E3411" t="str">
        <f>HYPERLINK("J:\Depot - mpkCCD Fractions\Main Web Page\Web Pages_old\proteomic_fractions_linear_files/Yang_linear_img/116256516.jpg","show blot")</f>
        <v>show blot</v>
      </c>
      <c r="G3411" t="s">
        <v>3281</v>
      </c>
      <c r="I3411" s="6">
        <v>6.6347016613376342</v>
      </c>
      <c r="K3411" s="8"/>
    </row>
    <row r="3412" spans="1:11" ht="15" x14ac:dyDescent="0.25">
      <c r="A3412" s="3" t="str">
        <f>HYPERLINK("proteomic_fractions_linear_files/Yang_linear_img/116256518.jpg", "116256518")</f>
        <v>116256518</v>
      </c>
      <c r="C3412" s="3" t="str">
        <f>HYPERLINK("http://www.ncbi.nlm.nih.gov/protein/116256518","Hnrnpd")</f>
        <v>Hnrnpd</v>
      </c>
      <c r="E3412" t="str">
        <f>HYPERLINK("J:\Depot - mpkCCD Fractions\Main Web Page\Web Pages_old\proteomic_fractions_linear_files/Yang_linear_img/116256518.jpg","show blot")</f>
        <v>show blot</v>
      </c>
      <c r="G3412" t="s">
        <v>3282</v>
      </c>
      <c r="I3412" s="6">
        <v>6.6347016613376342</v>
      </c>
      <c r="K3412" s="8"/>
    </row>
    <row r="3413" spans="1:11" ht="15" x14ac:dyDescent="0.25">
      <c r="A3413" s="3" t="str">
        <f>HYPERLINK("proteomic_fractions_linear_files/Yang_linear_img/148664250.jpg", "148664250")</f>
        <v>148664250</v>
      </c>
      <c r="C3413" s="3" t="str">
        <f>HYPERLINK("http://www.ncbi.nlm.nih.gov/protein/148664250","Hnrnpdl")</f>
        <v>Hnrnpdl</v>
      </c>
      <c r="E3413" t="str">
        <f>HYPERLINK("J:\Depot - mpkCCD Fractions\Main Web Page\Web Pages_old\proteomic_fractions_linear_files/Yang_linear_img/148664250.jpg","show blot")</f>
        <v>show blot</v>
      </c>
      <c r="G3413" t="s">
        <v>3283</v>
      </c>
      <c r="I3413" s="6">
        <v>6.1985115082142945</v>
      </c>
      <c r="K3413" s="8"/>
    </row>
    <row r="3414" spans="1:11" ht="15" x14ac:dyDescent="0.25">
      <c r="A3414" s="3" t="str">
        <f>HYPERLINK("proteomic_fractions_linear_files/Yang_linear_img/261878599;19527048.jpg", "261878599;19527048")</f>
        <v>261878599;19527048</v>
      </c>
      <c r="C3414" s="3" t="str">
        <f>HYPERLINK("http://www.ncbi.nlm.nih.gov/protein/261878599;19527048","Hnrnpf")</f>
        <v>Hnrnpf</v>
      </c>
      <c r="E3414" t="str">
        <f>HYPERLINK("J:\Depot - mpkCCD Fractions\Main Web Page\Web Pages_old\proteomic_fractions_linear_files/Yang_linear_img/261878599;19527048.jpg","show blot")</f>
        <v>show blot</v>
      </c>
      <c r="G3414" t="s">
        <v>3284</v>
      </c>
      <c r="I3414" s="6">
        <v>6.5416720113869404</v>
      </c>
      <c r="K3414" s="8"/>
    </row>
    <row r="3415" spans="1:11" ht="15" x14ac:dyDescent="0.25">
      <c r="A3415" s="3" t="str">
        <f>HYPERLINK("proteomic_fractions_linear_files/Yang_linear_img/19527048.jpg", "19527048")</f>
        <v>19527048</v>
      </c>
      <c r="C3415" s="3" t="str">
        <f>HYPERLINK("http://www.ncbi.nlm.nih.gov/protein/19527048","Hnrnpf")</f>
        <v>Hnrnpf</v>
      </c>
      <c r="E3415" t="str">
        <f>HYPERLINK("J:\Depot - mpkCCD Fractions\Main Web Page\Web Pages_old\proteomic_fractions_linear_files/Yang_linear_img/19527048.jpg","show blot")</f>
        <v>show blot</v>
      </c>
      <c r="G3415" t="s">
        <v>3284</v>
      </c>
      <c r="I3415" s="6">
        <v>6.5416720113869404</v>
      </c>
      <c r="K3415" s="8"/>
    </row>
    <row r="3416" spans="1:11" ht="15" x14ac:dyDescent="0.25">
      <c r="A3416" s="3" t="str">
        <f>HYPERLINK("proteomic_fractions_linear_files/Yang_linear_img/10946928.jpg", "10946928")</f>
        <v>10946928</v>
      </c>
      <c r="C3416" s="3" t="str">
        <f>HYPERLINK("http://www.ncbi.nlm.nih.gov/protein/10946928","Hnrnph1")</f>
        <v>Hnrnph1</v>
      </c>
      <c r="E3416" t="str">
        <f>HYPERLINK("J:\Depot - mpkCCD Fractions\Main Web Page\Web Pages_old\proteomic_fractions_linear_files/Yang_linear_img/10946928.jpg","show blot")</f>
        <v>show blot</v>
      </c>
      <c r="G3416" t="s">
        <v>3285</v>
      </c>
      <c r="I3416" s="6">
        <v>6.5570518113052527</v>
      </c>
      <c r="K3416" s="8"/>
    </row>
    <row r="3417" spans="1:11" ht="15" x14ac:dyDescent="0.25">
      <c r="A3417" s="3" t="str">
        <f>HYPERLINK("proteomic_fractions_linear_files/Yang_linear_img/9845253.jpg", "9845253")</f>
        <v>9845253</v>
      </c>
      <c r="C3417" s="3" t="str">
        <f>HYPERLINK("http://www.ncbi.nlm.nih.gov/protein/9845253","Hnrnph2")</f>
        <v>Hnrnph2</v>
      </c>
      <c r="E3417" t="str">
        <f>HYPERLINK("J:\Depot - mpkCCD Fractions\Main Web Page\Web Pages_old\proteomic_fractions_linear_files/Yang_linear_img/9845253.jpg","show blot")</f>
        <v>show blot</v>
      </c>
      <c r="G3417" t="s">
        <v>3286</v>
      </c>
      <c r="I3417" s="6">
        <v>6.3982470003464176</v>
      </c>
      <c r="K3417" s="8"/>
    </row>
    <row r="3418" spans="1:11" ht="15" x14ac:dyDescent="0.25">
      <c r="A3418" s="3" t="str">
        <f>HYPERLINK("proteomic_fractions_linear_files/Yang_linear_img/119637823.jpg", "119637823")</f>
        <v>119637823</v>
      </c>
      <c r="C3418" s="3" t="str">
        <f>HYPERLINK("http://www.ncbi.nlm.nih.gov/protein/119637823","Hnrnph3")</f>
        <v>Hnrnph3</v>
      </c>
      <c r="E3418" t="str">
        <f>HYPERLINK("J:\Depot - mpkCCD Fractions\Main Web Page\Web Pages_old\proteomic_fractions_linear_files/Yang_linear_img/119637823.jpg","show blot")</f>
        <v>show blot</v>
      </c>
      <c r="G3418" t="s">
        <v>3287</v>
      </c>
      <c r="I3418" s="6">
        <v>4.5506218184150509</v>
      </c>
      <c r="K3418" s="8"/>
    </row>
    <row r="3419" spans="1:11" ht="15" x14ac:dyDescent="0.25">
      <c r="A3419" s="3" t="str">
        <f>HYPERLINK("proteomic_fractions_linear_files/Yang_linear_img/13384620.jpg", "13384620")</f>
        <v>13384620</v>
      </c>
      <c r="C3419" s="3" t="str">
        <f>HYPERLINK("http://www.ncbi.nlm.nih.gov/protein/13384620","Hnrnpk")</f>
        <v>Hnrnpk</v>
      </c>
      <c r="E3419" t="str">
        <f>HYPERLINK("J:\Depot - mpkCCD Fractions\Main Web Page\Web Pages_old\proteomic_fractions_linear_files/Yang_linear_img/13384620.jpg","show blot")</f>
        <v>show blot</v>
      </c>
      <c r="G3419" t="s">
        <v>3288</v>
      </c>
      <c r="I3419" s="6">
        <v>6.9804511512759015</v>
      </c>
      <c r="K3419" s="8"/>
    </row>
    <row r="3420" spans="1:11" ht="15" x14ac:dyDescent="0.25">
      <c r="A3420" s="3" t="str">
        <f>HYPERLINK("proteomic_fractions_linear_files/Yang_linear_img/183980004.jpg", "183980004")</f>
        <v>183980004</v>
      </c>
      <c r="C3420" s="3" t="str">
        <f>HYPERLINK("http://www.ncbi.nlm.nih.gov/protein/183980004","Hnrnpl")</f>
        <v>Hnrnpl</v>
      </c>
      <c r="E3420" t="str">
        <f>HYPERLINK("J:\Depot - mpkCCD Fractions\Main Web Page\Web Pages_old\proteomic_fractions_linear_files/Yang_linear_img/183980004.jpg","show blot")</f>
        <v>show blot</v>
      </c>
      <c r="G3420" t="s">
        <v>3289</v>
      </c>
      <c r="I3420" s="6">
        <v>6.2181397098439506</v>
      </c>
      <c r="K3420" s="8"/>
    </row>
    <row r="3421" spans="1:11" ht="15" x14ac:dyDescent="0.25">
      <c r="A3421" s="3" t="str">
        <f>HYPERLINK("proteomic_fractions_linear_files/Yang_linear_img/110347535.jpg", "110347535")</f>
        <v>110347535</v>
      </c>
      <c r="C3421" s="3" t="str">
        <f>HYPERLINK("http://www.ncbi.nlm.nih.gov/protein/110347535","Hnrnpll")</f>
        <v>Hnrnpll</v>
      </c>
      <c r="E3421" t="str">
        <f>HYPERLINK("J:\Depot - mpkCCD Fractions\Main Web Page\Web Pages_old\proteomic_fractions_linear_files/Yang_linear_img/110347535.jpg","show blot")</f>
        <v>show blot</v>
      </c>
      <c r="G3421" t="s">
        <v>3290</v>
      </c>
      <c r="I3421" s="6">
        <v>5.1779835886392922</v>
      </c>
      <c r="K3421" s="8"/>
    </row>
    <row r="3422" spans="1:11" ht="15" x14ac:dyDescent="0.25">
      <c r="A3422" s="3" t="str">
        <f>HYPERLINK("proteomic_fractions_linear_files/Yang_linear_img/158186704.jpg", "158186704")</f>
        <v>158186704</v>
      </c>
      <c r="C3422" s="3" t="str">
        <f>HYPERLINK("http://www.ncbi.nlm.nih.gov/protein/158186704","Hnrnpm")</f>
        <v>Hnrnpm</v>
      </c>
      <c r="E3422" t="str">
        <f>HYPERLINK("J:\Depot - mpkCCD Fractions\Main Web Page\Web Pages_old\proteomic_fractions_linear_files/Yang_linear_img/158186704.jpg","show blot")</f>
        <v>show blot</v>
      </c>
      <c r="G3422" t="s">
        <v>3291</v>
      </c>
      <c r="I3422" s="6">
        <v>6.2264238475557665</v>
      </c>
      <c r="K3422" s="8"/>
    </row>
    <row r="3423" spans="1:11" ht="15" x14ac:dyDescent="0.25">
      <c r="A3423" s="3" t="str">
        <f>HYPERLINK("proteomic_fractions_linear_files/Yang_linear_img/21313308.jpg", "21313308")</f>
        <v>21313308</v>
      </c>
      <c r="C3423" s="3" t="str">
        <f>HYPERLINK("http://www.ncbi.nlm.nih.gov/protein/21313308","Hnrnpm")</f>
        <v>Hnrnpm</v>
      </c>
      <c r="E3423" t="str">
        <f>HYPERLINK("J:\Depot - mpkCCD Fractions\Main Web Page\Web Pages_old\proteomic_fractions_linear_files/Yang_linear_img/21313308.jpg","show blot")</f>
        <v>show blot</v>
      </c>
      <c r="G3423" t="s">
        <v>3292</v>
      </c>
      <c r="I3423" s="6">
        <v>6.2264238475557665</v>
      </c>
      <c r="K3423" s="8"/>
    </row>
    <row r="3424" spans="1:11" ht="15" x14ac:dyDescent="0.25">
      <c r="A3424" s="3" t="str">
        <f>HYPERLINK("proteomic_fractions_linear_files/Yang_linear_img/459683866.jpg", "459683866")</f>
        <v>459683866</v>
      </c>
      <c r="C3424" s="3" t="str">
        <f>HYPERLINK("http://www.ncbi.nlm.nih.gov/protein/459683866","Hnrnpr")</f>
        <v>Hnrnpr</v>
      </c>
      <c r="E3424" t="str">
        <f>HYPERLINK("J:\Depot - mpkCCD Fractions\Main Web Page\Web Pages_old\proteomic_fractions_linear_files/Yang_linear_img/459683866.jpg","show blot")</f>
        <v>show blot</v>
      </c>
      <c r="G3424" t="s">
        <v>3293</v>
      </c>
      <c r="I3424" s="6">
        <v>5.8658577759160506</v>
      </c>
      <c r="K3424" s="8"/>
    </row>
    <row r="3425" spans="1:11" ht="15" x14ac:dyDescent="0.25">
      <c r="A3425" s="3" t="str">
        <f>HYPERLINK("proteomic_fractions_linear_files/Yang_linear_img/459683868.jpg", "459683868")</f>
        <v>459683868</v>
      </c>
      <c r="C3425" s="3" t="str">
        <f>HYPERLINK("http://www.ncbi.nlm.nih.gov/protein/459683868","Hnrnpr")</f>
        <v>Hnrnpr</v>
      </c>
      <c r="E3425" t="str">
        <f>HYPERLINK("J:\Depot - mpkCCD Fractions\Main Web Page\Web Pages_old\proteomic_fractions_linear_files/Yang_linear_img/459683868.jpg","show blot")</f>
        <v>show blot</v>
      </c>
      <c r="G3425" t="s">
        <v>3293</v>
      </c>
      <c r="I3425" s="6">
        <v>5.8658577759160506</v>
      </c>
      <c r="K3425" s="8"/>
    </row>
    <row r="3426" spans="1:11" ht="15" x14ac:dyDescent="0.25">
      <c r="A3426" s="3" t="str">
        <f>HYPERLINK("proteomic_fractions_linear_files/Yang_linear_img/33859724.jpg", "33859724")</f>
        <v>33859724</v>
      </c>
      <c r="C3426" s="3" t="str">
        <f>HYPERLINK("http://www.ncbi.nlm.nih.gov/protein/33859724","Hnrnpr")</f>
        <v>Hnrnpr</v>
      </c>
      <c r="E3426" t="str">
        <f>HYPERLINK("J:\Depot - mpkCCD Fractions\Main Web Page\Web Pages_old\proteomic_fractions_linear_files/Yang_linear_img/33859724.jpg","show blot")</f>
        <v>show blot</v>
      </c>
      <c r="G3426" t="s">
        <v>3294</v>
      </c>
      <c r="I3426" s="6">
        <v>5.8658577759160506</v>
      </c>
      <c r="K3426" s="8"/>
    </row>
    <row r="3427" spans="1:11" ht="15" x14ac:dyDescent="0.25">
      <c r="A3427" s="3" t="str">
        <f>HYPERLINK("proteomic_fractions_linear_files/Yang_linear_img/160333923.jpg", "160333923")</f>
        <v>160333923</v>
      </c>
      <c r="C3427" s="3" t="str">
        <f>HYPERLINK("http://www.ncbi.nlm.nih.gov/protein/160333923","Hnrnpu")</f>
        <v>Hnrnpu</v>
      </c>
      <c r="E3427" t="str">
        <f>HYPERLINK("J:\Depot - mpkCCD Fractions\Main Web Page\Web Pages_old\proteomic_fractions_linear_files/Yang_linear_img/160333923.jpg","show blot")</f>
        <v>show blot</v>
      </c>
      <c r="G3427" t="s">
        <v>3295</v>
      </c>
      <c r="I3427" s="6">
        <v>6.6926239335136817</v>
      </c>
      <c r="K3427" s="8"/>
    </row>
    <row r="3428" spans="1:11" ht="15" x14ac:dyDescent="0.25">
      <c r="A3428" s="3" t="str">
        <f>HYPERLINK("proteomic_fractions_linear_files/Yang_linear_img/30017405.jpg", "30017405")</f>
        <v>30017405</v>
      </c>
      <c r="C3428" s="3" t="str">
        <f>HYPERLINK("http://www.ncbi.nlm.nih.gov/protein/30017405","Hnrnpul1")</f>
        <v>Hnrnpul1</v>
      </c>
      <c r="E3428" t="str">
        <f>HYPERLINK("J:\Depot - mpkCCD Fractions\Main Web Page\Web Pages_old\proteomic_fractions_linear_files/Yang_linear_img/30017405.jpg","show blot")</f>
        <v>show blot</v>
      </c>
      <c r="G3428" t="s">
        <v>3296</v>
      </c>
      <c r="I3428" s="6">
        <v>4.7512235881348124</v>
      </c>
      <c r="K3428" s="8"/>
    </row>
    <row r="3429" spans="1:11" ht="15" x14ac:dyDescent="0.25">
      <c r="A3429" s="3" t="str">
        <f>HYPERLINK("proteomic_fractions_linear_files/Yang_linear_img/21450323.jpg", "21450323")</f>
        <v>21450323</v>
      </c>
      <c r="C3429" s="3" t="str">
        <f>HYPERLINK("http://www.ncbi.nlm.nih.gov/protein/21450323","Hnrnpul1")</f>
        <v>Hnrnpul1</v>
      </c>
      <c r="E3429" t="str">
        <f>HYPERLINK("J:\Depot - mpkCCD Fractions\Main Web Page\Web Pages_old\proteomic_fractions_linear_files/Yang_linear_img/21450323.jpg","show blot")</f>
        <v>show blot</v>
      </c>
      <c r="G3429" t="s">
        <v>3297</v>
      </c>
      <c r="I3429" s="6">
        <v>4.7512235881348124</v>
      </c>
      <c r="K3429" s="8"/>
    </row>
    <row r="3430" spans="1:11" ht="15" x14ac:dyDescent="0.25">
      <c r="A3430" s="3" t="str">
        <f>HYPERLINK("proteomic_fractions_linear_files/Yang_linear_img/124487099.jpg", "124487099")</f>
        <v>124487099</v>
      </c>
      <c r="C3430" s="3" t="str">
        <f>HYPERLINK("http://www.ncbi.nlm.nih.gov/protein/124487099","Hnrnpul2")</f>
        <v>Hnrnpul2</v>
      </c>
      <c r="E3430" t="str">
        <f>HYPERLINK("J:\Depot - mpkCCD Fractions\Main Web Page\Web Pages_old\proteomic_fractions_linear_files/Yang_linear_img/124487099.jpg","show blot")</f>
        <v>show blot</v>
      </c>
      <c r="G3430" t="s">
        <v>3298</v>
      </c>
      <c r="I3430" s="6">
        <v>5.8924382182589623</v>
      </c>
      <c r="K3430" s="8"/>
    </row>
    <row r="3431" spans="1:11" ht="15" x14ac:dyDescent="0.25">
      <c r="A3431" s="3" t="str">
        <f>HYPERLINK("proteomic_fractions_linear_files/Yang_linear_img/13385656.jpg", "13385656")</f>
        <v>13385656</v>
      </c>
      <c r="C3431" s="3" t="str">
        <f>HYPERLINK("http://www.ncbi.nlm.nih.gov/protein/13385656","Hoga1")</f>
        <v>Hoga1</v>
      </c>
      <c r="E3431" t="str">
        <f>HYPERLINK("J:\Depot - mpkCCD Fractions\Main Web Page\Web Pages_old\proteomic_fractions_linear_files/Yang_linear_img/13385656.jpg","show blot")</f>
        <v>show blot</v>
      </c>
      <c r="G3431" t="s">
        <v>3299</v>
      </c>
      <c r="I3431" s="6">
        <v>4.5502967736309703</v>
      </c>
      <c r="K3431" s="8"/>
    </row>
    <row r="3432" spans="1:11" ht="15" x14ac:dyDescent="0.25">
      <c r="A3432" s="3" t="str">
        <f>HYPERLINK("proteomic_fractions_linear_files/Yang_linear_img/225903402.jpg", "225903402")</f>
        <v>225903402</v>
      </c>
      <c r="C3432" s="3" t="str">
        <f>HYPERLINK("http://www.ncbi.nlm.nih.gov/protein/225903402","Homer3")</f>
        <v>Homer3</v>
      </c>
      <c r="E3432" t="str">
        <f>HYPERLINK("J:\Depot - mpkCCD Fractions\Main Web Page\Web Pages_old\proteomic_fractions_linear_files/Yang_linear_img/225903402.jpg","show blot")</f>
        <v>show blot</v>
      </c>
      <c r="G3432" t="s">
        <v>3300</v>
      </c>
      <c r="I3432" s="6">
        <v>3.3565134472230316</v>
      </c>
      <c r="K3432" s="8"/>
    </row>
    <row r="3433" spans="1:11" ht="15" x14ac:dyDescent="0.25">
      <c r="A3433" s="3" t="str">
        <f>HYPERLINK("proteomic_fractions_linear_files/Yang_linear_img/225903404.jpg", "225903404")</f>
        <v>225903404</v>
      </c>
      <c r="C3433" s="3" t="str">
        <f>HYPERLINK("http://www.ncbi.nlm.nih.gov/protein/225903404","Homer3")</f>
        <v>Homer3</v>
      </c>
      <c r="E3433" t="str">
        <f>HYPERLINK("J:\Depot - mpkCCD Fractions\Main Web Page\Web Pages_old\proteomic_fractions_linear_files/Yang_linear_img/225903404.jpg","show blot")</f>
        <v>show blot</v>
      </c>
      <c r="G3433" t="s">
        <v>3301</v>
      </c>
      <c r="I3433" s="6">
        <v>3.3565134472230316</v>
      </c>
      <c r="K3433" s="8"/>
    </row>
    <row r="3434" spans="1:11" ht="15" x14ac:dyDescent="0.25">
      <c r="A3434" s="3" t="str">
        <f>HYPERLINK("proteomic_fractions_linear_files/Yang_linear_img/22003856.jpg", "22003856")</f>
        <v>22003856</v>
      </c>
      <c r="C3434" s="3" t="str">
        <f>HYPERLINK("http://www.ncbi.nlm.nih.gov/protein/22003856","Hook1")</f>
        <v>Hook1</v>
      </c>
      <c r="E3434" t="str">
        <f>HYPERLINK("J:\Depot - mpkCCD Fractions\Main Web Page\Web Pages_old\proteomic_fractions_linear_files/Yang_linear_img/22003856.jpg","show blot")</f>
        <v>show blot</v>
      </c>
      <c r="G3434" t="s">
        <v>3302</v>
      </c>
      <c r="I3434" s="6">
        <v>4.6663580950606134</v>
      </c>
      <c r="K3434" s="8"/>
    </row>
    <row r="3435" spans="1:11" ht="15" x14ac:dyDescent="0.25">
      <c r="A3435" s="3" t="str">
        <f>HYPERLINK("proteomic_fractions_linear_files/Yang_linear_img/269784731.jpg", "269784731")</f>
        <v>269784731</v>
      </c>
      <c r="C3435" s="3" t="str">
        <f>HYPERLINK("http://www.ncbi.nlm.nih.gov/protein/269784731","Hook2")</f>
        <v>Hook2</v>
      </c>
      <c r="E3435" t="str">
        <f>HYPERLINK("J:\Depot - mpkCCD Fractions\Main Web Page\Web Pages_old\proteomic_fractions_linear_files/Yang_linear_img/269784731.jpg","show blot")</f>
        <v>show blot</v>
      </c>
      <c r="G3435" t="s">
        <v>3303</v>
      </c>
      <c r="I3435" s="6">
        <v>3.6334334667627863</v>
      </c>
      <c r="K3435" s="8"/>
    </row>
    <row r="3436" spans="1:11" ht="15" x14ac:dyDescent="0.25">
      <c r="A3436" s="3" t="str">
        <f>HYPERLINK("proteomic_fractions_linear_files/Yang_linear_img/269784735.jpg", "269784735")</f>
        <v>269784735</v>
      </c>
      <c r="C3436" s="3" t="str">
        <f>HYPERLINK("http://www.ncbi.nlm.nih.gov/protein/269784735","Hook2")</f>
        <v>Hook2</v>
      </c>
      <c r="E3436" t="str">
        <f>HYPERLINK("J:\Depot - mpkCCD Fractions\Main Web Page\Web Pages_old\proteomic_fractions_linear_files/Yang_linear_img/269784735.jpg","show blot")</f>
        <v>show blot</v>
      </c>
      <c r="G3436" t="s">
        <v>3304</v>
      </c>
      <c r="I3436" s="6">
        <v>3.6334334667627863</v>
      </c>
      <c r="K3436" s="8"/>
    </row>
    <row r="3437" spans="1:11" ht="15" x14ac:dyDescent="0.25">
      <c r="A3437" s="3" t="str">
        <f>HYPERLINK("proteomic_fractions_linear_files/Yang_linear_img/46559745.jpg", "46559745")</f>
        <v>46559745</v>
      </c>
      <c r="C3437" s="3" t="str">
        <f>HYPERLINK("http://www.ncbi.nlm.nih.gov/protein/46559745","Hook3")</f>
        <v>Hook3</v>
      </c>
      <c r="E3437" t="str">
        <f>HYPERLINK("J:\Depot - mpkCCD Fractions\Main Web Page\Web Pages_old\proteomic_fractions_linear_files/Yang_linear_img/46559745.jpg","show blot")</f>
        <v>show blot</v>
      </c>
      <c r="G3437" t="s">
        <v>3305</v>
      </c>
      <c r="I3437" s="6">
        <v>4.4618320308795152</v>
      </c>
      <c r="K3437" s="8"/>
    </row>
    <row r="3438" spans="1:11" ht="15" x14ac:dyDescent="0.25">
      <c r="A3438" s="3" t="str">
        <f>HYPERLINK("proteomic_fractions_linear_files/Yang_linear_img/6754232.jpg", "6754232")</f>
        <v>6754232</v>
      </c>
      <c r="C3438" s="3" t="str">
        <f>HYPERLINK("http://www.ncbi.nlm.nih.gov/protein/6754232","Hoxa5")</f>
        <v>Hoxa5</v>
      </c>
      <c r="E3438" t="str">
        <f>HYPERLINK("J:\Depot - mpkCCD Fractions\Main Web Page\Web Pages_old\proteomic_fractions_linear_files/Yang_linear_img/6754232.jpg","show blot")</f>
        <v>show blot</v>
      </c>
      <c r="G3438" t="s">
        <v>3306</v>
      </c>
      <c r="I3438" s="6">
        <v>2.2409989994245603</v>
      </c>
      <c r="K3438" s="8"/>
    </row>
    <row r="3439" spans="1:11" ht="15" x14ac:dyDescent="0.25">
      <c r="A3439" s="3" t="str">
        <f>HYPERLINK("proteomic_fractions_linear_files/Yang_linear_img/88014652.jpg", "88014652")</f>
        <v>88014652</v>
      </c>
      <c r="C3439" s="3" t="str">
        <f>HYPERLINK("http://www.ncbi.nlm.nih.gov/protein/88014652","Hoxb7")</f>
        <v>Hoxb7</v>
      </c>
      <c r="E3439" t="str">
        <f>HYPERLINK("J:\Depot - mpkCCD Fractions\Main Web Page\Web Pages_old\proteomic_fractions_linear_files/Yang_linear_img/88014652.jpg","show blot")</f>
        <v>show blot</v>
      </c>
      <c r="G3439" t="s">
        <v>3307</v>
      </c>
      <c r="I3439" s="6">
        <v>3.8630978401910281</v>
      </c>
      <c r="K3439" s="8"/>
    </row>
    <row r="3440" spans="1:11" ht="15" x14ac:dyDescent="0.25">
      <c r="A3440" s="3" t="str">
        <f>HYPERLINK("proteomic_fractions_linear_files/Yang_linear_img/112807184.jpg", "112807184")</f>
        <v>112807184</v>
      </c>
      <c r="C3440" s="3" t="str">
        <f>HYPERLINK("http://www.ncbi.nlm.nih.gov/protein/112807184","Hoxd8")</f>
        <v>Hoxd8</v>
      </c>
      <c r="E3440" t="str">
        <f>HYPERLINK("J:\Depot - mpkCCD Fractions\Main Web Page\Web Pages_old\proteomic_fractions_linear_files/Yang_linear_img/112807184.jpg","show blot")</f>
        <v>show blot</v>
      </c>
      <c r="G3440" t="s">
        <v>3308</v>
      </c>
      <c r="I3440" s="6">
        <v>3.7392354225522237</v>
      </c>
      <c r="K3440" s="8"/>
    </row>
    <row r="3441" spans="1:11" ht="15" x14ac:dyDescent="0.25">
      <c r="A3441" s="3" t="str">
        <f>HYPERLINK("proteomic_fractions_linear_files/Yang_linear_img/550821966.jpg", "550821966")</f>
        <v>550821966</v>
      </c>
      <c r="C3441" s="3" t="str">
        <f>HYPERLINK("http://www.ncbi.nlm.nih.gov/protein/550821966","Hp1bp3")</f>
        <v>Hp1bp3</v>
      </c>
      <c r="E3441" t="str">
        <f>HYPERLINK("J:\Depot - mpkCCD Fractions\Main Web Page\Web Pages_old\proteomic_fractions_linear_files/Yang_linear_img/550821966.jpg","show blot")</f>
        <v>show blot</v>
      </c>
      <c r="G3441" t="s">
        <v>3309</v>
      </c>
      <c r="I3441" s="6">
        <v>4.9380376642162505</v>
      </c>
      <c r="K3441" s="8"/>
    </row>
    <row r="3442" spans="1:11" ht="15" x14ac:dyDescent="0.25">
      <c r="A3442" s="3" t="str">
        <f>HYPERLINK("proteomic_fractions_linear_files/Yang_linear_img/550821975.jpg", "550821975")</f>
        <v>550821975</v>
      </c>
      <c r="C3442" s="3" t="str">
        <f>HYPERLINK("http://www.ncbi.nlm.nih.gov/protein/550821975","Hp1bp3")</f>
        <v>Hp1bp3</v>
      </c>
      <c r="E3442" t="str">
        <f>HYPERLINK("J:\Depot - mpkCCD Fractions\Main Web Page\Web Pages_old\proteomic_fractions_linear_files/Yang_linear_img/550821975.jpg","show blot")</f>
        <v>show blot</v>
      </c>
      <c r="G3442" t="s">
        <v>3310</v>
      </c>
      <c r="I3442" s="6">
        <v>4.9380376642162505</v>
      </c>
      <c r="K3442" s="8"/>
    </row>
    <row r="3443" spans="1:11" ht="15" x14ac:dyDescent="0.25">
      <c r="A3443" s="3" t="str">
        <f>HYPERLINK("proteomic_fractions_linear_files/Yang_linear_img/550822234.jpg", "550822234")</f>
        <v>550822234</v>
      </c>
      <c r="C3443" s="3" t="str">
        <f>HYPERLINK("http://www.ncbi.nlm.nih.gov/protein/550822234","Hp1bp3")</f>
        <v>Hp1bp3</v>
      </c>
      <c r="E3443" t="str">
        <f>HYPERLINK("J:\Depot - mpkCCD Fractions\Main Web Page\Web Pages_old\proteomic_fractions_linear_files/Yang_linear_img/550822234.jpg","show blot")</f>
        <v>show blot</v>
      </c>
      <c r="G3443" t="s">
        <v>3311</v>
      </c>
      <c r="I3443" s="6">
        <v>4.9380376642162505</v>
      </c>
      <c r="K3443" s="8"/>
    </row>
    <row r="3444" spans="1:11" ht="15" x14ac:dyDescent="0.25">
      <c r="A3444" s="3" t="str">
        <f>HYPERLINK("proteomic_fractions_linear_files/Yang_linear_img/171543869.jpg", "171543869")</f>
        <v>171543869</v>
      </c>
      <c r="C3444" s="3" t="str">
        <f>HYPERLINK("http://www.ncbi.nlm.nih.gov/protein/171543869","Hp1bp3")</f>
        <v>Hp1bp3</v>
      </c>
      <c r="E3444" t="str">
        <f>HYPERLINK("J:\Depot - mpkCCD Fractions\Main Web Page\Web Pages_old\proteomic_fractions_linear_files/Yang_linear_img/171543869.jpg","show blot")</f>
        <v>show blot</v>
      </c>
      <c r="G3444" t="s">
        <v>3312</v>
      </c>
      <c r="I3444" s="6">
        <v>4.9380376642162505</v>
      </c>
      <c r="K3444" s="8"/>
    </row>
    <row r="3445" spans="1:11" ht="15" x14ac:dyDescent="0.25">
      <c r="A3445" s="3" t="str">
        <f>HYPERLINK("proteomic_fractions_linear_files/Yang_linear_img/171543871.jpg", "171543871")</f>
        <v>171543871</v>
      </c>
      <c r="C3445" s="3" t="str">
        <f>HYPERLINK("http://www.ncbi.nlm.nih.gov/protein/171543871","Hp1bp3")</f>
        <v>Hp1bp3</v>
      </c>
      <c r="E3445" t="str">
        <f>HYPERLINK("J:\Depot - mpkCCD Fractions\Main Web Page\Web Pages_old\proteomic_fractions_linear_files/Yang_linear_img/171543871.jpg","show blot")</f>
        <v>show blot</v>
      </c>
      <c r="G3445" t="s">
        <v>3313</v>
      </c>
      <c r="I3445" s="6">
        <v>4.9380376642162505</v>
      </c>
      <c r="K3445" s="8"/>
    </row>
    <row r="3446" spans="1:11" ht="15" x14ac:dyDescent="0.25">
      <c r="A3446" s="3" t="str">
        <f>HYPERLINK("proteomic_fractions_linear_files/Yang_linear_img/6754240.jpg", "6754240")</f>
        <v>6754240</v>
      </c>
      <c r="C3446" s="3" t="str">
        <f>HYPERLINK("http://www.ncbi.nlm.nih.gov/protein/6754240","Hpca")</f>
        <v>Hpca</v>
      </c>
      <c r="E3446" t="str">
        <f>HYPERLINK("J:\Depot - mpkCCD Fractions\Main Web Page\Web Pages_old\proteomic_fractions_linear_files/Yang_linear_img/6754240.jpg","show blot")</f>
        <v>show blot</v>
      </c>
      <c r="G3446" t="s">
        <v>3314</v>
      </c>
      <c r="I3446" s="6">
        <v>5.5324701919162118</v>
      </c>
      <c r="K3446" s="8"/>
    </row>
    <row r="3447" spans="1:11" ht="15" x14ac:dyDescent="0.25">
      <c r="A3447" s="3" t="str">
        <f>HYPERLINK("proteomic_fractions_linear_files/Yang_linear_img/7949055.jpg", "7949055")</f>
        <v>7949055</v>
      </c>
      <c r="C3447" s="3" t="str">
        <f>HYPERLINK("http://www.ncbi.nlm.nih.gov/protein/7949055","Hpcal1")</f>
        <v>Hpcal1</v>
      </c>
      <c r="E3447" t="str">
        <f>HYPERLINK("J:\Depot - mpkCCD Fractions\Main Web Page\Web Pages_old\proteomic_fractions_linear_files/Yang_linear_img/7949055.jpg","show blot")</f>
        <v>show blot</v>
      </c>
      <c r="G3447" t="s">
        <v>3315</v>
      </c>
      <c r="I3447" s="6">
        <v>5.772696291566521</v>
      </c>
      <c r="K3447" s="8"/>
    </row>
    <row r="3448" spans="1:11" ht="15" x14ac:dyDescent="0.25">
      <c r="A3448" s="3" t="str">
        <f>HYPERLINK("proteomic_fractions_linear_files/Yang_linear_img/96975138.jpg", "96975138")</f>
        <v>96975138</v>
      </c>
      <c r="C3448" s="3" t="str">
        <f>HYPERLINK("http://www.ncbi.nlm.nih.gov/protein/96975138","Hprt")</f>
        <v>Hprt</v>
      </c>
      <c r="E3448" t="str">
        <f>HYPERLINK("J:\Depot - mpkCCD Fractions\Main Web Page\Web Pages_old\proteomic_fractions_linear_files/Yang_linear_img/96975138.jpg","show blot")</f>
        <v>show blot</v>
      </c>
      <c r="G3448" t="s">
        <v>3316</v>
      </c>
      <c r="I3448" s="6">
        <v>5.7971263177301422</v>
      </c>
      <c r="K3448" s="8"/>
    </row>
    <row r="3449" spans="1:11" ht="15" x14ac:dyDescent="0.25">
      <c r="A3449" s="3" t="str">
        <f>HYPERLINK("proteomic_fractions_linear_files/Yang_linear_img/268607540.jpg", "268607540")</f>
        <v>268607540</v>
      </c>
      <c r="C3449" s="3" t="str">
        <f>HYPERLINK("http://www.ncbi.nlm.nih.gov/protein/268607540","Hps5")</f>
        <v>Hps5</v>
      </c>
      <c r="E3449" t="str">
        <f>HYPERLINK("J:\Depot - mpkCCD Fractions\Main Web Page\Web Pages_old\proteomic_fractions_linear_files/Yang_linear_img/268607540.jpg","show blot")</f>
        <v>show blot</v>
      </c>
      <c r="G3449" t="s">
        <v>3317</v>
      </c>
      <c r="I3449" s="6">
        <v>2.1606245772567707</v>
      </c>
      <c r="K3449" s="8"/>
    </row>
    <row r="3450" spans="1:11" ht="15" x14ac:dyDescent="0.25">
      <c r="A3450" s="3" t="str">
        <f>HYPERLINK("proteomic_fractions_linear_files/Yang_linear_img/268607542.jpg", "268607542")</f>
        <v>268607542</v>
      </c>
      <c r="C3450" s="3" t="str">
        <f>HYPERLINK("http://www.ncbi.nlm.nih.gov/protein/268607542","Hps5")</f>
        <v>Hps5</v>
      </c>
      <c r="E3450" t="str">
        <f>HYPERLINK("J:\Depot - mpkCCD Fractions\Main Web Page\Web Pages_old\proteomic_fractions_linear_files/Yang_linear_img/268607542.jpg","show blot")</f>
        <v>show blot</v>
      </c>
      <c r="G3450" t="s">
        <v>3318</v>
      </c>
      <c r="I3450" s="6">
        <v>2.1606245772567707</v>
      </c>
      <c r="K3450" s="8"/>
    </row>
    <row r="3451" spans="1:11" ht="15" x14ac:dyDescent="0.25">
      <c r="A3451" s="3" t="str">
        <f>HYPERLINK("proteomic_fractions_linear_files/Yang_linear_img/194363764;194440734.jpg", "194363764;194440734")</f>
        <v>194363764;194440734</v>
      </c>
      <c r="C3451" s="3" t="str">
        <f>HYPERLINK("http://www.ncbi.nlm.nih.gov/protein/194363764;194440734","Hras1")</f>
        <v>Hras1</v>
      </c>
      <c r="E3451" t="str">
        <f>HYPERLINK("J:\Depot - mpkCCD Fractions\Main Web Page\Web Pages_old\proteomic_fractions_linear_files/Yang_linear_img/194363764;194440734.jpg","show blot")</f>
        <v>show blot</v>
      </c>
      <c r="G3451" t="s">
        <v>3319</v>
      </c>
      <c r="I3451" s="6">
        <v>5.6717816027983705</v>
      </c>
      <c r="K3451" s="8"/>
    </row>
    <row r="3452" spans="1:11" ht="15" x14ac:dyDescent="0.25">
      <c r="A3452" s="3" t="str">
        <f>HYPERLINK("proteomic_fractions_linear_files/Yang_linear_img/194440734;4885425.jpg", "194440734;4885425")</f>
        <v>194440734;4885425</v>
      </c>
      <c r="C3452" s="3" t="str">
        <f>HYPERLINK("http://www.ncbi.nlm.nih.gov/protein/194440734;4885425","Hras1")</f>
        <v>Hras1</v>
      </c>
      <c r="E3452" t="str">
        <f>HYPERLINK("J:\Depot - mpkCCD Fractions\Main Web Page\Web Pages_old\proteomic_fractions_linear_files/Yang_linear_img/194440734;4885425.jpg","show blot")</f>
        <v>show blot</v>
      </c>
      <c r="G3452" t="s">
        <v>3319</v>
      </c>
      <c r="I3452" s="6">
        <v>5.6717816027983705</v>
      </c>
      <c r="K3452" s="8"/>
    </row>
    <row r="3453" spans="1:11" ht="15" x14ac:dyDescent="0.25">
      <c r="A3453" s="3" t="str">
        <f>HYPERLINK("proteomic_fractions_linear_files/Yang_linear_img/194363766.jpg", "194363766")</f>
        <v>194363766</v>
      </c>
      <c r="C3453" s="3" t="str">
        <f>HYPERLINK("http://www.ncbi.nlm.nih.gov/protein/194363766","Hras1")</f>
        <v>Hras1</v>
      </c>
      <c r="E3453" t="str">
        <f>HYPERLINK("J:\Depot - mpkCCD Fractions\Main Web Page\Web Pages_old\proteomic_fractions_linear_files/Yang_linear_img/194363766.jpg","show blot")</f>
        <v>show blot</v>
      </c>
      <c r="G3453" t="s">
        <v>3320</v>
      </c>
      <c r="I3453" s="6">
        <v>5.6717816027983705</v>
      </c>
      <c r="K3453" s="8"/>
    </row>
    <row r="3454" spans="1:11" ht="15" x14ac:dyDescent="0.25">
      <c r="A3454" s="3" t="str">
        <f>HYPERLINK("proteomic_fractions_linear_files/Yang_linear_img/40807498.jpg", "40807498")</f>
        <v>40807498</v>
      </c>
      <c r="C3454" s="3" t="str">
        <f>HYPERLINK("http://www.ncbi.nlm.nih.gov/protein/40807498","Hrsp12")</f>
        <v>Hrsp12</v>
      </c>
      <c r="E3454" t="str">
        <f>HYPERLINK("J:\Depot - mpkCCD Fractions\Main Web Page\Web Pages_old\proteomic_fractions_linear_files/Yang_linear_img/40807498.jpg","show blot")</f>
        <v>show blot</v>
      </c>
      <c r="G3454" t="s">
        <v>3321</v>
      </c>
      <c r="I3454" s="6">
        <v>6.0269044995077961</v>
      </c>
      <c r="K3454" s="8"/>
    </row>
    <row r="3455" spans="1:11" ht="15" x14ac:dyDescent="0.25">
      <c r="A3455" s="3" t="str">
        <f>HYPERLINK("proteomic_fractions_linear_files/Yang_linear_img/160948577.jpg", "160948577")</f>
        <v>160948577</v>
      </c>
      <c r="C3455" s="3" t="str">
        <f>HYPERLINK("http://www.ncbi.nlm.nih.gov/protein/160948577","Hs1bp3")</f>
        <v>Hs1bp3</v>
      </c>
      <c r="E3455" t="str">
        <f>HYPERLINK("J:\Depot - mpkCCD Fractions\Main Web Page\Web Pages_old\proteomic_fractions_linear_files/Yang_linear_img/160948577.jpg","show blot")</f>
        <v>show blot</v>
      </c>
      <c r="G3455" t="s">
        <v>3322</v>
      </c>
      <c r="I3455" s="6">
        <v>4.9920463135368607</v>
      </c>
      <c r="K3455" s="8"/>
    </row>
    <row r="3456" spans="1:11" ht="15" x14ac:dyDescent="0.25">
      <c r="A3456" s="3" t="str">
        <f>HYPERLINK("proteomic_fractions_linear_files/Yang_linear_img/170172560.jpg", "170172560")</f>
        <v>170172560</v>
      </c>
      <c r="C3456" s="3" t="str">
        <f>HYPERLINK("http://www.ncbi.nlm.nih.gov/protein/170172560","Hs2st1")</f>
        <v>Hs2st1</v>
      </c>
      <c r="E3456" t="str">
        <f>HYPERLINK("J:\Depot - mpkCCD Fractions\Main Web Page\Web Pages_old\proteomic_fractions_linear_files/Yang_linear_img/170172560.jpg","show blot")</f>
        <v>show blot</v>
      </c>
      <c r="G3456" t="s">
        <v>3323</v>
      </c>
      <c r="I3456" s="6">
        <v>4.2280090754537314</v>
      </c>
      <c r="K3456" s="8"/>
    </row>
    <row r="3457" spans="1:11" ht="15" x14ac:dyDescent="0.25">
      <c r="A3457" s="3" t="str">
        <f>HYPERLINK("proteomic_fractions_linear_files/Yang_linear_img/6754246.jpg", "6754246")</f>
        <v>6754246</v>
      </c>
      <c r="C3457" s="3" t="str">
        <f>HYPERLINK("http://www.ncbi.nlm.nih.gov/protein/6754246","Hs3st1")</f>
        <v>Hs3st1</v>
      </c>
      <c r="E3457" t="str">
        <f>HYPERLINK("J:\Depot - mpkCCD Fractions\Main Web Page\Web Pages_old\proteomic_fractions_linear_files/Yang_linear_img/6754246.jpg","show blot")</f>
        <v>show blot</v>
      </c>
      <c r="G3457" t="s">
        <v>3324</v>
      </c>
      <c r="I3457" s="6">
        <v>4.5387994655320316</v>
      </c>
      <c r="K3457" s="8"/>
    </row>
    <row r="3458" spans="1:11" ht="15" x14ac:dyDescent="0.25">
      <c r="A3458" s="3" t="str">
        <f>HYPERLINK("proteomic_fractions_linear_files/Yang_linear_img/358356422.jpg", "358356422")</f>
        <v>358356422</v>
      </c>
      <c r="C3458" s="3" t="str">
        <f>HYPERLINK("http://www.ncbi.nlm.nih.gov/protein/358356422","Hs3st5")</f>
        <v>Hs3st5</v>
      </c>
      <c r="E3458" t="str">
        <f>HYPERLINK("J:\Depot - mpkCCD Fractions\Main Web Page\Web Pages_old\proteomic_fractions_linear_files/Yang_linear_img/358356422.jpg","show blot")</f>
        <v>show blot</v>
      </c>
      <c r="G3458" t="s">
        <v>3325</v>
      </c>
      <c r="I3458" s="6">
        <v>4.3815926047623774</v>
      </c>
      <c r="K3458" s="8"/>
    </row>
    <row r="3459" spans="1:11" ht="15" x14ac:dyDescent="0.25">
      <c r="A3459" s="3" t="str">
        <f>HYPERLINK("proteomic_fractions_linear_files/Yang_linear_img/21311873.jpg", "21311873")</f>
        <v>21311873</v>
      </c>
      <c r="C3459" s="3" t="str">
        <f>HYPERLINK("http://www.ncbi.nlm.nih.gov/protein/21311873","Hsbp1")</f>
        <v>Hsbp1</v>
      </c>
      <c r="E3459" t="str">
        <f>HYPERLINK("J:\Depot - mpkCCD Fractions\Main Web Page\Web Pages_old\proteomic_fractions_linear_files/Yang_linear_img/21311873.jpg","show blot")</f>
        <v>show blot</v>
      </c>
      <c r="G3459" t="s">
        <v>3326</v>
      </c>
      <c r="I3459" s="6">
        <v>3.6304439926975083</v>
      </c>
      <c r="K3459" s="8"/>
    </row>
    <row r="3460" spans="1:11" ht="15" x14ac:dyDescent="0.25">
      <c r="A3460" s="3" t="str">
        <f>HYPERLINK("proteomic_fractions_linear_files/Yang_linear_img/225703114.jpg", "225703114")</f>
        <v>225703114</v>
      </c>
      <c r="C3460" s="3" t="str">
        <f>HYPERLINK("http://www.ncbi.nlm.nih.gov/protein/225703114","Hscb")</f>
        <v>Hscb</v>
      </c>
      <c r="E3460" t="str">
        <f>HYPERLINK("J:\Depot - mpkCCD Fractions\Main Web Page\Web Pages_old\proteomic_fractions_linear_files/Yang_linear_img/225703114.jpg","show blot")</f>
        <v>show blot</v>
      </c>
      <c r="G3460" t="s">
        <v>3327</v>
      </c>
      <c r="I3460" s="6">
        <v>3.7874427092489666</v>
      </c>
      <c r="K3460" s="8"/>
    </row>
    <row r="3461" spans="1:11" ht="15" x14ac:dyDescent="0.25">
      <c r="A3461" s="3" t="str">
        <f>HYPERLINK("proteomic_fractions_linear_files/Yang_linear_img/133778913.jpg", "133778913")</f>
        <v>133778913</v>
      </c>
      <c r="C3461" s="3" t="str">
        <f>HYPERLINK("http://www.ncbi.nlm.nih.gov/protein/133778913","Hsd11b2")</f>
        <v>Hsd11b2</v>
      </c>
      <c r="E3461" t="str">
        <f>HYPERLINK("J:\Depot - mpkCCD Fractions\Main Web Page\Web Pages_old\proteomic_fractions_linear_files/Yang_linear_img/133778913.jpg","show blot")</f>
        <v>show blot</v>
      </c>
      <c r="G3461" t="s">
        <v>3328</v>
      </c>
      <c r="I3461" s="6">
        <v>5.4448849491446936</v>
      </c>
      <c r="K3461" s="8"/>
    </row>
    <row r="3462" spans="1:11" ht="15" x14ac:dyDescent="0.25">
      <c r="A3462" s="3" t="str">
        <f>HYPERLINK("proteomic_fractions_linear_files/Yang_linear_img/61888838.jpg", "61888838")</f>
        <v>61888838</v>
      </c>
      <c r="C3462" s="3" t="str">
        <f>HYPERLINK("http://www.ncbi.nlm.nih.gov/protein/61888838","Hsd17b10")</f>
        <v>Hsd17b10</v>
      </c>
      <c r="E3462" t="str">
        <f>HYPERLINK("J:\Depot - mpkCCD Fractions\Main Web Page\Web Pages_old\proteomic_fractions_linear_files/Yang_linear_img/61888838.jpg","show blot")</f>
        <v>show blot</v>
      </c>
      <c r="G3462" t="s">
        <v>3329</v>
      </c>
      <c r="I3462" s="6">
        <v>5.8769972930303007</v>
      </c>
      <c r="K3462" s="8"/>
    </row>
    <row r="3463" spans="1:11" ht="15" x14ac:dyDescent="0.25">
      <c r="A3463" s="3" t="str">
        <f>HYPERLINK("proteomic_fractions_linear_files/Yang_linear_img/16716597.jpg", "16716597")</f>
        <v>16716597</v>
      </c>
      <c r="C3463" s="3" t="str">
        <f>HYPERLINK("http://www.ncbi.nlm.nih.gov/protein/16716597","Hsd17b11")</f>
        <v>Hsd17b11</v>
      </c>
      <c r="E3463" t="str">
        <f>HYPERLINK("J:\Depot - mpkCCD Fractions\Main Web Page\Web Pages_old\proteomic_fractions_linear_files/Yang_linear_img/16716597.jpg","show blot")</f>
        <v>show blot</v>
      </c>
      <c r="G3463" t="s">
        <v>3330</v>
      </c>
      <c r="I3463" s="6">
        <v>6.124844373778207</v>
      </c>
      <c r="K3463" s="8"/>
    </row>
    <row r="3464" spans="1:11" ht="15" x14ac:dyDescent="0.25">
      <c r="A3464" s="3" t="str">
        <f>HYPERLINK("proteomic_fractions_linear_files/Yang_linear_img/9789991.jpg", "9789991")</f>
        <v>9789991</v>
      </c>
      <c r="C3464" s="3" t="str">
        <f>HYPERLINK("http://www.ncbi.nlm.nih.gov/protein/9789991","Hsd17b12")</f>
        <v>Hsd17b12</v>
      </c>
      <c r="E3464" t="str">
        <f>HYPERLINK("J:\Depot - mpkCCD Fractions\Main Web Page\Web Pages_old\proteomic_fractions_linear_files/Yang_linear_img/9789991.jpg","show blot")</f>
        <v>show blot</v>
      </c>
      <c r="G3464" t="s">
        <v>3331</v>
      </c>
      <c r="I3464" s="6">
        <v>5.3264402473175627</v>
      </c>
      <c r="K3464" s="8"/>
    </row>
    <row r="3465" spans="1:11" ht="15" x14ac:dyDescent="0.25">
      <c r="A3465" s="3" t="str">
        <f>HYPERLINK("proteomic_fractions_linear_files/Yang_linear_img/254553340.jpg", "254553340")</f>
        <v>254553340</v>
      </c>
      <c r="C3465" s="3" t="str">
        <f>HYPERLINK("http://www.ncbi.nlm.nih.gov/protein/254553340","Hsd17b13")</f>
        <v>Hsd17b13</v>
      </c>
      <c r="E3465" t="str">
        <f>HYPERLINK("J:\Depot - mpkCCD Fractions\Main Web Page\Web Pages_old\proteomic_fractions_linear_files/Yang_linear_img/254553340.jpg","show blot")</f>
        <v>show blot</v>
      </c>
      <c r="G3465" t="s">
        <v>3332</v>
      </c>
      <c r="I3465" s="6">
        <v>5.1640606490880279</v>
      </c>
      <c r="K3465" s="8"/>
    </row>
    <row r="3466" spans="1:11" ht="15" x14ac:dyDescent="0.25">
      <c r="A3466" s="3" t="str">
        <f>HYPERLINK("proteomic_fractions_linear_files/Yang_linear_img/254553342.jpg", "254553342")</f>
        <v>254553342</v>
      </c>
      <c r="C3466" s="3" t="str">
        <f>HYPERLINK("http://www.ncbi.nlm.nih.gov/protein/254553342","Hsd17b13")</f>
        <v>Hsd17b13</v>
      </c>
      <c r="E3466" t="str">
        <f>HYPERLINK("J:\Depot - mpkCCD Fractions\Main Web Page\Web Pages_old\proteomic_fractions_linear_files/Yang_linear_img/254553342.jpg","show blot")</f>
        <v>show blot</v>
      </c>
      <c r="G3466" t="s">
        <v>3333</v>
      </c>
      <c r="I3466" s="6">
        <v>5.1640606490880279</v>
      </c>
      <c r="K3466" s="8"/>
    </row>
    <row r="3467" spans="1:11" ht="15" x14ac:dyDescent="0.25">
      <c r="A3467" s="3" t="str">
        <f>HYPERLINK("proteomic_fractions_linear_files/Yang_linear_img/295054257.jpg", "295054257")</f>
        <v>295054257</v>
      </c>
      <c r="C3467" s="3" t="str">
        <f>HYPERLINK("http://www.ncbi.nlm.nih.gov/protein/295054257","Hsd17b14")</f>
        <v>Hsd17b14</v>
      </c>
      <c r="E3467" t="str">
        <f>HYPERLINK("J:\Depot - mpkCCD Fractions\Main Web Page\Web Pages_old\proteomic_fractions_linear_files/Yang_linear_img/295054257.jpg","show blot")</f>
        <v>show blot</v>
      </c>
      <c r="G3467" t="s">
        <v>3334</v>
      </c>
      <c r="I3467" s="6">
        <v>4.9464350460098103</v>
      </c>
      <c r="K3467" s="8"/>
    </row>
    <row r="3468" spans="1:11" ht="15" x14ac:dyDescent="0.25">
      <c r="A3468" s="3" t="str">
        <f>HYPERLINK("proteomic_fractions_linear_files/Yang_linear_img/31982273.jpg", "31982273")</f>
        <v>31982273</v>
      </c>
      <c r="C3468" s="3" t="str">
        <f>HYPERLINK("http://www.ncbi.nlm.nih.gov/protein/31982273","Hsd17b4")</f>
        <v>Hsd17b4</v>
      </c>
      <c r="E3468" t="str">
        <f>HYPERLINK("J:\Depot - mpkCCD Fractions\Main Web Page\Web Pages_old\proteomic_fractions_linear_files/Yang_linear_img/31982273.jpg","show blot")</f>
        <v>show blot</v>
      </c>
      <c r="G3468" t="s">
        <v>3335</v>
      </c>
      <c r="I3468" s="6">
        <v>6.0826553481316816</v>
      </c>
      <c r="K3468" s="8"/>
    </row>
    <row r="3469" spans="1:11" ht="15" x14ac:dyDescent="0.25">
      <c r="A3469" s="3" t="str">
        <f>HYPERLINK("proteomic_fractions_linear_files/Yang_linear_img/87162470.jpg", "87162470")</f>
        <v>87162470</v>
      </c>
      <c r="C3469" s="3" t="str">
        <f>HYPERLINK("http://www.ncbi.nlm.nih.gov/protein/87162470","Hsd17b7")</f>
        <v>Hsd17b7</v>
      </c>
      <c r="E3469" t="str">
        <f>HYPERLINK("J:\Depot - mpkCCD Fractions\Main Web Page\Web Pages_old\proteomic_fractions_linear_files/Yang_linear_img/87162470.jpg","show blot")</f>
        <v>show blot</v>
      </c>
      <c r="G3469" t="s">
        <v>3336</v>
      </c>
      <c r="I3469" s="6">
        <v>4.0226354415342298</v>
      </c>
      <c r="K3469" s="8"/>
    </row>
    <row r="3470" spans="1:11" ht="15" x14ac:dyDescent="0.25">
      <c r="A3470" s="3" t="str">
        <f>HYPERLINK("proteomic_fractions_linear_files/Yang_linear_img/30424792.jpg", "30424792")</f>
        <v>30424792</v>
      </c>
      <c r="C3470" s="3" t="str">
        <f>HYPERLINK("http://www.ncbi.nlm.nih.gov/protein/30424792","Hsdl1")</f>
        <v>Hsdl1</v>
      </c>
      <c r="E3470" t="str">
        <f>HYPERLINK("J:\Depot - mpkCCD Fractions\Main Web Page\Web Pages_old\proteomic_fractions_linear_files/Yang_linear_img/30424792.jpg","show blot")</f>
        <v>show blot</v>
      </c>
      <c r="G3470" t="s">
        <v>3337</v>
      </c>
      <c r="I3470" s="6">
        <v>4.240166673290509</v>
      </c>
      <c r="K3470" s="8"/>
    </row>
    <row r="3471" spans="1:11" ht="15" x14ac:dyDescent="0.25">
      <c r="A3471" s="3" t="str">
        <f>HYPERLINK("proteomic_fractions_linear_files/Yang_linear_img/125656150.jpg", "125656150")</f>
        <v>125656150</v>
      </c>
      <c r="C3471" s="3" t="str">
        <f>HYPERLINK("http://www.ncbi.nlm.nih.gov/protein/125656150","Hsdl2")</f>
        <v>Hsdl2</v>
      </c>
      <c r="E3471" t="str">
        <f>HYPERLINK("J:\Depot - mpkCCD Fractions\Main Web Page\Web Pages_old\proteomic_fractions_linear_files/Yang_linear_img/125656150.jpg","show blot")</f>
        <v>show blot</v>
      </c>
      <c r="G3471" t="s">
        <v>3338</v>
      </c>
      <c r="I3471" s="6">
        <v>3.9182345851793343</v>
      </c>
      <c r="K3471" s="8"/>
    </row>
    <row r="3472" spans="1:11" ht="15" x14ac:dyDescent="0.25">
      <c r="A3472" s="3" t="str">
        <f>HYPERLINK("proteomic_fractions_linear_files/Yang_linear_img/6754254.jpg", "6754254")</f>
        <v>6754254</v>
      </c>
      <c r="C3472" s="3" t="str">
        <f>HYPERLINK("http://www.ncbi.nlm.nih.gov/protein/6754254","Hsp90aa1")</f>
        <v>Hsp90aa1</v>
      </c>
      <c r="E3472" t="str">
        <f>HYPERLINK("J:\Depot - mpkCCD Fractions\Main Web Page\Web Pages_old\proteomic_fractions_linear_files/Yang_linear_img/6754254.jpg","show blot")</f>
        <v>show blot</v>
      </c>
      <c r="G3472" t="s">
        <v>3339</v>
      </c>
      <c r="I3472" s="6">
        <v>7.1689881653607141</v>
      </c>
      <c r="K3472" s="8"/>
    </row>
    <row r="3473" spans="1:11" ht="15" x14ac:dyDescent="0.25">
      <c r="A3473" s="3" t="str">
        <f>HYPERLINK("proteomic_fractions_linear_files/Yang_linear_img/40556608.jpg", "40556608")</f>
        <v>40556608</v>
      </c>
      <c r="C3473" s="3" t="str">
        <f>HYPERLINK("http://www.ncbi.nlm.nih.gov/protein/40556608","Hsp90ab1")</f>
        <v>Hsp90ab1</v>
      </c>
      <c r="E3473" t="str">
        <f>HYPERLINK("J:\Depot - mpkCCD Fractions\Main Web Page\Web Pages_old\proteomic_fractions_linear_files/Yang_linear_img/40556608.jpg","show blot")</f>
        <v>show blot</v>
      </c>
      <c r="G3473" t="s">
        <v>3340</v>
      </c>
      <c r="I3473" s="6">
        <v>7.2096194209326363</v>
      </c>
      <c r="K3473" s="8"/>
    </row>
    <row r="3474" spans="1:11" ht="15" x14ac:dyDescent="0.25">
      <c r="A3474" s="3" t="str">
        <f>HYPERLINK("proteomic_fractions_linear_files/Yang_linear_img/6755863.jpg", "6755863")</f>
        <v>6755863</v>
      </c>
      <c r="C3474" s="3" t="str">
        <f>HYPERLINK("http://www.ncbi.nlm.nih.gov/protein/6755863","Hsp90b1")</f>
        <v>Hsp90b1</v>
      </c>
      <c r="E3474" t="str">
        <f>HYPERLINK("J:\Depot - mpkCCD Fractions\Main Web Page\Web Pages_old\proteomic_fractions_linear_files/Yang_linear_img/6755863.jpg","show blot")</f>
        <v>show blot</v>
      </c>
      <c r="G3474" t="s">
        <v>3341</v>
      </c>
      <c r="I3474" s="6">
        <v>6.7387048174239554</v>
      </c>
      <c r="K3474" s="8"/>
    </row>
    <row r="3475" spans="1:11" ht="15" x14ac:dyDescent="0.25">
      <c r="A3475" s="3" t="str">
        <f>HYPERLINK("proteomic_fractions_linear_files/Yang_linear_img/30089677.jpg", "30089677")</f>
        <v>30089677</v>
      </c>
      <c r="C3475" s="3" t="str">
        <f>HYPERLINK("http://www.ncbi.nlm.nih.gov/protein/30089677","Hspa13")</f>
        <v>Hspa13</v>
      </c>
      <c r="E3475" t="str">
        <f>HYPERLINK("J:\Depot - mpkCCD Fractions\Main Web Page\Web Pages_old\proteomic_fractions_linear_files/Yang_linear_img/30089677.jpg","show blot")</f>
        <v>show blot</v>
      </c>
      <c r="G3475" t="s">
        <v>3342</v>
      </c>
      <c r="I3475" s="6">
        <v>3.667083844764607</v>
      </c>
      <c r="K3475" s="8"/>
    </row>
    <row r="3476" spans="1:11" ht="15" x14ac:dyDescent="0.25">
      <c r="A3476" s="3" t="str">
        <f>HYPERLINK("proteomic_fractions_linear_files/Yang_linear_img/82880662.jpg", "82880662")</f>
        <v>82880662</v>
      </c>
      <c r="C3476" s="3" t="str">
        <f>HYPERLINK("http://www.ncbi.nlm.nih.gov/protein/82880662","Hspa14")</f>
        <v>Hspa14</v>
      </c>
      <c r="E3476" t="str">
        <f>HYPERLINK("J:\Depot - mpkCCD Fractions\Main Web Page\Web Pages_old\proteomic_fractions_linear_files/Yang_linear_img/82880662.jpg","show blot")</f>
        <v>show blot</v>
      </c>
      <c r="G3476" t="s">
        <v>3343</v>
      </c>
      <c r="I3476" s="6">
        <v>5.1771090336929113</v>
      </c>
      <c r="K3476" s="8"/>
    </row>
    <row r="3477" spans="1:11" ht="15" x14ac:dyDescent="0.25">
      <c r="A3477" s="3" t="str">
        <f>HYPERLINK("proteomic_fractions_linear_files/Yang_linear_img/124339829.jpg", "124339829")</f>
        <v>124339829</v>
      </c>
      <c r="C3477" s="3" t="str">
        <f>HYPERLINK("http://www.ncbi.nlm.nih.gov/protein/124339829","Hspa1a")</f>
        <v>Hspa1a</v>
      </c>
      <c r="E3477" t="str">
        <f>HYPERLINK("J:\Depot - mpkCCD Fractions\Main Web Page\Web Pages_old\proteomic_fractions_linear_files/Yang_linear_img/124339829.jpg","show blot")</f>
        <v>show blot</v>
      </c>
      <c r="G3477" t="s">
        <v>3344</v>
      </c>
      <c r="I3477" s="6">
        <v>6.9306640579265277</v>
      </c>
      <c r="K3477" s="8"/>
    </row>
    <row r="3478" spans="1:11" ht="15" x14ac:dyDescent="0.25">
      <c r="A3478" s="3" t="str">
        <f>HYPERLINK("proteomic_fractions_linear_files/Yang_linear_img/124339826.jpg", "124339826")</f>
        <v>124339826</v>
      </c>
      <c r="C3478" s="3" t="str">
        <f>HYPERLINK("http://www.ncbi.nlm.nih.gov/protein/124339826","Hspa1b")</f>
        <v>Hspa1b</v>
      </c>
      <c r="E3478" t="str">
        <f>HYPERLINK("J:\Depot - mpkCCD Fractions\Main Web Page\Web Pages_old\proteomic_fractions_linear_files/Yang_linear_img/124339826.jpg","show blot")</f>
        <v>show blot</v>
      </c>
      <c r="G3478" t="s">
        <v>3345</v>
      </c>
      <c r="I3478" s="6">
        <v>6.9375888289966285</v>
      </c>
      <c r="K3478" s="8"/>
    </row>
    <row r="3479" spans="1:11" ht="15" x14ac:dyDescent="0.25">
      <c r="A3479" s="3" t="str">
        <f>HYPERLINK("proteomic_fractions_linear_files/Yang_linear_img/124339838.jpg", "124339838")</f>
        <v>124339838</v>
      </c>
      <c r="C3479" s="3" t="str">
        <f>HYPERLINK("http://www.ncbi.nlm.nih.gov/protein/124339838","Hspa1l")</f>
        <v>Hspa1l</v>
      </c>
      <c r="E3479" t="str">
        <f>HYPERLINK("J:\Depot - mpkCCD Fractions\Main Web Page\Web Pages_old\proteomic_fractions_linear_files/Yang_linear_img/124339838.jpg","show blot")</f>
        <v>show blot</v>
      </c>
      <c r="G3479" t="s">
        <v>3346</v>
      </c>
      <c r="I3479" s="6">
        <v>6.7903528897772985</v>
      </c>
      <c r="K3479" s="8"/>
    </row>
    <row r="3480" spans="1:11" ht="15" x14ac:dyDescent="0.25">
      <c r="A3480" s="3" t="str">
        <f>HYPERLINK("proteomic_fractions_linear_files/Yang_linear_img/31560686.jpg", "31560686")</f>
        <v>31560686</v>
      </c>
      <c r="C3480" s="3" t="str">
        <f>HYPERLINK("http://www.ncbi.nlm.nih.gov/protein/31560686","Hspa2")</f>
        <v>Hspa2</v>
      </c>
      <c r="E3480" t="str">
        <f>HYPERLINK("J:\Depot - mpkCCD Fractions\Main Web Page\Web Pages_old\proteomic_fractions_linear_files/Yang_linear_img/31560686.jpg","show blot")</f>
        <v>show blot</v>
      </c>
      <c r="G3480" t="s">
        <v>3347</v>
      </c>
      <c r="I3480" s="6">
        <v>6.9268503738613019</v>
      </c>
      <c r="K3480" s="8"/>
    </row>
    <row r="3481" spans="1:11" ht="15" x14ac:dyDescent="0.25">
      <c r="A3481" s="3" t="str">
        <f>HYPERLINK("proteomic_fractions_linear_files/Yang_linear_img/112293266.jpg", "112293266")</f>
        <v>112293266</v>
      </c>
      <c r="C3481" s="3" t="str">
        <f>HYPERLINK("http://www.ncbi.nlm.nih.gov/protein/112293266","Hspa4")</f>
        <v>Hspa4</v>
      </c>
      <c r="E3481" t="str">
        <f>HYPERLINK("J:\Depot - mpkCCD Fractions\Main Web Page\Web Pages_old\proteomic_fractions_linear_files/Yang_linear_img/112293266.jpg","show blot")</f>
        <v>show blot</v>
      </c>
      <c r="G3481" t="s">
        <v>3348</v>
      </c>
      <c r="I3481" s="6">
        <v>6.3059128117320835</v>
      </c>
      <c r="K3481" s="8"/>
    </row>
    <row r="3482" spans="1:11" ht="15" x14ac:dyDescent="0.25">
      <c r="A3482" s="3" t="str">
        <f>HYPERLINK("proteomic_fractions_linear_files/Yang_linear_img/40254361.jpg", "40254361")</f>
        <v>40254361</v>
      </c>
      <c r="C3482" s="3" t="str">
        <f>HYPERLINK("http://www.ncbi.nlm.nih.gov/protein/40254361","Hspa4l")</f>
        <v>Hspa4l</v>
      </c>
      <c r="E3482" t="str">
        <f>HYPERLINK("J:\Depot - mpkCCD Fractions\Main Web Page\Web Pages_old\proteomic_fractions_linear_files/Yang_linear_img/40254361.jpg","show blot")</f>
        <v>show blot</v>
      </c>
      <c r="G3482" t="s">
        <v>3349</v>
      </c>
      <c r="I3482" s="6">
        <v>5.3427986696750764</v>
      </c>
      <c r="K3482" s="8"/>
    </row>
    <row r="3483" spans="1:11" ht="15" x14ac:dyDescent="0.25">
      <c r="A3483" s="3" t="str">
        <f>HYPERLINK("proteomic_fractions_linear_files/Yang_linear_img/254540166.jpg", "254540166")</f>
        <v>254540166</v>
      </c>
      <c r="C3483" s="3" t="str">
        <f>HYPERLINK("http://www.ncbi.nlm.nih.gov/protein/254540166","Hspa5")</f>
        <v>Hspa5</v>
      </c>
      <c r="E3483" t="str">
        <f>HYPERLINK("J:\Depot - mpkCCD Fractions\Main Web Page\Web Pages_old\proteomic_fractions_linear_files/Yang_linear_img/254540166.jpg","show blot")</f>
        <v>show blot</v>
      </c>
      <c r="G3483" t="s">
        <v>3350</v>
      </c>
      <c r="I3483" s="6">
        <v>6.8610556527020234</v>
      </c>
      <c r="K3483" s="8"/>
    </row>
    <row r="3484" spans="1:11" ht="15" x14ac:dyDescent="0.25">
      <c r="A3484" s="3" t="str">
        <f>HYPERLINK("proteomic_fractions_linear_files/Yang_linear_img/31981690.jpg", "31981690")</f>
        <v>31981690</v>
      </c>
      <c r="C3484" s="3" t="str">
        <f>HYPERLINK("http://www.ncbi.nlm.nih.gov/protein/31981690","Hspa8")</f>
        <v>Hspa8</v>
      </c>
      <c r="E3484" t="str">
        <f>HYPERLINK("J:\Depot - mpkCCD Fractions\Main Web Page\Web Pages_old\proteomic_fractions_linear_files/Yang_linear_img/31981690.jpg","show blot")</f>
        <v>show blot</v>
      </c>
      <c r="G3484" t="s">
        <v>3351</v>
      </c>
      <c r="I3484" s="6">
        <v>7.2513165494244261</v>
      </c>
      <c r="K3484" s="8"/>
    </row>
    <row r="3485" spans="1:11" ht="15" x14ac:dyDescent="0.25">
      <c r="A3485" s="3" t="str">
        <f>HYPERLINK("proteomic_fractions_linear_files/Yang_linear_img/162461907.jpg", "162461907")</f>
        <v>162461907</v>
      </c>
      <c r="C3485" s="3" t="str">
        <f>HYPERLINK("http://www.ncbi.nlm.nih.gov/protein/162461907","Hspa9")</f>
        <v>Hspa9</v>
      </c>
      <c r="E3485" t="str">
        <f>HYPERLINK("J:\Depot - mpkCCD Fractions\Main Web Page\Web Pages_old\proteomic_fractions_linear_files/Yang_linear_img/162461907.jpg","show blot")</f>
        <v>show blot</v>
      </c>
      <c r="G3485" t="s">
        <v>3352</v>
      </c>
      <c r="I3485" s="6">
        <v>6.5610095573919791</v>
      </c>
      <c r="K3485" s="8"/>
    </row>
    <row r="3486" spans="1:11" ht="15" x14ac:dyDescent="0.25">
      <c r="A3486" s="3" t="str">
        <f>HYPERLINK("proteomic_fractions_linear_files/Yang_linear_img/158937312.jpg", "158937312")</f>
        <v>158937312</v>
      </c>
      <c r="C3486" s="3" t="str">
        <f>HYPERLINK("http://www.ncbi.nlm.nih.gov/protein/158937312","Hspb1")</f>
        <v>Hspb1</v>
      </c>
      <c r="E3486" t="str">
        <f>HYPERLINK("J:\Depot - mpkCCD Fractions\Main Web Page\Web Pages_old\proteomic_fractions_linear_files/Yang_linear_img/158937312.jpg","show blot")</f>
        <v>show blot</v>
      </c>
      <c r="G3486" t="s">
        <v>3353</v>
      </c>
      <c r="I3486" s="6">
        <v>3.7216313980728803</v>
      </c>
      <c r="K3486" s="8"/>
    </row>
    <row r="3487" spans="1:11" ht="15" x14ac:dyDescent="0.25">
      <c r="A3487" s="3" t="str">
        <f>HYPERLINK("proteomic_fractions_linear_files/Yang_linear_img/110625938.jpg", "110625938")</f>
        <v>110625938</v>
      </c>
      <c r="C3487" s="3" t="str">
        <f>HYPERLINK("http://www.ncbi.nlm.nih.gov/protein/110625938","Hspb11")</f>
        <v>Hspb11</v>
      </c>
      <c r="E3487" t="str">
        <f>HYPERLINK("J:\Depot - mpkCCD Fractions\Main Web Page\Web Pages_old\proteomic_fractions_linear_files/Yang_linear_img/110625938.jpg","show blot")</f>
        <v>show blot</v>
      </c>
      <c r="G3487" t="s">
        <v>3354</v>
      </c>
      <c r="I3487" s="6">
        <v>4.681358165663057</v>
      </c>
      <c r="K3487" s="8"/>
    </row>
    <row r="3488" spans="1:11" ht="15" x14ac:dyDescent="0.25">
      <c r="A3488" s="3" t="str">
        <f>HYPERLINK("proteomic_fractions_linear_files/Yang_linear_img/120587017.jpg", "120587017")</f>
        <v>120587017</v>
      </c>
      <c r="C3488" s="3" t="str">
        <f>HYPERLINK("http://www.ncbi.nlm.nih.gov/protein/120587017","Hspbap1")</f>
        <v>Hspbap1</v>
      </c>
      <c r="E3488" t="str">
        <f>HYPERLINK("J:\Depot - mpkCCD Fractions\Main Web Page\Web Pages_old\proteomic_fractions_linear_files/Yang_linear_img/120587017.jpg","show blot")</f>
        <v>show blot</v>
      </c>
      <c r="G3488" t="s">
        <v>3355</v>
      </c>
      <c r="I3488" s="6">
        <v>3.9116327804372419</v>
      </c>
      <c r="K3488" s="8"/>
    </row>
    <row r="3489" spans="1:11" ht="15" x14ac:dyDescent="0.25">
      <c r="A3489" s="3" t="str">
        <f>HYPERLINK("proteomic_fractions_linear_files/Yang_linear_img/13195602.jpg", "13195602")</f>
        <v>13195602</v>
      </c>
      <c r="C3489" s="3" t="str">
        <f>HYPERLINK("http://www.ncbi.nlm.nih.gov/protein/13195602","Hspbp1")</f>
        <v>Hspbp1</v>
      </c>
      <c r="E3489" t="str">
        <f>HYPERLINK("J:\Depot - mpkCCD Fractions\Main Web Page\Web Pages_old\proteomic_fractions_linear_files/Yang_linear_img/13195602.jpg","show blot")</f>
        <v>show blot</v>
      </c>
      <c r="G3489" t="s">
        <v>3356</v>
      </c>
      <c r="I3489" s="6">
        <v>4.9874119444711988</v>
      </c>
      <c r="K3489" s="8"/>
    </row>
    <row r="3490" spans="1:11" ht="15" x14ac:dyDescent="0.25">
      <c r="A3490" s="3" t="str">
        <f>HYPERLINK("proteomic_fractions_linear_files/Yang_linear_img/183396771.jpg", "183396771")</f>
        <v>183396771</v>
      </c>
      <c r="C3490" s="3" t="str">
        <f>HYPERLINK("http://www.ncbi.nlm.nih.gov/protein/183396771","Hspd1")</f>
        <v>Hspd1</v>
      </c>
      <c r="E3490" t="str">
        <f>HYPERLINK("J:\Depot - mpkCCD Fractions\Main Web Page\Web Pages_old\proteomic_fractions_linear_files/Yang_linear_img/183396771.jpg","show blot")</f>
        <v>show blot</v>
      </c>
      <c r="G3490" t="s">
        <v>3357</v>
      </c>
      <c r="I3490" s="6">
        <v>6.8839866084928261</v>
      </c>
      <c r="K3490" s="8"/>
    </row>
    <row r="3491" spans="1:11" ht="15" x14ac:dyDescent="0.25">
      <c r="A3491" s="3" t="str">
        <f>HYPERLINK("proteomic_fractions_linear_files/Yang_linear_img/6680309.jpg", "6680309")</f>
        <v>6680309</v>
      </c>
      <c r="C3491" s="3" t="str">
        <f>HYPERLINK("http://www.ncbi.nlm.nih.gov/protein/6680309","Hspe1")</f>
        <v>Hspe1</v>
      </c>
      <c r="E3491" t="str">
        <f>HYPERLINK("J:\Depot - mpkCCD Fractions\Main Web Page\Web Pages_old\proteomic_fractions_linear_files/Yang_linear_img/6680309.jpg","show blot")</f>
        <v>show blot</v>
      </c>
      <c r="G3491" t="s">
        <v>3358</v>
      </c>
      <c r="I3491" s="6">
        <v>6.1597136594526773</v>
      </c>
      <c r="K3491" s="8"/>
    </row>
    <row r="3492" spans="1:11" ht="15" x14ac:dyDescent="0.25">
      <c r="A3492" s="3" t="str">
        <f>HYPERLINK("proteomic_fractions_linear_files/Yang_linear_img/183979966.jpg", "183979966")</f>
        <v>183979966</v>
      </c>
      <c r="C3492" s="3" t="str">
        <f>HYPERLINK("http://www.ncbi.nlm.nih.gov/protein/183979966","Hspg2")</f>
        <v>Hspg2</v>
      </c>
      <c r="E3492" t="str">
        <f>HYPERLINK("J:\Depot - mpkCCD Fractions\Main Web Page\Web Pages_old\proteomic_fractions_linear_files/Yang_linear_img/183979966.jpg","show blot")</f>
        <v>show blot</v>
      </c>
      <c r="G3492" t="s">
        <v>3359</v>
      </c>
      <c r="I3492" s="6">
        <v>3.1131665384557574</v>
      </c>
      <c r="K3492" s="8"/>
    </row>
    <row r="3493" spans="1:11" ht="15" x14ac:dyDescent="0.25">
      <c r="A3493" s="3" t="str">
        <f>HYPERLINK("proteomic_fractions_linear_files/Yang_linear_img/114145505.jpg", "114145505")</f>
        <v>114145505</v>
      </c>
      <c r="C3493" s="3" t="str">
        <f>HYPERLINK("http://www.ncbi.nlm.nih.gov/protein/114145505","Hsph1")</f>
        <v>Hsph1</v>
      </c>
      <c r="E3493" t="str">
        <f>HYPERLINK("J:\Depot - mpkCCD Fractions\Main Web Page\Web Pages_old\proteomic_fractions_linear_files/Yang_linear_img/114145505.jpg","show blot")</f>
        <v>show blot</v>
      </c>
      <c r="G3493" t="s">
        <v>3360</v>
      </c>
      <c r="I3493" s="6">
        <v>5.6625709780444078</v>
      </c>
      <c r="K3493" s="8"/>
    </row>
    <row r="3494" spans="1:11" ht="15" x14ac:dyDescent="0.25">
      <c r="A3494" s="3" t="str">
        <f>HYPERLINK("proteomic_fractions_linear_files/Yang_linear_img/225690589.jpg", "225690589")</f>
        <v>225690589</v>
      </c>
      <c r="C3494" s="3" t="str">
        <f>HYPERLINK("http://www.ncbi.nlm.nih.gov/protein/225690589","Htatip2")</f>
        <v>Htatip2</v>
      </c>
      <c r="E3494" t="str">
        <f>HYPERLINK("J:\Depot - mpkCCD Fractions\Main Web Page\Web Pages_old\proteomic_fractions_linear_files/Yang_linear_img/225690589.jpg","show blot")</f>
        <v>show blot</v>
      </c>
      <c r="G3494" t="s">
        <v>3361</v>
      </c>
      <c r="I3494" s="6">
        <v>3.184828257593725</v>
      </c>
      <c r="K3494" s="8"/>
    </row>
    <row r="3495" spans="1:11" ht="15" x14ac:dyDescent="0.25">
      <c r="A3495" s="3" t="str">
        <f>HYPERLINK("proteomic_fractions_linear_files/Yang_linear_img/225690591.jpg", "225690591")</f>
        <v>225690591</v>
      </c>
      <c r="C3495" s="3" t="str">
        <f>HYPERLINK("http://www.ncbi.nlm.nih.gov/protein/225690591","Htatip2")</f>
        <v>Htatip2</v>
      </c>
      <c r="E3495" t="str">
        <f>HYPERLINK("J:\Depot - mpkCCD Fractions\Main Web Page\Web Pages_old\proteomic_fractions_linear_files/Yang_linear_img/225690591.jpg","show blot")</f>
        <v>show blot</v>
      </c>
      <c r="G3495" t="s">
        <v>3362</v>
      </c>
      <c r="I3495" s="6">
        <v>3.184828257593725</v>
      </c>
      <c r="K3495" s="8"/>
    </row>
    <row r="3496" spans="1:11" ht="15" x14ac:dyDescent="0.25">
      <c r="A3496" s="3" t="str">
        <f>HYPERLINK("proteomic_fractions_linear_files/Yang_linear_img/23956212;321267528.jpg", "23956212;321267528")</f>
        <v>23956212;321267528</v>
      </c>
      <c r="C3496" s="3" t="str">
        <f>HYPERLINK("http://www.ncbi.nlm.nih.gov/protein/23956212;321267528","Htatsf1")</f>
        <v>Htatsf1</v>
      </c>
      <c r="E3496" t="str">
        <f>HYPERLINK("J:\Depot - mpkCCD Fractions\Main Web Page\Web Pages_old\proteomic_fractions_linear_files/Yang_linear_img/23956212;321267528.jpg","show blot")</f>
        <v>show blot</v>
      </c>
      <c r="G3496" t="s">
        <v>3363</v>
      </c>
      <c r="I3496" s="6">
        <v>4.4831853922027127</v>
      </c>
      <c r="K3496" s="8"/>
    </row>
    <row r="3497" spans="1:11" ht="15" x14ac:dyDescent="0.25">
      <c r="A3497" s="3" t="str">
        <f>HYPERLINK("proteomic_fractions_linear_files/Yang_linear_img/10946684.jpg", "10946684")</f>
        <v>10946684</v>
      </c>
      <c r="C3497" s="3" t="str">
        <f>HYPERLINK("http://www.ncbi.nlm.nih.gov/protein/10946684","Htr6")</f>
        <v>Htr6</v>
      </c>
      <c r="E3497" t="str">
        <f>HYPERLINK("J:\Depot - mpkCCD Fractions\Main Web Page\Web Pages_old\proteomic_fractions_linear_files/Yang_linear_img/10946684.jpg","show blot")</f>
        <v>show blot</v>
      </c>
      <c r="G3497" t="s">
        <v>3364</v>
      </c>
      <c r="I3497" s="6">
        <v>4.7891548413158009</v>
      </c>
      <c r="K3497" s="8"/>
    </row>
    <row r="3498" spans="1:11" ht="15" x14ac:dyDescent="0.25">
      <c r="A3498" s="3" t="str">
        <f>HYPERLINK("proteomic_fractions_linear_files/Yang_linear_img/229093139.jpg", "229093139")</f>
        <v>229093139</v>
      </c>
      <c r="C3498" s="3" t="str">
        <f>HYPERLINK("http://www.ncbi.nlm.nih.gov/protein/229093139","Htra1")</f>
        <v>Htra1</v>
      </c>
      <c r="E3498" t="str">
        <f>HYPERLINK("J:\Depot - mpkCCD Fractions\Main Web Page\Web Pages_old\proteomic_fractions_linear_files/Yang_linear_img/229093139.jpg","show blot")</f>
        <v>show blot</v>
      </c>
      <c r="G3498" t="s">
        <v>3365</v>
      </c>
      <c r="I3498" s="6">
        <v>3.4615641582703347</v>
      </c>
      <c r="K3498" s="8"/>
    </row>
    <row r="3499" spans="1:11" ht="15" x14ac:dyDescent="0.25">
      <c r="A3499" s="3" t="str">
        <f>HYPERLINK("proteomic_fractions_linear_files/Yang_linear_img/254281222.jpg", "254281222")</f>
        <v>254281222</v>
      </c>
      <c r="C3499" s="3" t="str">
        <f>HYPERLINK("http://www.ncbi.nlm.nih.gov/protein/254281222","Htra2")</f>
        <v>Htra2</v>
      </c>
      <c r="E3499" t="str">
        <f>HYPERLINK("J:\Depot - mpkCCD Fractions\Main Web Page\Web Pages_old\proteomic_fractions_linear_files/Yang_linear_img/254281222.jpg","show blot")</f>
        <v>show blot</v>
      </c>
      <c r="G3499" t="s">
        <v>3366</v>
      </c>
      <c r="I3499" s="6">
        <v>3.4617005426138872</v>
      </c>
      <c r="K3499" s="8"/>
    </row>
    <row r="3500" spans="1:11" ht="15" x14ac:dyDescent="0.25">
      <c r="A3500" s="3" t="str">
        <f>HYPERLINK("proteomic_fractions_linear_files/Yang_linear_img/45439304.jpg", "45439304")</f>
        <v>45439304</v>
      </c>
      <c r="C3500" s="3" t="str">
        <f>HYPERLINK("http://www.ncbi.nlm.nih.gov/protein/45439304","Htt")</f>
        <v>Htt</v>
      </c>
      <c r="E3500" t="str">
        <f>HYPERLINK("J:\Depot - mpkCCD Fractions\Main Web Page\Web Pages_old\proteomic_fractions_linear_files/Yang_linear_img/45439304.jpg","show blot")</f>
        <v>show blot</v>
      </c>
      <c r="G3500" t="s">
        <v>3367</v>
      </c>
      <c r="I3500" s="6">
        <v>3.1087898195002226</v>
      </c>
      <c r="K3500" s="8"/>
    </row>
    <row r="3501" spans="1:11" ht="15" x14ac:dyDescent="0.25">
      <c r="A3501" s="3" t="str">
        <f>HYPERLINK("proteomic_fractions_linear_files/Yang_linear_img/6680331.jpg", "6680331")</f>
        <v>6680331</v>
      </c>
      <c r="C3501" s="3" t="str">
        <f>HYPERLINK("http://www.ncbi.nlm.nih.gov/protein/6680331","Hus1")</f>
        <v>Hus1</v>
      </c>
      <c r="E3501" t="str">
        <f>HYPERLINK("J:\Depot - mpkCCD Fractions\Main Web Page\Web Pages_old\proteomic_fractions_linear_files/Yang_linear_img/6680331.jpg","show blot")</f>
        <v>show blot</v>
      </c>
      <c r="G3501" t="s">
        <v>3368</v>
      </c>
      <c r="I3501" s="6">
        <v>3.8947514176127962</v>
      </c>
      <c r="K3501" s="8"/>
    </row>
    <row r="3502" spans="1:11" ht="15" x14ac:dyDescent="0.25">
      <c r="A3502" s="3" t="str">
        <f>HYPERLINK("proteomic_fractions_linear_files/Yang_linear_img/146231996.jpg", "146231996")</f>
        <v>146231996</v>
      </c>
      <c r="C3502" s="3" t="str">
        <f>HYPERLINK("http://www.ncbi.nlm.nih.gov/protein/146231996","Huwe1")</f>
        <v>Huwe1</v>
      </c>
      <c r="E3502" t="str">
        <f>HYPERLINK("J:\Depot - mpkCCD Fractions\Main Web Page\Web Pages_old\proteomic_fractions_linear_files/Yang_linear_img/146231996.jpg","show blot")</f>
        <v>show blot</v>
      </c>
      <c r="G3502" t="s">
        <v>3369</v>
      </c>
      <c r="I3502" s="6">
        <v>4.5150725157308704</v>
      </c>
      <c r="K3502" s="8"/>
    </row>
    <row r="3503" spans="1:11" ht="15" x14ac:dyDescent="0.25">
      <c r="A3503" s="3" t="str">
        <f>HYPERLINK("proteomic_fractions_linear_files/Yang_linear_img/116812879.jpg", "116812879")</f>
        <v>116812879</v>
      </c>
      <c r="C3503" s="3" t="str">
        <f>HYPERLINK("http://www.ncbi.nlm.nih.gov/protein/116812879","Hyal4")</f>
        <v>Hyal4</v>
      </c>
      <c r="E3503" t="str">
        <f>HYPERLINK("J:\Depot - mpkCCD Fractions\Main Web Page\Web Pages_old\proteomic_fractions_linear_files/Yang_linear_img/116812879.jpg","show blot")</f>
        <v>show blot</v>
      </c>
      <c r="G3503" t="s">
        <v>3370</v>
      </c>
      <c r="I3503" s="6">
        <v>3.1927188955275638</v>
      </c>
      <c r="K3503" s="8"/>
    </row>
    <row r="3504" spans="1:11" ht="15" x14ac:dyDescent="0.25">
      <c r="A3504" s="3" t="str">
        <f>HYPERLINK("proteomic_fractions_linear_files/Yang_linear_img/46361984.jpg", "46361984")</f>
        <v>46361984</v>
      </c>
      <c r="C3504" s="3" t="str">
        <f>HYPERLINK("http://www.ncbi.nlm.nih.gov/protein/46361984","Hydin")</f>
        <v>Hydin</v>
      </c>
      <c r="E3504" t="str">
        <f>HYPERLINK("J:\Depot - mpkCCD Fractions\Main Web Page\Web Pages_old\proteomic_fractions_linear_files/Yang_linear_img/46361984.jpg","show blot")</f>
        <v>show blot</v>
      </c>
      <c r="G3504" t="s">
        <v>3371</v>
      </c>
      <c r="I3504" s="6">
        <v>4.6915674834780807</v>
      </c>
      <c r="K3504" s="8"/>
    </row>
    <row r="3505" spans="1:11" ht="15" x14ac:dyDescent="0.25">
      <c r="A3505" s="3" t="str">
        <f>HYPERLINK("proteomic_fractions_linear_files/Yang_linear_img/157951706.jpg", "157951706")</f>
        <v>157951706</v>
      </c>
      <c r="C3505" s="3" t="str">
        <f>HYPERLINK("http://www.ncbi.nlm.nih.gov/protein/157951706","Hyou1")</f>
        <v>Hyou1</v>
      </c>
      <c r="E3505" t="str">
        <f>HYPERLINK("J:\Depot - mpkCCD Fractions\Main Web Page\Web Pages_old\proteomic_fractions_linear_files/Yang_linear_img/157951706.jpg","show blot")</f>
        <v>show blot</v>
      </c>
      <c r="G3505" t="s">
        <v>3372</v>
      </c>
      <c r="I3505" s="6">
        <v>5.1728124842572809</v>
      </c>
      <c r="K3505" s="8"/>
    </row>
    <row r="3506" spans="1:11" ht="15" x14ac:dyDescent="0.25">
      <c r="A3506" s="3" t="str">
        <f>HYPERLINK("proteomic_fractions_linear_files/Yang_linear_img/27229055.jpg", "27229055")</f>
        <v>27229055</v>
      </c>
      <c r="C3506" s="3" t="str">
        <f>HYPERLINK("http://www.ncbi.nlm.nih.gov/protein/27229055","Hypk")</f>
        <v>Hypk</v>
      </c>
      <c r="E3506" t="str">
        <f>HYPERLINK("J:\Depot - mpkCCD Fractions\Main Web Page\Web Pages_old\proteomic_fractions_linear_files/Yang_linear_img/27229055.jpg","show blot")</f>
        <v>show blot</v>
      </c>
      <c r="G3506" t="s">
        <v>3373</v>
      </c>
      <c r="I3506" s="6">
        <v>5.1072957746343226</v>
      </c>
      <c r="K3506" s="8"/>
    </row>
    <row r="3507" spans="1:11" ht="15" x14ac:dyDescent="0.25">
      <c r="A3507" s="3" t="str">
        <f>HYPERLINK("proteomic_fractions_linear_files/Yang_linear_img/146260276.jpg", "146260276")</f>
        <v>146260276</v>
      </c>
      <c r="C3507" s="3" t="str">
        <f>HYPERLINK("http://www.ncbi.nlm.nih.gov/protein/146260276","I830012O16Rik")</f>
        <v>I830012O16Rik</v>
      </c>
      <c r="E3507" t="str">
        <f>HYPERLINK("J:\Depot - mpkCCD Fractions\Main Web Page\Web Pages_old\proteomic_fractions_linear_files/Yang_linear_img/146260276.jpg","show blot")</f>
        <v>show blot</v>
      </c>
      <c r="G3507" t="s">
        <v>3374</v>
      </c>
      <c r="I3507" s="6">
        <v>4.1981667473495667</v>
      </c>
      <c r="K3507" s="8"/>
    </row>
    <row r="3508" spans="1:11" ht="15" x14ac:dyDescent="0.25">
      <c r="A3508" s="3" t="str">
        <f>HYPERLINK("proteomic_fractions_linear_files/Yang_linear_img/27754071.jpg", "27754071")</f>
        <v>27754071</v>
      </c>
      <c r="C3508" s="3" t="str">
        <f>HYPERLINK("http://www.ncbi.nlm.nih.gov/protein/27754071","Iah1")</f>
        <v>Iah1</v>
      </c>
      <c r="E3508" t="str">
        <f>HYPERLINK("J:\Depot - mpkCCD Fractions\Main Web Page\Web Pages_old\proteomic_fractions_linear_files/Yang_linear_img/27754071.jpg","show blot")</f>
        <v>show blot</v>
      </c>
      <c r="G3508" t="s">
        <v>3375</v>
      </c>
      <c r="I3508" s="6">
        <v>4.9280280606551603</v>
      </c>
      <c r="K3508" s="8"/>
    </row>
    <row r="3509" spans="1:11" ht="15" x14ac:dyDescent="0.25">
      <c r="A3509" s="3" t="str">
        <f>HYPERLINK("proteomic_fractions_linear_files/Yang_linear_img/254553372.jpg", "254553372")</f>
        <v>254553372</v>
      </c>
      <c r="C3509" s="3" t="str">
        <f>HYPERLINK("http://www.ncbi.nlm.nih.gov/protein/254553372","Iars")</f>
        <v>Iars</v>
      </c>
      <c r="E3509" t="str">
        <f>HYPERLINK("J:\Depot - mpkCCD Fractions\Main Web Page\Web Pages_old\proteomic_fractions_linear_files/Yang_linear_img/254553372.jpg","show blot")</f>
        <v>show blot</v>
      </c>
      <c r="G3509" t="s">
        <v>3376</v>
      </c>
      <c r="I3509" s="6">
        <v>5.698360914493505</v>
      </c>
      <c r="K3509" s="8"/>
    </row>
    <row r="3510" spans="1:11" ht="15" x14ac:dyDescent="0.25">
      <c r="A3510" s="3" t="str">
        <f>HYPERLINK("proteomic_fractions_linear_files/Yang_linear_img/38490690.jpg", "38490690")</f>
        <v>38490690</v>
      </c>
      <c r="C3510" s="3" t="str">
        <f>HYPERLINK("http://www.ncbi.nlm.nih.gov/protein/38490690","Iars2")</f>
        <v>Iars2</v>
      </c>
      <c r="E3510" t="str">
        <f>HYPERLINK("J:\Depot - mpkCCD Fractions\Main Web Page\Web Pages_old\proteomic_fractions_linear_files/Yang_linear_img/38490690.jpg","show blot")</f>
        <v>show blot</v>
      </c>
      <c r="G3510" t="s">
        <v>3377</v>
      </c>
      <c r="I3510" s="6">
        <v>4.7012722809254592</v>
      </c>
      <c r="K3510" s="8"/>
    </row>
    <row r="3511" spans="1:11" ht="15" x14ac:dyDescent="0.25">
      <c r="A3511" s="3" t="str">
        <f>HYPERLINK("proteomic_fractions_linear_files/Yang_linear_img/124486857.jpg", "124486857")</f>
        <v>124486857</v>
      </c>
      <c r="C3511" s="3" t="str">
        <f>HYPERLINK("http://www.ncbi.nlm.nih.gov/protein/124486857","Ibtk")</f>
        <v>Ibtk</v>
      </c>
      <c r="E3511" t="str">
        <f>HYPERLINK("J:\Depot - mpkCCD Fractions\Main Web Page\Web Pages_old\proteomic_fractions_linear_files/Yang_linear_img/124486857.jpg","show blot")</f>
        <v>show blot</v>
      </c>
      <c r="G3511" t="s">
        <v>3378</v>
      </c>
      <c r="I3511" s="6">
        <v>1.7825014819012317</v>
      </c>
      <c r="K3511" s="8"/>
    </row>
    <row r="3512" spans="1:11" ht="15" x14ac:dyDescent="0.25">
      <c r="A3512" s="3" t="str">
        <f>HYPERLINK("proteomic_fractions_linear_files/Yang_linear_img/255522770.jpg", "255522770")</f>
        <v>255522770</v>
      </c>
      <c r="C3512" s="3" t="str">
        <f>HYPERLINK("http://www.ncbi.nlm.nih.gov/protein/255522770","Ick")</f>
        <v>Ick</v>
      </c>
      <c r="E3512" t="str">
        <f>HYPERLINK("J:\Depot - mpkCCD Fractions\Main Web Page\Web Pages_old\proteomic_fractions_linear_files/Yang_linear_img/255522770.jpg","show blot")</f>
        <v>show blot</v>
      </c>
      <c r="G3512" t="s">
        <v>3379</v>
      </c>
      <c r="I3512" s="6">
        <v>5.1160160726366675</v>
      </c>
      <c r="K3512" s="8"/>
    </row>
    <row r="3513" spans="1:11" ht="15" x14ac:dyDescent="0.25">
      <c r="A3513" s="3" t="str">
        <f>HYPERLINK("proteomic_fractions_linear_files/Yang_linear_img/7657220.jpg", "7657220")</f>
        <v>7657220</v>
      </c>
      <c r="C3513" s="3" t="str">
        <f>HYPERLINK("http://www.ncbi.nlm.nih.gov/protein/7657220","Icosl")</f>
        <v>Icosl</v>
      </c>
      <c r="E3513" t="str">
        <f>HYPERLINK("J:\Depot - mpkCCD Fractions\Main Web Page\Web Pages_old\proteomic_fractions_linear_files/Yang_linear_img/7657220.jpg","show blot")</f>
        <v>show blot</v>
      </c>
      <c r="G3513" t="s">
        <v>3380</v>
      </c>
      <c r="I3513" s="6">
        <v>2.4425248858237647</v>
      </c>
      <c r="K3513" s="8"/>
    </row>
    <row r="3514" spans="1:11" ht="15" x14ac:dyDescent="0.25">
      <c r="A3514" s="3" t="str">
        <f>HYPERLINK("proteomic_fractions_linear_files/Yang_linear_img/19387848.jpg", "19387848")</f>
        <v>19387848</v>
      </c>
      <c r="C3514" s="3" t="str">
        <f>HYPERLINK("http://www.ncbi.nlm.nih.gov/protein/19387848","Ict1")</f>
        <v>Ict1</v>
      </c>
      <c r="E3514" t="str">
        <f>HYPERLINK("J:\Depot - mpkCCD Fractions\Main Web Page\Web Pages_old\proteomic_fractions_linear_files/Yang_linear_img/19387848.jpg","show blot")</f>
        <v>show blot</v>
      </c>
      <c r="G3514" t="s">
        <v>3381</v>
      </c>
      <c r="I3514" s="6">
        <v>3.1380065623139624</v>
      </c>
      <c r="K3514" s="8"/>
    </row>
    <row r="3515" spans="1:11" ht="15" x14ac:dyDescent="0.25">
      <c r="A3515" s="3" t="str">
        <f>HYPERLINK("proteomic_fractions_linear_files/Yang_linear_img/459352741.jpg", "459352741")</f>
        <v>459352741</v>
      </c>
      <c r="C3515" s="3" t="str">
        <f>HYPERLINK("http://www.ncbi.nlm.nih.gov/protein/459352741","Ide")</f>
        <v>Ide</v>
      </c>
      <c r="E3515" t="str">
        <f>HYPERLINK("J:\Depot - mpkCCD Fractions\Main Web Page\Web Pages_old\proteomic_fractions_linear_files/Yang_linear_img/459352741.jpg","show blot")</f>
        <v>show blot</v>
      </c>
      <c r="G3515" t="s">
        <v>3382</v>
      </c>
      <c r="I3515" s="6">
        <v>5.3435485391304001</v>
      </c>
      <c r="K3515" s="8"/>
    </row>
    <row r="3516" spans="1:11" ht="15" x14ac:dyDescent="0.25">
      <c r="A3516" s="3" t="str">
        <f>HYPERLINK("proteomic_fractions_linear_files/Yang_linear_img/121583922.jpg", "121583922")</f>
        <v>121583922</v>
      </c>
      <c r="C3516" s="3" t="str">
        <f>HYPERLINK("http://www.ncbi.nlm.nih.gov/protein/121583922","Ide")</f>
        <v>Ide</v>
      </c>
      <c r="E3516" t="str">
        <f>HYPERLINK("J:\Depot - mpkCCD Fractions\Main Web Page\Web Pages_old\proteomic_fractions_linear_files/Yang_linear_img/121583922.jpg","show blot")</f>
        <v>show blot</v>
      </c>
      <c r="G3516" t="s">
        <v>3382</v>
      </c>
      <c r="I3516" s="6">
        <v>5.3435485391304001</v>
      </c>
      <c r="K3516" s="8"/>
    </row>
    <row r="3517" spans="1:11" ht="15" x14ac:dyDescent="0.25">
      <c r="A3517" s="3" t="str">
        <f>HYPERLINK("proteomic_fractions_linear_files/Yang_linear_img/162417975.jpg", "162417975")</f>
        <v>162417975</v>
      </c>
      <c r="C3517" s="3" t="str">
        <f>HYPERLINK("http://www.ncbi.nlm.nih.gov/protein/162417975","Idh1")</f>
        <v>Idh1</v>
      </c>
      <c r="E3517" t="str">
        <f>HYPERLINK("J:\Depot - mpkCCD Fractions\Main Web Page\Web Pages_old\proteomic_fractions_linear_files/Yang_linear_img/162417975.jpg","show blot")</f>
        <v>show blot</v>
      </c>
      <c r="G3517" t="s">
        <v>3383</v>
      </c>
      <c r="I3517" s="6">
        <v>6.5063170923935898</v>
      </c>
      <c r="K3517" s="8"/>
    </row>
    <row r="3518" spans="1:11" ht="15" x14ac:dyDescent="0.25">
      <c r="A3518" s="3" t="str">
        <f>HYPERLINK("proteomic_fractions_linear_files/Yang_linear_img/225579033.jpg", "225579033")</f>
        <v>225579033</v>
      </c>
      <c r="C3518" s="3" t="str">
        <f>HYPERLINK("http://www.ncbi.nlm.nih.gov/protein/225579033","Idh2")</f>
        <v>Idh2</v>
      </c>
      <c r="E3518" t="str">
        <f>HYPERLINK("J:\Depot - mpkCCD Fractions\Main Web Page\Web Pages_old\proteomic_fractions_linear_files/Yang_linear_img/225579033.jpg","show blot")</f>
        <v>show blot</v>
      </c>
      <c r="G3518" t="s">
        <v>3384</v>
      </c>
      <c r="I3518" s="6">
        <v>6.6399171904222083</v>
      </c>
      <c r="K3518" s="8"/>
    </row>
    <row r="3519" spans="1:11" ht="15" x14ac:dyDescent="0.25">
      <c r="A3519" s="3" t="str">
        <f>HYPERLINK("proteomic_fractions_linear_files/Yang_linear_img/18250284.jpg", "18250284")</f>
        <v>18250284</v>
      </c>
      <c r="C3519" s="3" t="str">
        <f>HYPERLINK("http://www.ncbi.nlm.nih.gov/protein/18250284","Idh3a")</f>
        <v>Idh3a</v>
      </c>
      <c r="E3519" t="str">
        <f>HYPERLINK("J:\Depot - mpkCCD Fractions\Main Web Page\Web Pages_old\proteomic_fractions_linear_files/Yang_linear_img/18250284.jpg","show blot")</f>
        <v>show blot</v>
      </c>
      <c r="G3519" t="s">
        <v>3385</v>
      </c>
      <c r="I3519" s="6">
        <v>6.0460909130702571</v>
      </c>
      <c r="K3519" s="8"/>
    </row>
    <row r="3520" spans="1:11" ht="15" x14ac:dyDescent="0.25">
      <c r="A3520" s="3" t="str">
        <f>HYPERLINK("proteomic_fractions_linear_files/Yang_linear_img/18700024.jpg", "18700024")</f>
        <v>18700024</v>
      </c>
      <c r="C3520" s="3" t="str">
        <f>HYPERLINK("http://www.ncbi.nlm.nih.gov/protein/18700024","Idh3b")</f>
        <v>Idh3b</v>
      </c>
      <c r="E3520" t="str">
        <f>HYPERLINK("J:\Depot - mpkCCD Fractions\Main Web Page\Web Pages_old\proteomic_fractions_linear_files/Yang_linear_img/18700024.jpg","show blot")</f>
        <v>show blot</v>
      </c>
      <c r="G3520" t="s">
        <v>3386</v>
      </c>
      <c r="I3520" s="6">
        <v>5.1102625081947144</v>
      </c>
      <c r="K3520" s="8"/>
    </row>
    <row r="3521" spans="1:11" ht="15" x14ac:dyDescent="0.25">
      <c r="A3521" s="3" t="str">
        <f>HYPERLINK("proteomic_fractions_linear_files/Yang_linear_img/6680345.jpg", "6680345")</f>
        <v>6680345</v>
      </c>
      <c r="C3521" s="3" t="str">
        <f>HYPERLINK("http://www.ncbi.nlm.nih.gov/protein/6680345","Idh3g")</f>
        <v>Idh3g</v>
      </c>
      <c r="E3521" t="str">
        <f>HYPERLINK("J:\Depot - mpkCCD Fractions\Main Web Page\Web Pages_old\proteomic_fractions_linear_files/Yang_linear_img/6680345.jpg","show blot")</f>
        <v>show blot</v>
      </c>
      <c r="G3521" t="s">
        <v>3387</v>
      </c>
      <c r="I3521" s="6">
        <v>3.9644000950468445</v>
      </c>
      <c r="K3521" s="8"/>
    </row>
    <row r="3522" spans="1:11" ht="15" x14ac:dyDescent="0.25">
      <c r="A3522" s="3" t="str">
        <f>HYPERLINK("proteomic_fractions_linear_files/Yang_linear_img/281604088.jpg", "281604088")</f>
        <v>281604088</v>
      </c>
      <c r="C3522" s="3" t="str">
        <f>HYPERLINK("http://www.ncbi.nlm.nih.gov/protein/281604088","Idi1")</f>
        <v>Idi1</v>
      </c>
      <c r="E3522" t="str">
        <f>HYPERLINK("J:\Depot - mpkCCD Fractions\Main Web Page\Web Pages_old\proteomic_fractions_linear_files/Yang_linear_img/281604088.jpg","show blot")</f>
        <v>show blot</v>
      </c>
      <c r="G3522" t="s">
        <v>3388</v>
      </c>
      <c r="I3522" s="6">
        <v>5.6876639355137613</v>
      </c>
      <c r="K3522" s="8"/>
    </row>
    <row r="3523" spans="1:11" ht="15" x14ac:dyDescent="0.25">
      <c r="A3523" s="3" t="str">
        <f>HYPERLINK("proteomic_fractions_linear_files/Yang_linear_img/347582671.jpg", "347582671")</f>
        <v>347582671</v>
      </c>
      <c r="C3523" s="3" t="str">
        <f>HYPERLINK("http://www.ncbi.nlm.nih.gov/protein/347582671","Ido2")</f>
        <v>Ido2</v>
      </c>
      <c r="E3523" t="str">
        <f>HYPERLINK("J:\Depot - mpkCCD Fractions\Main Web Page\Web Pages_old\proteomic_fractions_linear_files/Yang_linear_img/347582671.jpg","show blot")</f>
        <v>show blot</v>
      </c>
      <c r="G3523" t="s">
        <v>3389</v>
      </c>
      <c r="I3523" s="6">
        <v>4.0915771687063973</v>
      </c>
      <c r="K3523" s="8"/>
    </row>
    <row r="3524" spans="1:11" ht="15" x14ac:dyDescent="0.25">
      <c r="A3524" s="3" t="str">
        <f>HYPERLINK("proteomic_fractions_linear_files/Yang_linear_img/13384796.jpg", "13384796")</f>
        <v>13384796</v>
      </c>
      <c r="C3524" s="3" t="str">
        <f>HYPERLINK("http://www.ncbi.nlm.nih.gov/protein/13384796","Ier3ip1")</f>
        <v>Ier3ip1</v>
      </c>
      <c r="E3524" t="str">
        <f>HYPERLINK("J:\Depot - mpkCCD Fractions\Main Web Page\Web Pages_old\proteomic_fractions_linear_files/Yang_linear_img/13384796.jpg","show blot")</f>
        <v>show blot</v>
      </c>
      <c r="G3524" t="s">
        <v>3390</v>
      </c>
      <c r="I3524" s="6">
        <v>4.4945478572691213</v>
      </c>
      <c r="K3524" s="8"/>
    </row>
    <row r="3525" spans="1:11" ht="15" x14ac:dyDescent="0.25">
      <c r="A3525" s="3" t="str">
        <f>HYPERLINK("proteomic_fractions_linear_files/Yang_linear_img/118130979.jpg", "118130979")</f>
        <v>118130979</v>
      </c>
      <c r="C3525" s="3" t="str">
        <f>HYPERLINK("http://www.ncbi.nlm.nih.gov/protein/118130979","Ifi204")</f>
        <v>Ifi204</v>
      </c>
      <c r="E3525" t="str">
        <f>HYPERLINK("J:\Depot - mpkCCD Fractions\Main Web Page\Web Pages_old\proteomic_fractions_linear_files/Yang_linear_img/118130979.jpg","show blot")</f>
        <v>show blot</v>
      </c>
      <c r="G3525" t="s">
        <v>3391</v>
      </c>
      <c r="I3525" s="6">
        <v>5.6171289577604586</v>
      </c>
      <c r="K3525" s="8"/>
    </row>
    <row r="3526" spans="1:11" ht="15" x14ac:dyDescent="0.25">
      <c r="A3526" s="3" t="str">
        <f>HYPERLINK("proteomic_fractions_linear_files/Yang_linear_img/125628657.jpg", "125628657")</f>
        <v>125628657</v>
      </c>
      <c r="C3526" s="3" t="str">
        <f>HYPERLINK("http://www.ncbi.nlm.nih.gov/protein/125628657","Ifi30")</f>
        <v>Ifi30</v>
      </c>
      <c r="E3526" t="str">
        <f>HYPERLINK("J:\Depot - mpkCCD Fractions\Main Web Page\Web Pages_old\proteomic_fractions_linear_files/Yang_linear_img/125628657.jpg","show blot")</f>
        <v>show blot</v>
      </c>
      <c r="G3526" t="s">
        <v>3392</v>
      </c>
      <c r="I3526" s="6">
        <v>6.1683135643890168</v>
      </c>
      <c r="K3526" s="8"/>
    </row>
    <row r="3527" spans="1:11" ht="15" x14ac:dyDescent="0.25">
      <c r="A3527" s="3" t="str">
        <f>HYPERLINK("proteomic_fractions_linear_files/Yang_linear_img/21312544.jpg", "21312544")</f>
        <v>21312544</v>
      </c>
      <c r="C3527" s="3" t="str">
        <f>HYPERLINK("http://www.ncbi.nlm.nih.gov/protein/21312544","Ifi35")</f>
        <v>Ifi35</v>
      </c>
      <c r="E3527" t="str">
        <f>HYPERLINK("J:\Depot - mpkCCD Fractions\Main Web Page\Web Pages_old\proteomic_fractions_linear_files/Yang_linear_img/21312544.jpg","show blot")</f>
        <v>show blot</v>
      </c>
      <c r="G3527" t="s">
        <v>3393</v>
      </c>
      <c r="I3527" s="6">
        <v>4.5090639458749004</v>
      </c>
      <c r="K3527" s="8"/>
    </row>
    <row r="3528" spans="1:11" ht="15" x14ac:dyDescent="0.25">
      <c r="A3528" s="3" t="str">
        <f>HYPERLINK("proteomic_fractions_linear_files/Yang_linear_img/410991922.jpg", "410991922")</f>
        <v>410991922</v>
      </c>
      <c r="C3528" s="3" t="str">
        <f>HYPERLINK("http://www.ncbi.nlm.nih.gov/protein/410991922","Ifi47")</f>
        <v>Ifi47</v>
      </c>
      <c r="E3528" t="str">
        <f>HYPERLINK("J:\Depot - mpkCCD Fractions\Main Web Page\Web Pages_old\proteomic_fractions_linear_files/Yang_linear_img/410991922.jpg","show blot")</f>
        <v>show blot</v>
      </c>
      <c r="G3528" t="s">
        <v>3394</v>
      </c>
      <c r="I3528" s="6">
        <v>4.0488326094341733</v>
      </c>
      <c r="K3528" s="8"/>
    </row>
    <row r="3529" spans="1:11" ht="15" x14ac:dyDescent="0.25">
      <c r="A3529" s="3" t="str">
        <f>HYPERLINK("proteomic_fractions_linear_files/Yang_linear_img/257096036.jpg", "257096036")</f>
        <v>257096036</v>
      </c>
      <c r="C3529" s="3" t="str">
        <f>HYPERLINK("http://www.ncbi.nlm.nih.gov/protein/257096036","Ifih1")</f>
        <v>Ifih1</v>
      </c>
      <c r="E3529" t="str">
        <f>HYPERLINK("J:\Depot - mpkCCD Fractions\Main Web Page\Web Pages_old\proteomic_fractions_linear_files/Yang_linear_img/257096036.jpg","show blot")</f>
        <v>show blot</v>
      </c>
      <c r="G3529" t="s">
        <v>3395</v>
      </c>
      <c r="I3529" s="6">
        <v>3.6019551094281801</v>
      </c>
      <c r="K3529" s="8"/>
    </row>
    <row r="3530" spans="1:11" ht="15" x14ac:dyDescent="0.25">
      <c r="A3530" s="3" t="str">
        <f>HYPERLINK("proteomic_fractions_linear_files/Yang_linear_img/257096038.jpg", "257096038")</f>
        <v>257096038</v>
      </c>
      <c r="C3530" s="3" t="str">
        <f>HYPERLINK("http://www.ncbi.nlm.nih.gov/protein/257096038","Ifih1")</f>
        <v>Ifih1</v>
      </c>
      <c r="E3530" t="str">
        <f>HYPERLINK("J:\Depot - mpkCCD Fractions\Main Web Page\Web Pages_old\proteomic_fractions_linear_files/Yang_linear_img/257096038.jpg","show blot")</f>
        <v>show blot</v>
      </c>
      <c r="G3530" t="s">
        <v>3396</v>
      </c>
      <c r="I3530" s="6">
        <v>3.6019551094281801</v>
      </c>
      <c r="K3530" s="8"/>
    </row>
    <row r="3531" spans="1:11" ht="15" x14ac:dyDescent="0.25">
      <c r="A3531" s="3" t="str">
        <f>HYPERLINK("proteomic_fractions_linear_files/Yang_linear_img/110626104.jpg", "110626104")</f>
        <v>110626104</v>
      </c>
      <c r="C3531" s="3" t="str">
        <f>HYPERLINK("http://www.ncbi.nlm.nih.gov/protein/110626104","Ifit1")</f>
        <v>Ifit1</v>
      </c>
      <c r="E3531" t="str">
        <f>HYPERLINK("J:\Depot - mpkCCD Fractions\Main Web Page\Web Pages_old\proteomic_fractions_linear_files/Yang_linear_img/110626104.jpg","show blot")</f>
        <v>show blot</v>
      </c>
      <c r="G3531" t="s">
        <v>3397</v>
      </c>
      <c r="I3531" s="6">
        <v>4.8919746969680942</v>
      </c>
      <c r="K3531" s="8"/>
    </row>
    <row r="3532" spans="1:11" ht="15" x14ac:dyDescent="0.25">
      <c r="A3532" s="3" t="str">
        <f>HYPERLINK("proteomic_fractions_linear_files/Yang_linear_img/6680363.jpg", "6680363")</f>
        <v>6680363</v>
      </c>
      <c r="C3532" s="3" t="str">
        <f>HYPERLINK("http://www.ncbi.nlm.nih.gov/protein/6680363","Ifit2")</f>
        <v>Ifit2</v>
      </c>
      <c r="E3532" t="str">
        <f>HYPERLINK("J:\Depot - mpkCCD Fractions\Main Web Page\Web Pages_old\proteomic_fractions_linear_files/Yang_linear_img/6680363.jpg","show blot")</f>
        <v>show blot</v>
      </c>
      <c r="G3532" t="s">
        <v>3398</v>
      </c>
      <c r="I3532" s="6">
        <v>3.4880994787127557</v>
      </c>
      <c r="K3532" s="8"/>
    </row>
    <row r="3533" spans="1:11" ht="15" x14ac:dyDescent="0.25">
      <c r="A3533" s="3" t="str">
        <f>HYPERLINK("proteomic_fractions_linear_files/Yang_linear_img/6754288.jpg", "6754288")</f>
        <v>6754288</v>
      </c>
      <c r="C3533" s="3" t="str">
        <f>HYPERLINK("http://www.ncbi.nlm.nih.gov/protein/6754288","Ifit3")</f>
        <v>Ifit3</v>
      </c>
      <c r="E3533" t="str">
        <f>HYPERLINK("J:\Depot - mpkCCD Fractions\Main Web Page\Web Pages_old\proteomic_fractions_linear_files/Yang_linear_img/6754288.jpg","show blot")</f>
        <v>show blot</v>
      </c>
      <c r="G3533" t="s">
        <v>3399</v>
      </c>
      <c r="I3533" s="6">
        <v>4.1981667473495667</v>
      </c>
      <c r="K3533" s="8"/>
    </row>
    <row r="3534" spans="1:11" ht="15" x14ac:dyDescent="0.25">
      <c r="A3534" s="3" t="str">
        <f>HYPERLINK("proteomic_fractions_linear_files/Yang_linear_img/13507626.jpg", "13507626")</f>
        <v>13507626</v>
      </c>
      <c r="C3534" s="3" t="str">
        <f>HYPERLINK("http://www.ncbi.nlm.nih.gov/protein/13507626","Ifitm2")</f>
        <v>Ifitm2</v>
      </c>
      <c r="E3534" t="str">
        <f>HYPERLINK("J:\Depot - mpkCCD Fractions\Main Web Page\Web Pages_old\proteomic_fractions_linear_files/Yang_linear_img/13507626.jpg","show blot")</f>
        <v>show blot</v>
      </c>
      <c r="G3534" t="s">
        <v>3400</v>
      </c>
      <c r="I3534" s="6">
        <v>4.7880961391291885</v>
      </c>
      <c r="K3534" s="8"/>
    </row>
    <row r="3535" spans="1:11" ht="15" x14ac:dyDescent="0.25">
      <c r="A3535" s="3" t="str">
        <f>HYPERLINK("proteomic_fractions_linear_files/Yang_linear_img/21539593.jpg", "21539593")</f>
        <v>21539593</v>
      </c>
      <c r="C3535" s="3" t="str">
        <f>HYPERLINK("http://www.ncbi.nlm.nih.gov/protein/21539593","Ifitm3")</f>
        <v>Ifitm3</v>
      </c>
      <c r="E3535" t="str">
        <f>HYPERLINK("J:\Depot - mpkCCD Fractions\Main Web Page\Web Pages_old\proteomic_fractions_linear_files/Yang_linear_img/21539593.jpg","show blot")</f>
        <v>show blot</v>
      </c>
      <c r="G3535" t="s">
        <v>3401</v>
      </c>
      <c r="I3535" s="6">
        <v>4.8725032802378827</v>
      </c>
      <c r="K3535" s="8"/>
    </row>
    <row r="3536" spans="1:11" ht="15" x14ac:dyDescent="0.25">
      <c r="A3536" s="3" t="str">
        <f>HYPERLINK("proteomic_fractions_linear_files/Yang_linear_img/226062273.jpg", "226062273")</f>
        <v>226062273</v>
      </c>
      <c r="C3536" s="3" t="str">
        <f>HYPERLINK("http://www.ncbi.nlm.nih.gov/protein/226062273","Ifrd1")</f>
        <v>Ifrd1</v>
      </c>
      <c r="E3536" t="str">
        <f>HYPERLINK("J:\Depot - mpkCCD Fractions\Main Web Page\Web Pages_old\proteomic_fractions_linear_files/Yang_linear_img/226062273.jpg","show blot")</f>
        <v>show blot</v>
      </c>
      <c r="G3536" t="s">
        <v>3402</v>
      </c>
      <c r="I3536" s="6">
        <v>4.4178110009074194</v>
      </c>
      <c r="K3536" s="8"/>
    </row>
    <row r="3537" spans="1:11" ht="15" x14ac:dyDescent="0.25">
      <c r="A3537" s="3" t="str">
        <f>HYPERLINK("proteomic_fractions_linear_files/Yang_linear_img/268370099.jpg", "268370099")</f>
        <v>268370099</v>
      </c>
      <c r="C3537" s="3" t="str">
        <f>HYPERLINK("http://www.ncbi.nlm.nih.gov/protein/268370099","Ift122")</f>
        <v>Ift122</v>
      </c>
      <c r="E3537" t="str">
        <f>HYPERLINK("J:\Depot - mpkCCD Fractions\Main Web Page\Web Pages_old\proteomic_fractions_linear_files/Yang_linear_img/268370099.jpg","show blot")</f>
        <v>show blot</v>
      </c>
      <c r="G3537" t="s">
        <v>3403</v>
      </c>
      <c r="I3537" s="6">
        <v>1.746172735770875</v>
      </c>
      <c r="K3537" s="8"/>
    </row>
    <row r="3538" spans="1:11" ht="15" x14ac:dyDescent="0.25">
      <c r="A3538" s="3" t="str">
        <f>HYPERLINK("proteomic_fractions_linear_files/Yang_linear_img/268370101.jpg", "268370101")</f>
        <v>268370101</v>
      </c>
      <c r="C3538" s="3" t="str">
        <f>HYPERLINK("http://www.ncbi.nlm.nih.gov/protein/268370101","Ift122")</f>
        <v>Ift122</v>
      </c>
      <c r="E3538" t="str">
        <f>HYPERLINK("J:\Depot - mpkCCD Fractions\Main Web Page\Web Pages_old\proteomic_fractions_linear_files/Yang_linear_img/268370101.jpg","show blot")</f>
        <v>show blot</v>
      </c>
      <c r="G3538" t="s">
        <v>3404</v>
      </c>
      <c r="I3538" s="6">
        <v>1.746172735770875</v>
      </c>
      <c r="K3538" s="8"/>
    </row>
    <row r="3539" spans="1:11" ht="15" x14ac:dyDescent="0.25">
      <c r="A3539" s="3" t="str">
        <f>HYPERLINK("proteomic_fractions_linear_files/Yang_linear_img/184186088.jpg", "184186088")</f>
        <v>184186088</v>
      </c>
      <c r="C3539" s="3" t="str">
        <f>HYPERLINK("http://www.ncbi.nlm.nih.gov/protein/184186088","Ift140")</f>
        <v>Ift140</v>
      </c>
      <c r="E3539" t="str">
        <f>HYPERLINK("J:\Depot - mpkCCD Fractions\Main Web Page\Web Pages_old\proteomic_fractions_linear_files/Yang_linear_img/184186088.jpg","show blot")</f>
        <v>show blot</v>
      </c>
      <c r="G3539" t="s">
        <v>3405</v>
      </c>
      <c r="I3539" s="6">
        <v>1.2584584075537883</v>
      </c>
      <c r="K3539" s="8"/>
    </row>
    <row r="3540" spans="1:11" ht="15" x14ac:dyDescent="0.25">
      <c r="A3540" s="3" t="str">
        <f>HYPERLINK("proteomic_fractions_linear_files/Yang_linear_img/281182704.jpg", "281182704")</f>
        <v>281182704</v>
      </c>
      <c r="C3540" s="3" t="str">
        <f>HYPERLINK("http://www.ncbi.nlm.nih.gov/protein/281182704","Ift172")</f>
        <v>Ift172</v>
      </c>
      <c r="E3540" t="str">
        <f>HYPERLINK("J:\Depot - mpkCCD Fractions\Main Web Page\Web Pages_old\proteomic_fractions_linear_files/Yang_linear_img/281182704.jpg","show blot")</f>
        <v>show blot</v>
      </c>
      <c r="G3540" t="s">
        <v>3406</v>
      </c>
      <c r="I3540" s="6">
        <v>1.1383427788715754</v>
      </c>
      <c r="K3540" s="8"/>
    </row>
    <row r="3541" spans="1:11" ht="15" x14ac:dyDescent="0.25">
      <c r="A3541" s="3" t="str">
        <f>HYPERLINK("proteomic_fractions_linear_files/Yang_linear_img/9506865.jpg", "9506865")</f>
        <v>9506865</v>
      </c>
      <c r="C3541" s="3" t="str">
        <f>HYPERLINK("http://www.ncbi.nlm.nih.gov/protein/9506865","Ift20")</f>
        <v>Ift20</v>
      </c>
      <c r="E3541" t="str">
        <f>HYPERLINK("J:\Depot - mpkCCD Fractions\Main Web Page\Web Pages_old\proteomic_fractions_linear_files/Yang_linear_img/9506865.jpg","show blot")</f>
        <v>show blot</v>
      </c>
      <c r="G3541" t="s">
        <v>3407</v>
      </c>
      <c r="I3541" s="6">
        <v>3.4495709826443135</v>
      </c>
      <c r="K3541" s="8"/>
    </row>
    <row r="3542" spans="1:11" ht="15" x14ac:dyDescent="0.25">
      <c r="A3542" s="3" t="str">
        <f>HYPERLINK("proteomic_fractions_linear_files/Yang_linear_img/21313158.jpg", "21313158")</f>
        <v>21313158</v>
      </c>
      <c r="C3542" s="3" t="str">
        <f>HYPERLINK("http://www.ncbi.nlm.nih.gov/protein/21313158","Ift27")</f>
        <v>Ift27</v>
      </c>
      <c r="E3542" t="str">
        <f>HYPERLINK("J:\Depot - mpkCCD Fractions\Main Web Page\Web Pages_old\proteomic_fractions_linear_files/Yang_linear_img/21313158.jpg","show blot")</f>
        <v>show blot</v>
      </c>
      <c r="G3542" t="s">
        <v>3408</v>
      </c>
      <c r="I3542" s="6">
        <v>4.4192271689868141</v>
      </c>
      <c r="K3542" s="8"/>
    </row>
    <row r="3543" spans="1:11" ht="15" x14ac:dyDescent="0.25">
      <c r="A3543" s="3" t="str">
        <f>HYPERLINK("proteomic_fractions_linear_files/Yang_linear_img/31981999.jpg", "31981999")</f>
        <v>31981999</v>
      </c>
      <c r="C3543" s="3" t="str">
        <f>HYPERLINK("http://www.ncbi.nlm.nih.gov/protein/31981999","Ift52")</f>
        <v>Ift52</v>
      </c>
      <c r="E3543" t="str">
        <f>HYPERLINK("J:\Depot - mpkCCD Fractions\Main Web Page\Web Pages_old\proteomic_fractions_linear_files/Yang_linear_img/31981999.jpg","show blot")</f>
        <v>show blot</v>
      </c>
      <c r="G3543" t="s">
        <v>3409</v>
      </c>
      <c r="I3543" s="6">
        <v>3.4326073188627864</v>
      </c>
      <c r="K3543" s="8"/>
    </row>
    <row r="3544" spans="1:11" ht="15" x14ac:dyDescent="0.25">
      <c r="A3544" s="3" t="str">
        <f>HYPERLINK("proteomic_fractions_linear_files/Yang_linear_img/28076907.jpg", "28076907")</f>
        <v>28076907</v>
      </c>
      <c r="C3544" s="3" t="str">
        <f>HYPERLINK("http://www.ncbi.nlm.nih.gov/protein/28076907","Ift80")</f>
        <v>Ift80</v>
      </c>
      <c r="E3544" t="str">
        <f>HYPERLINK("J:\Depot - mpkCCD Fractions\Main Web Page\Web Pages_old\proteomic_fractions_linear_files/Yang_linear_img/28076907.jpg","show blot")</f>
        <v>show blot</v>
      </c>
      <c r="G3544" t="s">
        <v>3410</v>
      </c>
      <c r="I3544" s="6">
        <v>5.1484825934828073</v>
      </c>
      <c r="K3544" s="8"/>
    </row>
    <row r="3545" spans="1:11" ht="15" x14ac:dyDescent="0.25">
      <c r="A3545" s="3" t="str">
        <f>HYPERLINK("proteomic_fractions_linear_files/Yang_linear_img/15638942.jpg", "15638942")</f>
        <v>15638942</v>
      </c>
      <c r="C3545" s="3" t="str">
        <f>HYPERLINK("http://www.ncbi.nlm.nih.gov/protein/15638942","Ift81")</f>
        <v>Ift81</v>
      </c>
      <c r="E3545" t="str">
        <f>HYPERLINK("J:\Depot - mpkCCD Fractions\Main Web Page\Web Pages_old\proteomic_fractions_linear_files/Yang_linear_img/15638942.jpg","show blot")</f>
        <v>show blot</v>
      </c>
      <c r="G3545" t="s">
        <v>3411</v>
      </c>
      <c r="I3545" s="6">
        <v>3.4346525807079566</v>
      </c>
      <c r="K3545" s="8"/>
    </row>
    <row r="3546" spans="1:11" ht="15" x14ac:dyDescent="0.25">
      <c r="A3546" s="3" t="str">
        <f>HYPERLINK("proteomic_fractions_linear_files/Yang_linear_img/304555605.jpg", "304555605")</f>
        <v>304555605</v>
      </c>
      <c r="C3546" s="3" t="str">
        <f>HYPERLINK("http://www.ncbi.nlm.nih.gov/protein/304555605","Igbp1")</f>
        <v>Igbp1</v>
      </c>
      <c r="E3546" t="str">
        <f>HYPERLINK("J:\Depot - mpkCCD Fractions\Main Web Page\Web Pages_old\proteomic_fractions_linear_files/Yang_linear_img/304555605.jpg","show blot")</f>
        <v>show blot</v>
      </c>
      <c r="G3546" t="s">
        <v>3412</v>
      </c>
      <c r="I3546" s="6">
        <v>4.377697223146348</v>
      </c>
      <c r="K3546" s="8"/>
    </row>
    <row r="3547" spans="1:11" ht="15" x14ac:dyDescent="0.25">
      <c r="A3547" s="3" t="str">
        <f>HYPERLINK("proteomic_fractions_linear_files/Yang_linear_img/113866007.jpg", "113866007")</f>
        <v>113866007</v>
      </c>
      <c r="C3547" s="3" t="str">
        <f>HYPERLINK("http://www.ncbi.nlm.nih.gov/protein/113866007","Igbp1b")</f>
        <v>Igbp1b</v>
      </c>
      <c r="E3547" t="str">
        <f>HYPERLINK("J:\Depot - mpkCCD Fractions\Main Web Page\Web Pages_old\proteomic_fractions_linear_files/Yang_linear_img/113866007.jpg","show blot")</f>
        <v>show blot</v>
      </c>
      <c r="G3547" t="s">
        <v>3413</v>
      </c>
      <c r="I3547" s="6">
        <v>2.14277439367065</v>
      </c>
      <c r="K3547" s="8"/>
    </row>
    <row r="3548" spans="1:11" ht="15" x14ac:dyDescent="0.25">
      <c r="A3548" s="3" t="str">
        <f>HYPERLINK("proteomic_fractions_linear_files/Yang_linear_img/112983656.jpg", "112983656")</f>
        <v>112983656</v>
      </c>
      <c r="C3548" s="3" t="str">
        <f>HYPERLINK("http://www.ncbi.nlm.nih.gov/protein/112983656","Igf1r")</f>
        <v>Igf1r</v>
      </c>
      <c r="E3548" t="str">
        <f>HYPERLINK("J:\Depot - mpkCCD Fractions\Main Web Page\Web Pages_old\proteomic_fractions_linear_files/Yang_linear_img/112983656.jpg","show blot")</f>
        <v>show blot</v>
      </c>
      <c r="G3548" t="s">
        <v>3414</v>
      </c>
      <c r="I3548" s="6">
        <v>3.7574910426799426</v>
      </c>
      <c r="K3548" s="8"/>
    </row>
    <row r="3549" spans="1:11" ht="15" x14ac:dyDescent="0.25">
      <c r="A3549" s="3" t="str">
        <f>HYPERLINK("proteomic_fractions_linear_files/Yang_linear_img/6753518.jpg", "6753518")</f>
        <v>6753518</v>
      </c>
      <c r="C3549" s="3" t="str">
        <f>HYPERLINK("http://www.ncbi.nlm.nih.gov/protein/6753518","Igf2bp1")</f>
        <v>Igf2bp1</v>
      </c>
      <c r="E3549" t="str">
        <f>HYPERLINK("J:\Depot - mpkCCD Fractions\Main Web Page\Web Pages_old\proteomic_fractions_linear_files/Yang_linear_img/6753518.jpg","show blot")</f>
        <v>show blot</v>
      </c>
      <c r="G3549" t="s">
        <v>3415</v>
      </c>
      <c r="I3549" s="6">
        <v>4.4000101416327562</v>
      </c>
      <c r="K3549" s="8"/>
    </row>
    <row r="3550" spans="1:11" ht="15" x14ac:dyDescent="0.25">
      <c r="A3550" s="3" t="str">
        <f>HYPERLINK("proteomic_fractions_linear_files/Yang_linear_img/145207996.jpg", "145207996")</f>
        <v>145207996</v>
      </c>
      <c r="C3550" s="3" t="str">
        <f>HYPERLINK("http://www.ncbi.nlm.nih.gov/protein/145207996","Igf2bp2")</f>
        <v>Igf2bp2</v>
      </c>
      <c r="E3550" t="str">
        <f>HYPERLINK("J:\Depot - mpkCCD Fractions\Main Web Page\Web Pages_old\proteomic_fractions_linear_files/Yang_linear_img/145207996.jpg","show blot")</f>
        <v>show blot</v>
      </c>
      <c r="G3550" t="s">
        <v>3416</v>
      </c>
      <c r="I3550" s="6">
        <v>6.0362287960233454</v>
      </c>
      <c r="K3550" s="8"/>
    </row>
    <row r="3551" spans="1:11" ht="15" x14ac:dyDescent="0.25">
      <c r="A3551" s="3" t="str">
        <f>HYPERLINK("proteomic_fractions_linear_files/Yang_linear_img/225543383.jpg", "225543383")</f>
        <v>225543383</v>
      </c>
      <c r="C3551" s="3" t="str">
        <f>HYPERLINK("http://www.ncbi.nlm.nih.gov/protein/225543383","Igf2bp3")</f>
        <v>Igf2bp3</v>
      </c>
      <c r="E3551" t="str">
        <f>HYPERLINK("J:\Depot - mpkCCD Fractions\Main Web Page\Web Pages_old\proteomic_fractions_linear_files/Yang_linear_img/225543383.jpg","show blot")</f>
        <v>show blot</v>
      </c>
      <c r="G3551" t="s">
        <v>3417</v>
      </c>
      <c r="I3551" s="6">
        <v>5.3923027128025662</v>
      </c>
      <c r="K3551" s="8"/>
    </row>
    <row r="3552" spans="1:11" ht="15" x14ac:dyDescent="0.25">
      <c r="A3552" s="3" t="str">
        <f>HYPERLINK("proteomic_fractions_linear_files/Yang_linear_img/133778978.jpg", "133778978")</f>
        <v>133778978</v>
      </c>
      <c r="C3552" s="3" t="str">
        <f>HYPERLINK("http://www.ncbi.nlm.nih.gov/protein/133778978","Igf2r")</f>
        <v>Igf2r</v>
      </c>
      <c r="E3552" t="str">
        <f>HYPERLINK("J:\Depot - mpkCCD Fractions\Main Web Page\Web Pages_old\proteomic_fractions_linear_files/Yang_linear_img/133778978.jpg","show blot")</f>
        <v>show blot</v>
      </c>
      <c r="G3552" t="s">
        <v>3418</v>
      </c>
      <c r="I3552" s="6">
        <v>3.8000990591143946</v>
      </c>
      <c r="K3552" s="8"/>
    </row>
    <row r="3553" spans="1:11" ht="15" x14ac:dyDescent="0.25">
      <c r="A3553" s="3" t="str">
        <f>HYPERLINK("proteomic_fractions_linear_files/Yang_linear_img/226958445.jpg", "226958445")</f>
        <v>226958445</v>
      </c>
      <c r="C3553" s="3" t="str">
        <f>HYPERLINK("http://www.ncbi.nlm.nih.gov/protein/226958445","Igfbp7")</f>
        <v>Igfbp7</v>
      </c>
      <c r="E3553" t="str">
        <f>HYPERLINK("J:\Depot - mpkCCD Fractions\Main Web Page\Web Pages_old\proteomic_fractions_linear_files/Yang_linear_img/226958445.jpg","show blot")</f>
        <v>show blot</v>
      </c>
      <c r="G3553" t="s">
        <v>3419</v>
      </c>
      <c r="I3553" s="6">
        <v>4.3953560402772061</v>
      </c>
      <c r="K3553" s="8"/>
    </row>
    <row r="3554" spans="1:11" ht="15" x14ac:dyDescent="0.25">
      <c r="A3554" s="3" t="str">
        <f>HYPERLINK("proteomic_fractions_linear_files/Yang_linear_img/226958453.jpg", "226958453")</f>
        <v>226958453</v>
      </c>
      <c r="C3554" s="3" t="str">
        <f>HYPERLINK("http://www.ncbi.nlm.nih.gov/protein/226958453","Igfbp7")</f>
        <v>Igfbp7</v>
      </c>
      <c r="E3554" t="str">
        <f>HYPERLINK("J:\Depot - mpkCCD Fractions\Main Web Page\Web Pages_old\proteomic_fractions_linear_files/Yang_linear_img/226958453.jpg","show blot")</f>
        <v>show blot</v>
      </c>
      <c r="G3554" t="s">
        <v>3420</v>
      </c>
      <c r="I3554" s="6">
        <v>4.3953560402772061</v>
      </c>
      <c r="K3554" s="8"/>
    </row>
    <row r="3555" spans="1:11" ht="15" x14ac:dyDescent="0.25">
      <c r="A3555" s="3" t="str">
        <f>HYPERLINK("proteomic_fractions_linear_files/Yang_linear_img/153945808.jpg", "153945808")</f>
        <v>153945808</v>
      </c>
      <c r="C3555" s="3" t="str">
        <f>HYPERLINK("http://www.ncbi.nlm.nih.gov/protein/153945808","Ighmbp2")</f>
        <v>Ighmbp2</v>
      </c>
      <c r="E3555" t="str">
        <f>HYPERLINK("J:\Depot - mpkCCD Fractions\Main Web Page\Web Pages_old\proteomic_fractions_linear_files/Yang_linear_img/153945808.jpg","show blot")</f>
        <v>show blot</v>
      </c>
      <c r="G3555" t="s">
        <v>3421</v>
      </c>
      <c r="I3555" s="6">
        <v>1.6659704993828925</v>
      </c>
      <c r="K3555" s="8"/>
    </row>
    <row r="3556" spans="1:11" ht="15" x14ac:dyDescent="0.25">
      <c r="A3556" s="3" t="str">
        <f>HYPERLINK("proteomic_fractions_linear_files/Yang_linear_img/262050642.jpg", "262050642")</f>
        <v>262050642</v>
      </c>
      <c r="C3556" s="3" t="str">
        <f>HYPERLINK("http://www.ncbi.nlm.nih.gov/protein/262050642","Igsf1")</f>
        <v>Igsf1</v>
      </c>
      <c r="E3556" t="str">
        <f>HYPERLINK("J:\Depot - mpkCCD Fractions\Main Web Page\Web Pages_old\proteomic_fractions_linear_files/Yang_linear_img/262050642.jpg","show blot")</f>
        <v>show blot</v>
      </c>
      <c r="G3556" t="s">
        <v>3422</v>
      </c>
      <c r="I3556" s="6">
        <v>2.8307490137052058</v>
      </c>
      <c r="K3556" s="8"/>
    </row>
    <row r="3557" spans="1:11" ht="15" x14ac:dyDescent="0.25">
      <c r="A3557" s="3" t="str">
        <f>HYPERLINK("proteomic_fractions_linear_files/Yang_linear_img/29244558.jpg", "29244558")</f>
        <v>29244558</v>
      </c>
      <c r="C3557" s="3" t="str">
        <f>HYPERLINK("http://www.ncbi.nlm.nih.gov/protein/29244558","Igsf1")</f>
        <v>Igsf1</v>
      </c>
      <c r="E3557" t="str">
        <f>HYPERLINK("J:\Depot - mpkCCD Fractions\Main Web Page\Web Pages_old\proteomic_fractions_linear_files/Yang_linear_img/29244558.jpg","show blot")</f>
        <v>show blot</v>
      </c>
      <c r="G3557" t="s">
        <v>3423</v>
      </c>
      <c r="I3557" s="6">
        <v>2.8307490137052058</v>
      </c>
      <c r="K3557" s="8"/>
    </row>
    <row r="3558" spans="1:11" ht="15" x14ac:dyDescent="0.25">
      <c r="A3558" s="3" t="str">
        <f>HYPERLINK("proteomic_fractions_linear_files/Yang_linear_img/34330164.jpg", "34330164")</f>
        <v>34330164</v>
      </c>
      <c r="C3558" s="3" t="str">
        <f>HYPERLINK("http://www.ncbi.nlm.nih.gov/protein/34330164","Igsf1")</f>
        <v>Igsf1</v>
      </c>
      <c r="E3558" t="str">
        <f>HYPERLINK("J:\Depot - mpkCCD Fractions\Main Web Page\Web Pages_old\proteomic_fractions_linear_files/Yang_linear_img/34330164.jpg","show blot")</f>
        <v>show blot</v>
      </c>
      <c r="G3558" t="s">
        <v>3424</v>
      </c>
      <c r="I3558" s="6">
        <v>2.8307490137052058</v>
      </c>
      <c r="K3558" s="8"/>
    </row>
    <row r="3559" spans="1:11" ht="15" x14ac:dyDescent="0.25">
      <c r="A3559" s="3" t="str">
        <f>HYPERLINK("proteomic_fractions_linear_files/Yang_linear_img/205360918.jpg", "205360918")</f>
        <v>205360918</v>
      </c>
      <c r="C3559" s="3" t="str">
        <f>HYPERLINK("http://www.ncbi.nlm.nih.gov/protein/205360918","Igtp")</f>
        <v>Igtp</v>
      </c>
      <c r="E3559" t="str">
        <f>HYPERLINK("J:\Depot - mpkCCD Fractions\Main Web Page\Web Pages_old\proteomic_fractions_linear_files/Yang_linear_img/205360918.jpg","show blot")</f>
        <v>show blot</v>
      </c>
      <c r="G3559" t="s">
        <v>3425</v>
      </c>
      <c r="I3559" s="6">
        <v>3.4714433403941878</v>
      </c>
      <c r="K3559" s="8"/>
    </row>
    <row r="3560" spans="1:11" ht="15" x14ac:dyDescent="0.25">
      <c r="A3560" s="3" t="str">
        <f>HYPERLINK("proteomic_fractions_linear_files/Yang_linear_img/158937298.jpg", "158937298")</f>
        <v>158937298</v>
      </c>
      <c r="C3560" s="3" t="str">
        <f>HYPERLINK("http://www.ncbi.nlm.nih.gov/protein/158937298","Ikbkap")</f>
        <v>Ikbkap</v>
      </c>
      <c r="E3560" t="str">
        <f>HYPERLINK("J:\Depot - mpkCCD Fractions\Main Web Page\Web Pages_old\proteomic_fractions_linear_files/Yang_linear_img/158937298.jpg","show blot")</f>
        <v>show blot</v>
      </c>
      <c r="G3560" t="s">
        <v>3426</v>
      </c>
      <c r="I3560" s="6">
        <v>4.7506158267442231</v>
      </c>
      <c r="K3560" s="8"/>
    </row>
    <row r="3561" spans="1:11" ht="15" x14ac:dyDescent="0.25">
      <c r="A3561" s="3" t="str">
        <f>HYPERLINK("proteomic_fractions_linear_files/Yang_linear_img/229576825.jpg", "229576825")</f>
        <v>229576825</v>
      </c>
      <c r="C3561" s="3" t="str">
        <f>HYPERLINK("http://www.ncbi.nlm.nih.gov/protein/229576825","Ikbkb")</f>
        <v>Ikbkb</v>
      </c>
      <c r="E3561" t="str">
        <f>HYPERLINK("J:\Depot - mpkCCD Fractions\Main Web Page\Web Pages_old\proteomic_fractions_linear_files/Yang_linear_img/229576825.jpg","show blot")</f>
        <v>show blot</v>
      </c>
      <c r="G3561" t="s">
        <v>3427</v>
      </c>
      <c r="I3561" s="6">
        <v>4.2713463343551288</v>
      </c>
      <c r="K3561" s="8"/>
    </row>
    <row r="3562" spans="1:11" ht="15" x14ac:dyDescent="0.25">
      <c r="A3562" s="3" t="str">
        <f>HYPERLINK("proteomic_fractions_linear_files/Yang_linear_img/33469101.jpg", "33469101")</f>
        <v>33469101</v>
      </c>
      <c r="C3562" s="3" t="str">
        <f>HYPERLINK("http://www.ncbi.nlm.nih.gov/protein/33469101","Ikbkb")</f>
        <v>Ikbkb</v>
      </c>
      <c r="E3562" t="str">
        <f>HYPERLINK("J:\Depot - mpkCCD Fractions\Main Web Page\Web Pages_old\proteomic_fractions_linear_files/Yang_linear_img/33469101.jpg","show blot")</f>
        <v>show blot</v>
      </c>
      <c r="G3562" t="s">
        <v>3428</v>
      </c>
      <c r="I3562" s="6">
        <v>4.2713463343551288</v>
      </c>
      <c r="K3562" s="8"/>
    </row>
    <row r="3563" spans="1:11" ht="15" x14ac:dyDescent="0.25">
      <c r="A3563" s="3" t="str">
        <f>HYPERLINK("proteomic_fractions_linear_files/Yang_linear_img/209862941.jpg", "209862941")</f>
        <v>209862941</v>
      </c>
      <c r="C3563" s="3" t="str">
        <f>HYPERLINK("http://www.ncbi.nlm.nih.gov/protein/209862941","Ikbkg")</f>
        <v>Ikbkg</v>
      </c>
      <c r="E3563" t="str">
        <f>HYPERLINK("J:\Depot - mpkCCD Fractions\Main Web Page\Web Pages_old\proteomic_fractions_linear_files/Yang_linear_img/209862941.jpg","show blot")</f>
        <v>show blot</v>
      </c>
      <c r="G3563" t="s">
        <v>3429</v>
      </c>
      <c r="I3563" s="6">
        <v>4.4307779624057719</v>
      </c>
      <c r="K3563" s="8"/>
    </row>
    <row r="3564" spans="1:11" ht="15" x14ac:dyDescent="0.25">
      <c r="A3564" s="3" t="str">
        <f>HYPERLINK("proteomic_fractions_linear_files/Yang_linear_img/238637310.jpg", "238637310")</f>
        <v>238637310</v>
      </c>
      <c r="C3564" s="3" t="str">
        <f>HYPERLINK("http://www.ncbi.nlm.nih.gov/protein/238637310","Ikbkg")</f>
        <v>Ikbkg</v>
      </c>
      <c r="E3564" t="str">
        <f>HYPERLINK("J:\Depot - mpkCCD Fractions\Main Web Page\Web Pages_old\proteomic_fractions_linear_files/Yang_linear_img/238637310.jpg","show blot")</f>
        <v>show blot</v>
      </c>
      <c r="G3564" t="s">
        <v>3430</v>
      </c>
      <c r="I3564" s="6">
        <v>4.4307779624057719</v>
      </c>
      <c r="K3564" s="8"/>
    </row>
    <row r="3565" spans="1:11" ht="15" x14ac:dyDescent="0.25">
      <c r="A3565" s="3" t="str">
        <f>HYPERLINK("proteomic_fractions_linear_files/Yang_linear_img/238637312.jpg", "238637312")</f>
        <v>238637312</v>
      </c>
      <c r="C3565" s="3" t="str">
        <f>HYPERLINK("http://www.ncbi.nlm.nih.gov/protein/238637312","Ikbkg")</f>
        <v>Ikbkg</v>
      </c>
      <c r="E3565" t="str">
        <f>HYPERLINK("J:\Depot - mpkCCD Fractions\Main Web Page\Web Pages_old\proteomic_fractions_linear_files/Yang_linear_img/238637312.jpg","show blot")</f>
        <v>show blot</v>
      </c>
      <c r="G3565" t="s">
        <v>3431</v>
      </c>
      <c r="I3565" s="6">
        <v>4.4307779624057719</v>
      </c>
      <c r="K3565" s="8"/>
    </row>
    <row r="3566" spans="1:11" ht="15" x14ac:dyDescent="0.25">
      <c r="A3566" s="3" t="str">
        <f>HYPERLINK("proteomic_fractions_linear_files/Yang_linear_img/238637314.jpg", "238637314")</f>
        <v>238637314</v>
      </c>
      <c r="C3566" s="3" t="str">
        <f>HYPERLINK("http://www.ncbi.nlm.nih.gov/protein/238637314","Ikbkg")</f>
        <v>Ikbkg</v>
      </c>
      <c r="E3566" t="str">
        <f>HYPERLINK("J:\Depot - mpkCCD Fractions\Main Web Page\Web Pages_old\proteomic_fractions_linear_files/Yang_linear_img/238637314.jpg","show blot")</f>
        <v>show blot</v>
      </c>
      <c r="G3566" t="s">
        <v>3432</v>
      </c>
      <c r="I3566" s="6">
        <v>4.4307779624057719</v>
      </c>
      <c r="K3566" s="8"/>
    </row>
    <row r="3567" spans="1:11" ht="15" x14ac:dyDescent="0.25">
      <c r="A3567" s="3" t="str">
        <f>HYPERLINK("proteomic_fractions_linear_files/Yang_linear_img/238637316.jpg", "238637316")</f>
        <v>238637316</v>
      </c>
      <c r="C3567" s="3" t="str">
        <f>HYPERLINK("http://www.ncbi.nlm.nih.gov/protein/238637316","Ikbkg")</f>
        <v>Ikbkg</v>
      </c>
      <c r="E3567" t="str">
        <f>HYPERLINK("J:\Depot - mpkCCD Fractions\Main Web Page\Web Pages_old\proteomic_fractions_linear_files/Yang_linear_img/238637316.jpg","show blot")</f>
        <v>show blot</v>
      </c>
      <c r="G3567" t="s">
        <v>3433</v>
      </c>
      <c r="I3567" s="6">
        <v>4.4307779624057719</v>
      </c>
      <c r="K3567" s="8"/>
    </row>
    <row r="3568" spans="1:11" ht="15" x14ac:dyDescent="0.25">
      <c r="A3568" s="3" t="str">
        <f>HYPERLINK("proteomic_fractions_linear_files/Yang_linear_img/111607428.jpg", "111607428")</f>
        <v>111607428</v>
      </c>
      <c r="C3568" s="3" t="str">
        <f>HYPERLINK("http://www.ncbi.nlm.nih.gov/protein/111607428","Il10rb")</f>
        <v>Il10rb</v>
      </c>
      <c r="E3568" t="str">
        <f>HYPERLINK("J:\Depot - mpkCCD Fractions\Main Web Page\Web Pages_old\proteomic_fractions_linear_files/Yang_linear_img/111607428.jpg","show blot")</f>
        <v>show blot</v>
      </c>
      <c r="G3568" t="s">
        <v>3434</v>
      </c>
      <c r="I3568" s="6">
        <v>3.3575408687378583</v>
      </c>
      <c r="K3568" s="8"/>
    </row>
    <row r="3569" spans="1:11" ht="15" x14ac:dyDescent="0.25">
      <c r="A3569" s="3" t="str">
        <f>HYPERLINK("proteomic_fractions_linear_files/Yang_linear_img/6754326.jpg", "6754326")</f>
        <v>6754326</v>
      </c>
      <c r="C3569" s="3" t="str">
        <f>HYPERLINK("http://www.ncbi.nlm.nih.gov/protein/6754326","Il18rap")</f>
        <v>Il18rap</v>
      </c>
      <c r="E3569" t="str">
        <f>HYPERLINK("J:\Depot - mpkCCD Fractions\Main Web Page\Web Pages_old\proteomic_fractions_linear_files/Yang_linear_img/6754326.jpg","show blot")</f>
        <v>show blot</v>
      </c>
      <c r="G3569" t="s">
        <v>3435</v>
      </c>
      <c r="I3569" s="6">
        <v>1.9682768776215263</v>
      </c>
      <c r="K3569" s="8"/>
    </row>
    <row r="3570" spans="1:11" ht="15" x14ac:dyDescent="0.25">
      <c r="A3570" s="3" t="str">
        <f>HYPERLINK("proteomic_fractions_linear_files/Yang_linear_img/13624317.jpg", "13624317")</f>
        <v>13624317</v>
      </c>
      <c r="C3570" s="3" t="str">
        <f>HYPERLINK("http://www.ncbi.nlm.nih.gov/protein/13624317","Il1rn")</f>
        <v>Il1rn</v>
      </c>
      <c r="E3570" t="str">
        <f>HYPERLINK("J:\Depot - mpkCCD Fractions\Main Web Page\Web Pages_old\proteomic_fractions_linear_files/Yang_linear_img/13624317.jpg","show blot")</f>
        <v>show blot</v>
      </c>
      <c r="G3570" t="s">
        <v>3436</v>
      </c>
      <c r="I3570" s="6">
        <v>4.181145724655158</v>
      </c>
      <c r="K3570" s="8"/>
    </row>
    <row r="3571" spans="1:11" ht="15" x14ac:dyDescent="0.25">
      <c r="A3571" s="3" t="str">
        <f>HYPERLINK("proteomic_fractions_linear_files/Yang_linear_img/227116259.jpg", "227116259")</f>
        <v>227116259</v>
      </c>
      <c r="C3571" s="3" t="str">
        <f>HYPERLINK("http://www.ncbi.nlm.nih.gov/protein/227116259","Il1rn")</f>
        <v>Il1rn</v>
      </c>
      <c r="E3571" t="str">
        <f>HYPERLINK("J:\Depot - mpkCCD Fractions\Main Web Page\Web Pages_old\proteomic_fractions_linear_files/Yang_linear_img/227116259.jpg","show blot")</f>
        <v>show blot</v>
      </c>
      <c r="G3571" t="s">
        <v>3437</v>
      </c>
      <c r="I3571" s="6">
        <v>4.181145724655158</v>
      </c>
      <c r="K3571" s="8"/>
    </row>
    <row r="3572" spans="1:11" ht="15" x14ac:dyDescent="0.25">
      <c r="A3572" s="3" t="str">
        <f>HYPERLINK("proteomic_fractions_linear_files/Yang_linear_img/89257344.jpg", "89257344")</f>
        <v>89257344</v>
      </c>
      <c r="C3572" s="3" t="str">
        <f>HYPERLINK("http://www.ncbi.nlm.nih.gov/protein/89257344","Il1rn")</f>
        <v>Il1rn</v>
      </c>
      <c r="E3572" t="str">
        <f>HYPERLINK("J:\Depot - mpkCCD Fractions\Main Web Page\Web Pages_old\proteomic_fractions_linear_files/Yang_linear_img/89257344.jpg","show blot")</f>
        <v>show blot</v>
      </c>
      <c r="G3572" t="s">
        <v>3438</v>
      </c>
      <c r="I3572" s="6">
        <v>4.181145724655158</v>
      </c>
      <c r="K3572" s="8"/>
    </row>
    <row r="3573" spans="1:11" ht="15" x14ac:dyDescent="0.25">
      <c r="A3573" s="3" t="str">
        <f>HYPERLINK("proteomic_fractions_linear_files/Yang_linear_img/13385872.jpg", "13385872")</f>
        <v>13385872</v>
      </c>
      <c r="C3573" s="3" t="str">
        <f>HYPERLINK("http://www.ncbi.nlm.nih.gov/protein/13385872","Ilf2")</f>
        <v>Ilf2</v>
      </c>
      <c r="E3573" t="str">
        <f>HYPERLINK("J:\Depot - mpkCCD Fractions\Main Web Page\Web Pages_old\proteomic_fractions_linear_files/Yang_linear_img/13385872.jpg","show blot")</f>
        <v>show blot</v>
      </c>
      <c r="G3573" t="s">
        <v>3439</v>
      </c>
      <c r="I3573" s="6">
        <v>6.0262455196669373</v>
      </c>
      <c r="K3573" s="8"/>
    </row>
    <row r="3574" spans="1:11" ht="15" x14ac:dyDescent="0.25">
      <c r="A3574" s="3" t="str">
        <f>HYPERLINK("proteomic_fractions_linear_files/Yang_linear_img/472339066;111607430.jpg", "472339066;111607430")</f>
        <v>472339066;111607430</v>
      </c>
      <c r="C3574" s="3" t="str">
        <f>HYPERLINK("http://www.ncbi.nlm.nih.gov/protein/472339066;111607430","Ilf3")</f>
        <v>Ilf3</v>
      </c>
      <c r="E3574" t="str">
        <f>HYPERLINK("J:\Depot - mpkCCD Fractions\Main Web Page\Web Pages_old\proteomic_fractions_linear_files/Yang_linear_img/472339066;111607430.jpg","show blot")</f>
        <v>show blot</v>
      </c>
      <c r="G3574" t="s">
        <v>3440</v>
      </c>
      <c r="I3574" s="6">
        <v>5.4402868154272763</v>
      </c>
      <c r="K3574" s="8"/>
    </row>
    <row r="3575" spans="1:11" ht="15" x14ac:dyDescent="0.25">
      <c r="A3575" s="3" t="str">
        <f>HYPERLINK("proteomic_fractions_linear_files/Yang_linear_img/472339106.jpg", "472339106")</f>
        <v>472339106</v>
      </c>
      <c r="C3575" s="3" t="str">
        <f>HYPERLINK("http://www.ncbi.nlm.nih.gov/protein/472339106","Ilf3")</f>
        <v>Ilf3</v>
      </c>
      <c r="E3575" t="str">
        <f>HYPERLINK("J:\Depot - mpkCCD Fractions\Main Web Page\Web Pages_old\proteomic_fractions_linear_files/Yang_linear_img/472339106.jpg","show blot")</f>
        <v>show blot</v>
      </c>
      <c r="G3575" t="s">
        <v>3441</v>
      </c>
      <c r="I3575" s="6">
        <v>5.4402868154272763</v>
      </c>
      <c r="K3575" s="8"/>
    </row>
    <row r="3576" spans="1:11" ht="15" x14ac:dyDescent="0.25">
      <c r="A3576" s="3" t="str">
        <f>HYPERLINK("proteomic_fractions_linear_files/Yang_linear_img/111607430.jpg", "111607430")</f>
        <v>111607430</v>
      </c>
      <c r="C3576" s="3" t="str">
        <f>HYPERLINK("http://www.ncbi.nlm.nih.gov/protein/111607430","Ilf3")</f>
        <v>Ilf3</v>
      </c>
      <c r="E3576" t="str">
        <f>HYPERLINK("J:\Depot - mpkCCD Fractions\Main Web Page\Web Pages_old\proteomic_fractions_linear_files/Yang_linear_img/111607430.jpg","show blot")</f>
        <v>show blot</v>
      </c>
      <c r="G3576" t="s">
        <v>3440</v>
      </c>
      <c r="I3576" s="6">
        <v>5.4402868154272763</v>
      </c>
      <c r="K3576" s="8"/>
    </row>
    <row r="3577" spans="1:11" ht="15" x14ac:dyDescent="0.25">
      <c r="A3577" s="3" t="str">
        <f>HYPERLINK("proteomic_fractions_linear_files/Yang_linear_img/111607432.jpg", "111607432")</f>
        <v>111607432</v>
      </c>
      <c r="C3577" s="3" t="str">
        <f>HYPERLINK("http://www.ncbi.nlm.nih.gov/protein/111607432","Ilf3")</f>
        <v>Ilf3</v>
      </c>
      <c r="E3577" t="str">
        <f>HYPERLINK("J:\Depot - mpkCCD Fractions\Main Web Page\Web Pages_old\proteomic_fractions_linear_files/Yang_linear_img/111607432.jpg","show blot")</f>
        <v>show blot</v>
      </c>
      <c r="G3577" t="s">
        <v>3442</v>
      </c>
      <c r="I3577" s="6">
        <v>5.4402868154272763</v>
      </c>
      <c r="K3577" s="8"/>
    </row>
    <row r="3578" spans="1:11" ht="15" x14ac:dyDescent="0.25">
      <c r="A3578" s="3" t="str">
        <f>HYPERLINK("proteomic_fractions_linear_files/Yang_linear_img/111607434.jpg", "111607434")</f>
        <v>111607434</v>
      </c>
      <c r="C3578" s="3" t="str">
        <f>HYPERLINK("http://www.ncbi.nlm.nih.gov/protein/111607434","Ilf3")</f>
        <v>Ilf3</v>
      </c>
      <c r="E3578" t="str">
        <f>HYPERLINK("J:\Depot - mpkCCD Fractions\Main Web Page\Web Pages_old\proteomic_fractions_linear_files/Yang_linear_img/111607434.jpg","show blot")</f>
        <v>show blot</v>
      </c>
      <c r="G3578" t="s">
        <v>3443</v>
      </c>
      <c r="I3578" s="6">
        <v>5.4402868154272763</v>
      </c>
      <c r="K3578" s="8"/>
    </row>
    <row r="3579" spans="1:11" ht="15" x14ac:dyDescent="0.25">
      <c r="A3579" s="3" t="str">
        <f>HYPERLINK("proteomic_fractions_linear_files/Yang_linear_img/111607436.jpg", "111607436")</f>
        <v>111607436</v>
      </c>
      <c r="C3579" s="3" t="str">
        <f>HYPERLINK("http://www.ncbi.nlm.nih.gov/protein/111607436","Ilf3")</f>
        <v>Ilf3</v>
      </c>
      <c r="E3579" t="str">
        <f>HYPERLINK("J:\Depot - mpkCCD Fractions\Main Web Page\Web Pages_old\proteomic_fractions_linear_files/Yang_linear_img/111607436.jpg","show blot")</f>
        <v>show blot</v>
      </c>
      <c r="G3579" t="s">
        <v>3444</v>
      </c>
      <c r="I3579" s="6">
        <v>5.4402868154272763</v>
      </c>
      <c r="K3579" s="8"/>
    </row>
    <row r="3580" spans="1:11" ht="15" x14ac:dyDescent="0.25">
      <c r="A3580" s="3" t="str">
        <f>HYPERLINK("proteomic_fractions_linear_files/Yang_linear_img/240255651;240255653.jpg", "240255651;240255653")</f>
        <v>240255651;240255653</v>
      </c>
      <c r="C3580" s="3" t="str">
        <f>HYPERLINK("http://www.ncbi.nlm.nih.gov/protein/240255651;240255653","Ilk")</f>
        <v>Ilk</v>
      </c>
      <c r="E3580" t="str">
        <f>HYPERLINK("J:\Depot - mpkCCD Fractions\Main Web Page\Web Pages_old\proteomic_fractions_linear_files/Yang_linear_img/240255651;240255653.jpg","show blot")</f>
        <v>show blot</v>
      </c>
      <c r="G3580" t="s">
        <v>3445</v>
      </c>
      <c r="I3580" s="6">
        <v>4.9407913782628814</v>
      </c>
      <c r="K3580" s="8"/>
    </row>
    <row r="3581" spans="1:11" ht="15" x14ac:dyDescent="0.25">
      <c r="A3581" s="3" t="str">
        <f>HYPERLINK("proteomic_fractions_linear_files/Yang_linear_img/240255653;240255651.jpg", "240255653;240255651")</f>
        <v>240255653;240255651</v>
      </c>
      <c r="C3581" s="3" t="str">
        <f>HYPERLINK("http://www.ncbi.nlm.nih.gov/protein/240255653;240255651","Ilk")</f>
        <v>Ilk</v>
      </c>
      <c r="E3581" t="str">
        <f>HYPERLINK("J:\Depot - mpkCCD Fractions\Main Web Page\Web Pages_old\proteomic_fractions_linear_files/Yang_linear_img/240255653;240255651.jpg","show blot")</f>
        <v>show blot</v>
      </c>
      <c r="G3581" t="s">
        <v>3445</v>
      </c>
      <c r="I3581" s="6">
        <v>4.9407913782628814</v>
      </c>
      <c r="K3581" s="8"/>
    </row>
    <row r="3582" spans="1:11" ht="15" x14ac:dyDescent="0.25">
      <c r="A3582" s="3" t="str">
        <f>HYPERLINK("proteomic_fractions_linear_files/Yang_linear_img/39930415.jpg", "39930415")</f>
        <v>39930415</v>
      </c>
      <c r="C3582" s="3" t="str">
        <f>HYPERLINK("http://www.ncbi.nlm.nih.gov/protein/39930415","Ilkap")</f>
        <v>Ilkap</v>
      </c>
      <c r="E3582" t="str">
        <f>HYPERLINK("J:\Depot - mpkCCD Fractions\Main Web Page\Web Pages_old\proteomic_fractions_linear_files/Yang_linear_img/39930415.jpg","show blot")</f>
        <v>show blot</v>
      </c>
      <c r="G3582" t="s">
        <v>3446</v>
      </c>
      <c r="I3582" s="6">
        <v>4.2254256744325662</v>
      </c>
      <c r="K3582" s="8"/>
    </row>
    <row r="3583" spans="1:11" ht="15" x14ac:dyDescent="0.25">
      <c r="A3583" s="3" t="str">
        <f>HYPERLINK("proteomic_fractions_linear_files/Yang_linear_img/30424591.jpg", "30424591")</f>
        <v>30424591</v>
      </c>
      <c r="C3583" s="3" t="str">
        <f>HYPERLINK("http://www.ncbi.nlm.nih.gov/protein/30424591","Ilvbl")</f>
        <v>Ilvbl</v>
      </c>
      <c r="E3583" t="str">
        <f>HYPERLINK("J:\Depot - mpkCCD Fractions\Main Web Page\Web Pages_old\proteomic_fractions_linear_files/Yang_linear_img/30424591.jpg","show blot")</f>
        <v>show blot</v>
      </c>
      <c r="G3583" t="s">
        <v>3447</v>
      </c>
      <c r="I3583" s="6">
        <v>4.1099362579329286</v>
      </c>
      <c r="K3583" s="8"/>
    </row>
    <row r="3584" spans="1:11" ht="15" x14ac:dyDescent="0.25">
      <c r="A3584" s="3" t="str">
        <f>HYPERLINK("proteomic_fractions_linear_files/Yang_linear_img/358439483.jpg", "358439483")</f>
        <v>358439483</v>
      </c>
      <c r="C3584" s="3" t="str">
        <f>HYPERLINK("http://www.ncbi.nlm.nih.gov/protein/358439483","Immt")</f>
        <v>Immt</v>
      </c>
      <c r="E3584" t="str">
        <f>HYPERLINK("J:\Depot - mpkCCD Fractions\Main Web Page\Web Pages_old\proteomic_fractions_linear_files/Yang_linear_img/358439483.jpg","show blot")</f>
        <v>show blot</v>
      </c>
      <c r="G3584" t="s">
        <v>3448</v>
      </c>
      <c r="I3584" s="6">
        <v>5.9147028021343626</v>
      </c>
      <c r="K3584" s="8"/>
    </row>
    <row r="3585" spans="1:11" ht="15" x14ac:dyDescent="0.25">
      <c r="A3585" s="3" t="str">
        <f>HYPERLINK("proteomic_fractions_linear_files/Yang_linear_img/358439528.jpg", "358439528")</f>
        <v>358439528</v>
      </c>
      <c r="C3585" s="3" t="str">
        <f>HYPERLINK("http://www.ncbi.nlm.nih.gov/protein/358439528","Immt")</f>
        <v>Immt</v>
      </c>
      <c r="E3585" t="str">
        <f>HYPERLINK("J:\Depot - mpkCCD Fractions\Main Web Page\Web Pages_old\proteomic_fractions_linear_files/Yang_linear_img/358439528.jpg","show blot")</f>
        <v>show blot</v>
      </c>
      <c r="G3585" t="s">
        <v>3449</v>
      </c>
      <c r="I3585" s="6">
        <v>5.9147028021343626</v>
      </c>
      <c r="K3585" s="8"/>
    </row>
    <row r="3586" spans="1:11" ht="15" x14ac:dyDescent="0.25">
      <c r="A3586" s="3" t="str">
        <f>HYPERLINK("proteomic_fractions_linear_files/Yang_linear_img/358439536.jpg", "358439536")</f>
        <v>358439536</v>
      </c>
      <c r="C3586" s="3" t="str">
        <f>HYPERLINK("http://www.ncbi.nlm.nih.gov/protein/358439536","Immt")</f>
        <v>Immt</v>
      </c>
      <c r="E3586" t="str">
        <f>HYPERLINK("J:\Depot - mpkCCD Fractions\Main Web Page\Web Pages_old\proteomic_fractions_linear_files/Yang_linear_img/358439536.jpg","show blot")</f>
        <v>show blot</v>
      </c>
      <c r="G3586" t="s">
        <v>3450</v>
      </c>
      <c r="I3586" s="6">
        <v>5.9147028021343626</v>
      </c>
      <c r="K3586" s="8"/>
    </row>
    <row r="3587" spans="1:11" ht="15" x14ac:dyDescent="0.25">
      <c r="A3587" s="3" t="str">
        <f>HYPERLINK("proteomic_fractions_linear_files/Yang_linear_img/358439544.jpg", "358439544")</f>
        <v>358439544</v>
      </c>
      <c r="C3587" s="3" t="str">
        <f>HYPERLINK("http://www.ncbi.nlm.nih.gov/protein/358439544","Immt")</f>
        <v>Immt</v>
      </c>
      <c r="E3587" t="str">
        <f>HYPERLINK("J:\Depot - mpkCCD Fractions\Main Web Page\Web Pages_old\proteomic_fractions_linear_files/Yang_linear_img/358439544.jpg","show blot")</f>
        <v>show blot</v>
      </c>
      <c r="G3587" t="s">
        <v>3451</v>
      </c>
      <c r="I3587" s="6">
        <v>5.9147028021343626</v>
      </c>
      <c r="K3587" s="8"/>
    </row>
    <row r="3588" spans="1:11" ht="15" x14ac:dyDescent="0.25">
      <c r="A3588" s="3" t="str">
        <f>HYPERLINK("proteomic_fractions_linear_files/Yang_linear_img/358439552.jpg", "358439552")</f>
        <v>358439552</v>
      </c>
      <c r="C3588" s="3" t="str">
        <f>HYPERLINK("http://www.ncbi.nlm.nih.gov/protein/358439552","Immt")</f>
        <v>Immt</v>
      </c>
      <c r="E3588" t="str">
        <f>HYPERLINK("J:\Depot - mpkCCD Fractions\Main Web Page\Web Pages_old\proteomic_fractions_linear_files/Yang_linear_img/358439552.jpg","show blot")</f>
        <v>show blot</v>
      </c>
      <c r="G3588" t="s">
        <v>3452</v>
      </c>
      <c r="I3588" s="6">
        <v>5.9147028021343626</v>
      </c>
      <c r="K3588" s="8"/>
    </row>
    <row r="3589" spans="1:11" ht="15" x14ac:dyDescent="0.25">
      <c r="A3589" s="3" t="str">
        <f>HYPERLINK("proteomic_fractions_linear_files/Yang_linear_img/70608131.jpg", "70608131")</f>
        <v>70608131</v>
      </c>
      <c r="C3589" s="3" t="str">
        <f>HYPERLINK("http://www.ncbi.nlm.nih.gov/protein/70608131","Immt")</f>
        <v>Immt</v>
      </c>
      <c r="E3589" t="str">
        <f>HYPERLINK("J:\Depot - mpkCCD Fractions\Main Web Page\Web Pages_old\proteomic_fractions_linear_files/Yang_linear_img/70608131.jpg","show blot")</f>
        <v>show blot</v>
      </c>
      <c r="G3589" t="s">
        <v>3453</v>
      </c>
      <c r="I3589" s="6">
        <v>5.9147028021343626</v>
      </c>
      <c r="K3589" s="8"/>
    </row>
    <row r="3590" spans="1:11" ht="15" x14ac:dyDescent="0.25">
      <c r="A3590" s="3" t="str">
        <f>HYPERLINK("proteomic_fractions_linear_files/Yang_linear_img/19527196.jpg", "19527196")</f>
        <v>19527196</v>
      </c>
      <c r="C3590" s="3" t="str">
        <f>HYPERLINK("http://www.ncbi.nlm.nih.gov/protein/19527196","Imp3")</f>
        <v>Imp3</v>
      </c>
      <c r="E3590" t="str">
        <f>HYPERLINK("J:\Depot - mpkCCD Fractions\Main Web Page\Web Pages_old\proteomic_fractions_linear_files/Yang_linear_img/19527196.jpg","show blot")</f>
        <v>show blot</v>
      </c>
      <c r="G3590" t="s">
        <v>3454</v>
      </c>
      <c r="I3590" s="6">
        <v>4.6781620317068224</v>
      </c>
      <c r="K3590" s="8"/>
    </row>
    <row r="3591" spans="1:11" ht="15" x14ac:dyDescent="0.25">
      <c r="A3591" s="3" t="str">
        <f>HYPERLINK("proteomic_fractions_linear_files/Yang_linear_img/31980942.jpg", "31980942")</f>
        <v>31980942</v>
      </c>
      <c r="C3591" s="3" t="str">
        <f>HYPERLINK("http://www.ncbi.nlm.nih.gov/protein/31980942","Impa1")</f>
        <v>Impa1</v>
      </c>
      <c r="E3591" t="str">
        <f>HYPERLINK("J:\Depot - mpkCCD Fractions\Main Web Page\Web Pages_old\proteomic_fractions_linear_files/Yang_linear_img/31980942.jpg","show blot")</f>
        <v>show blot</v>
      </c>
      <c r="G3591" t="s">
        <v>3455</v>
      </c>
      <c r="I3591" s="6">
        <v>6.2870048199512514</v>
      </c>
      <c r="K3591" s="8"/>
    </row>
    <row r="3592" spans="1:11" ht="15" x14ac:dyDescent="0.25">
      <c r="A3592" s="3" t="str">
        <f>HYPERLINK("proteomic_fractions_linear_files/Yang_linear_img/16716595.jpg", "16716595")</f>
        <v>16716595</v>
      </c>
      <c r="C3592" s="3" t="str">
        <f>HYPERLINK("http://www.ncbi.nlm.nih.gov/protein/16716595","Impa2")</f>
        <v>Impa2</v>
      </c>
      <c r="E3592" t="str">
        <f>HYPERLINK("J:\Depot - mpkCCD Fractions\Main Web Page\Web Pages_old\proteomic_fractions_linear_files/Yang_linear_img/16716595.jpg","show blot")</f>
        <v>show blot</v>
      </c>
      <c r="G3592" t="s">
        <v>3456</v>
      </c>
      <c r="I3592" s="6">
        <v>4.8982705446568193</v>
      </c>
      <c r="K3592" s="8"/>
    </row>
    <row r="3593" spans="1:11" ht="15" x14ac:dyDescent="0.25">
      <c r="A3593" s="3" t="str">
        <f>HYPERLINK("proteomic_fractions_linear_files/Yang_linear_img/29244210.jpg", "29244210")</f>
        <v>29244210</v>
      </c>
      <c r="C3593" s="3" t="str">
        <f>HYPERLINK("http://www.ncbi.nlm.nih.gov/protein/29244210","Impad1")</f>
        <v>Impad1</v>
      </c>
      <c r="E3593" t="str">
        <f>HYPERLINK("J:\Depot - mpkCCD Fractions\Main Web Page\Web Pages_old\proteomic_fractions_linear_files/Yang_linear_img/29244210.jpg","show blot")</f>
        <v>show blot</v>
      </c>
      <c r="G3593" t="s">
        <v>3457</v>
      </c>
      <c r="I3593" s="6">
        <v>4.1313369472829704</v>
      </c>
      <c r="K3593" s="8"/>
    </row>
    <row r="3594" spans="1:11" ht="15" x14ac:dyDescent="0.25">
      <c r="A3594" s="3" t="str">
        <f>HYPERLINK("proteomic_fractions_linear_files/Yang_linear_img/34328209.jpg", "34328209")</f>
        <v>34328209</v>
      </c>
      <c r="C3594" s="3" t="str">
        <f>HYPERLINK("http://www.ncbi.nlm.nih.gov/protein/34328209","Impdh1")</f>
        <v>Impdh1</v>
      </c>
      <c r="E3594" t="str">
        <f>HYPERLINK("J:\Depot - mpkCCD Fractions\Main Web Page\Web Pages_old\proteomic_fractions_linear_files/Yang_linear_img/34328209.jpg","show blot")</f>
        <v>show blot</v>
      </c>
      <c r="G3594" t="s">
        <v>3458</v>
      </c>
      <c r="I3594" s="6">
        <v>4.5454764710108773</v>
      </c>
      <c r="K3594" s="8"/>
    </row>
    <row r="3595" spans="1:11" ht="15" x14ac:dyDescent="0.25">
      <c r="A3595" s="3" t="str">
        <f>HYPERLINK("proteomic_fractions_linear_files/Yang_linear_img/31981382.jpg", "31981382")</f>
        <v>31981382</v>
      </c>
      <c r="C3595" s="3" t="str">
        <f>HYPERLINK("http://www.ncbi.nlm.nih.gov/protein/31981382","Impdh2")</f>
        <v>Impdh2</v>
      </c>
      <c r="E3595" t="str">
        <f>HYPERLINK("J:\Depot - mpkCCD Fractions\Main Web Page\Web Pages_old\proteomic_fractions_linear_files/Yang_linear_img/31981382.jpg","show blot")</f>
        <v>show blot</v>
      </c>
      <c r="G3595" t="s">
        <v>3459</v>
      </c>
      <c r="I3595" s="6">
        <v>5.873332467740175</v>
      </c>
      <c r="K3595" s="8"/>
    </row>
    <row r="3596" spans="1:11" ht="15" x14ac:dyDescent="0.25">
      <c r="A3596" s="3" t="str">
        <f>HYPERLINK("proteomic_fractions_linear_files/Yang_linear_img/55769576.jpg", "55769576")</f>
        <v>55769576</v>
      </c>
      <c r="C3596" s="3" t="str">
        <f>HYPERLINK("http://www.ncbi.nlm.nih.gov/protein/55769576","Inadl")</f>
        <v>Inadl</v>
      </c>
      <c r="E3596" t="str">
        <f>HYPERLINK("J:\Depot - mpkCCD Fractions\Main Web Page\Web Pages_old\proteomic_fractions_linear_files/Yang_linear_img/55769576.jpg","show blot")</f>
        <v>show blot</v>
      </c>
      <c r="G3596" t="s">
        <v>3460</v>
      </c>
      <c r="I3596" s="6">
        <v>3.695375009409962</v>
      </c>
      <c r="K3596" s="8"/>
    </row>
    <row r="3597" spans="1:11" ht="15" x14ac:dyDescent="0.25">
      <c r="A3597" s="3" t="str">
        <f>HYPERLINK("proteomic_fractions_linear_files/Yang_linear_img/55769581.jpg", "55769581")</f>
        <v>55769581</v>
      </c>
      <c r="C3597" s="3" t="str">
        <f>HYPERLINK("http://www.ncbi.nlm.nih.gov/protein/55769581","Inadl")</f>
        <v>Inadl</v>
      </c>
      <c r="E3597" t="str">
        <f>HYPERLINK("J:\Depot - mpkCCD Fractions\Main Web Page\Web Pages_old\proteomic_fractions_linear_files/Yang_linear_img/55769581.jpg","show blot")</f>
        <v>show blot</v>
      </c>
      <c r="G3597" t="s">
        <v>3461</v>
      </c>
      <c r="I3597" s="6">
        <v>3.695375009409962</v>
      </c>
      <c r="K3597" s="8"/>
    </row>
    <row r="3598" spans="1:11" ht="15" x14ac:dyDescent="0.25">
      <c r="A3598" s="3" t="str">
        <f>HYPERLINK("proteomic_fractions_linear_files/Yang_linear_img/6671754.jpg", "6671754")</f>
        <v>6671754</v>
      </c>
      <c r="C3598" s="3" t="str">
        <f>HYPERLINK("http://www.ncbi.nlm.nih.gov/protein/6671754","Inadl")</f>
        <v>Inadl</v>
      </c>
      <c r="E3598" t="str">
        <f>HYPERLINK("J:\Depot - mpkCCD Fractions\Main Web Page\Web Pages_old\proteomic_fractions_linear_files/Yang_linear_img/6671754.jpg","show blot")</f>
        <v>show blot</v>
      </c>
      <c r="G3598" t="s">
        <v>3462</v>
      </c>
      <c r="I3598" s="6">
        <v>3.695375009409962</v>
      </c>
      <c r="K3598" s="8"/>
    </row>
    <row r="3599" spans="1:11" ht="15" x14ac:dyDescent="0.25">
      <c r="A3599" s="3" t="str">
        <f>HYPERLINK("proteomic_fractions_linear_files/Yang_linear_img/55769578.jpg", "55769578")</f>
        <v>55769578</v>
      </c>
      <c r="C3599" s="3" t="str">
        <f>HYPERLINK("http://www.ncbi.nlm.nih.gov/protein/55769578","Inadl")</f>
        <v>Inadl</v>
      </c>
      <c r="E3599" t="str">
        <f>HYPERLINK("J:\Depot - mpkCCD Fractions\Main Web Page\Web Pages_old\proteomic_fractions_linear_files/Yang_linear_img/55769578.jpg","show blot")</f>
        <v>show blot</v>
      </c>
      <c r="G3599" t="s">
        <v>3463</v>
      </c>
      <c r="I3599" s="6">
        <v>3.695375009409962</v>
      </c>
      <c r="K3599" s="8"/>
    </row>
    <row r="3600" spans="1:11" ht="15" x14ac:dyDescent="0.25">
      <c r="A3600" s="3" t="str">
        <f>HYPERLINK("proteomic_fractions_linear_files/Yang_linear_img/114052809.jpg", "114052809")</f>
        <v>114052809</v>
      </c>
      <c r="C3600" s="3" t="str">
        <f>HYPERLINK("http://www.ncbi.nlm.nih.gov/protein/114052809","Inf2")</f>
        <v>Inf2</v>
      </c>
      <c r="E3600" t="str">
        <f>HYPERLINK("J:\Depot - mpkCCD Fractions\Main Web Page\Web Pages_old\proteomic_fractions_linear_files/Yang_linear_img/114052809.jpg","show blot")</f>
        <v>show blot</v>
      </c>
      <c r="G3600" t="s">
        <v>3464</v>
      </c>
      <c r="I3600" s="6">
        <v>3.4581831007197281</v>
      </c>
      <c r="K3600" s="8"/>
    </row>
    <row r="3601" spans="1:11" ht="15" x14ac:dyDescent="0.25">
      <c r="A3601" s="3" t="str">
        <f>HYPERLINK("proteomic_fractions_linear_files/Yang_linear_img/6678281.jpg", "6678281")</f>
        <v>6678281</v>
      </c>
      <c r="C3601" s="3" t="str">
        <f>HYPERLINK("http://www.ncbi.nlm.nih.gov/protein/6678281","Inmt")</f>
        <v>Inmt</v>
      </c>
      <c r="E3601" t="str">
        <f>HYPERLINK("J:\Depot - mpkCCD Fractions\Main Web Page\Web Pages_old\proteomic_fractions_linear_files/Yang_linear_img/6678281.jpg","show blot")</f>
        <v>show blot</v>
      </c>
      <c r="G3601" t="s">
        <v>3465</v>
      </c>
      <c r="I3601" s="6">
        <v>6.4608880046945849</v>
      </c>
      <c r="K3601" s="8"/>
    </row>
    <row r="3602" spans="1:11" ht="15" x14ac:dyDescent="0.25">
      <c r="A3602" s="3" t="str">
        <f>HYPERLINK("proteomic_fractions_linear_files/Yang_linear_img/170650609.jpg", "170650609")</f>
        <v>170650609</v>
      </c>
      <c r="C3602" s="3" t="str">
        <f>HYPERLINK("http://www.ncbi.nlm.nih.gov/protein/170650609","Inpp1")</f>
        <v>Inpp1</v>
      </c>
      <c r="E3602" t="str">
        <f>HYPERLINK("J:\Depot - mpkCCD Fractions\Main Web Page\Web Pages_old\proteomic_fractions_linear_files/Yang_linear_img/170650609.jpg","show blot")</f>
        <v>show blot</v>
      </c>
      <c r="G3602" t="s">
        <v>3466</v>
      </c>
      <c r="I3602" s="6">
        <v>5.2048197397317315</v>
      </c>
      <c r="K3602" s="8"/>
    </row>
    <row r="3603" spans="1:11" ht="15" x14ac:dyDescent="0.25">
      <c r="A3603" s="3" t="str">
        <f>HYPERLINK("proteomic_fractions_linear_files/Yang_linear_img/158853999.jpg", "158853999")</f>
        <v>158853999</v>
      </c>
      <c r="C3603" s="3" t="str">
        <f>HYPERLINK("http://www.ncbi.nlm.nih.gov/protein/158853999","Inpp5d")</f>
        <v>Inpp5d</v>
      </c>
      <c r="E3603" t="str">
        <f>HYPERLINK("J:\Depot - mpkCCD Fractions\Main Web Page\Web Pages_old\proteomic_fractions_linear_files/Yang_linear_img/158853999.jpg","show blot")</f>
        <v>show blot</v>
      </c>
      <c r="G3603" t="s">
        <v>3467</v>
      </c>
      <c r="I3603" s="6">
        <v>4.0060408339774023</v>
      </c>
      <c r="K3603" s="8"/>
    </row>
    <row r="3604" spans="1:11" ht="15" x14ac:dyDescent="0.25">
      <c r="A3604" s="3" t="str">
        <f>HYPERLINK("proteomic_fractions_linear_files/Yang_linear_img/158854001.jpg", "158854001")</f>
        <v>158854001</v>
      </c>
      <c r="C3604" s="3" t="str">
        <f>HYPERLINK("http://www.ncbi.nlm.nih.gov/protein/158854001","Inpp5d")</f>
        <v>Inpp5d</v>
      </c>
      <c r="E3604" t="str">
        <f>HYPERLINK("J:\Depot - mpkCCD Fractions\Main Web Page\Web Pages_old\proteomic_fractions_linear_files/Yang_linear_img/158854001.jpg","show blot")</f>
        <v>show blot</v>
      </c>
      <c r="G3604" t="s">
        <v>3468</v>
      </c>
      <c r="I3604" s="6">
        <v>4.0060408339774023</v>
      </c>
      <c r="K3604" s="8"/>
    </row>
    <row r="3605" spans="1:11" ht="15" x14ac:dyDescent="0.25">
      <c r="A3605" s="3" t="str">
        <f>HYPERLINK("proteomic_fractions_linear_files/Yang_linear_img/158854003.jpg", "158854003")</f>
        <v>158854003</v>
      </c>
      <c r="C3605" s="3" t="str">
        <f>HYPERLINK("http://www.ncbi.nlm.nih.gov/protein/158854003","Inpp5d")</f>
        <v>Inpp5d</v>
      </c>
      <c r="E3605" t="str">
        <f>HYPERLINK("J:\Depot - mpkCCD Fractions\Main Web Page\Web Pages_old\proteomic_fractions_linear_files/Yang_linear_img/158854003.jpg","show blot")</f>
        <v>show blot</v>
      </c>
      <c r="G3605" t="s">
        <v>3469</v>
      </c>
      <c r="I3605" s="6">
        <v>4.0060408339774023</v>
      </c>
      <c r="K3605" s="8"/>
    </row>
    <row r="3606" spans="1:11" ht="15" x14ac:dyDescent="0.25">
      <c r="A3606" s="3" t="str">
        <f>HYPERLINK("proteomic_fractions_linear_files/Yang_linear_img/170172575.jpg", "170172575")</f>
        <v>170172575</v>
      </c>
      <c r="C3606" s="3" t="str">
        <f>HYPERLINK("http://www.ncbi.nlm.nih.gov/protein/170172575","Inppl1")</f>
        <v>Inppl1</v>
      </c>
      <c r="E3606" t="str">
        <f>HYPERLINK("J:\Depot - mpkCCD Fractions\Main Web Page\Web Pages_old\proteomic_fractions_linear_files/Yang_linear_img/170172575.jpg","show blot")</f>
        <v>show blot</v>
      </c>
      <c r="G3606" t="s">
        <v>3470</v>
      </c>
      <c r="I3606" s="6">
        <v>5.1137553573715255</v>
      </c>
      <c r="K3606" s="8"/>
    </row>
    <row r="3607" spans="1:11" ht="15" x14ac:dyDescent="0.25">
      <c r="A3607" s="3" t="str">
        <f>HYPERLINK("proteomic_fractions_linear_files/Yang_linear_img/157057178.jpg", "157057178")</f>
        <v>157057178</v>
      </c>
      <c r="C3607" s="3" t="str">
        <f>HYPERLINK("http://www.ncbi.nlm.nih.gov/protein/157057178","Insr")</f>
        <v>Insr</v>
      </c>
      <c r="E3607" t="str">
        <f>HYPERLINK("J:\Depot - mpkCCD Fractions\Main Web Page\Web Pages_old\proteomic_fractions_linear_files/Yang_linear_img/157057178.jpg","show blot")</f>
        <v>show blot</v>
      </c>
      <c r="G3607" t="s">
        <v>3471</v>
      </c>
      <c r="I3607" s="6">
        <v>3.0425777388256692</v>
      </c>
      <c r="K3607" s="8"/>
    </row>
    <row r="3608" spans="1:11" ht="15" x14ac:dyDescent="0.25">
      <c r="A3608" s="3" t="str">
        <f>HYPERLINK("proteomic_fractions_linear_files/Yang_linear_img/160333073.jpg", "160333073")</f>
        <v>160333073</v>
      </c>
      <c r="C3608" s="3" t="str">
        <f>HYPERLINK("http://www.ncbi.nlm.nih.gov/protein/160333073","Insrr")</f>
        <v>Insrr</v>
      </c>
      <c r="E3608" t="str">
        <f>HYPERLINK("J:\Depot - mpkCCD Fractions\Main Web Page\Web Pages_old\proteomic_fractions_linear_files/Yang_linear_img/160333073.jpg","show blot")</f>
        <v>show blot</v>
      </c>
      <c r="G3608" t="s">
        <v>3472</v>
      </c>
      <c r="I3608" s="6">
        <v>2.2329579257016081</v>
      </c>
      <c r="K3608" s="8"/>
    </row>
    <row r="3609" spans="1:11" ht="15" x14ac:dyDescent="0.25">
      <c r="A3609" s="3" t="str">
        <f>HYPERLINK("proteomic_fractions_linear_files/Yang_linear_img/294832004.jpg", "294832004")</f>
        <v>294832004</v>
      </c>
      <c r="C3609" s="3" t="str">
        <f>HYPERLINK("http://www.ncbi.nlm.nih.gov/protein/294832004","Ints1")</f>
        <v>Ints1</v>
      </c>
      <c r="E3609" t="str">
        <f>HYPERLINK("J:\Depot - mpkCCD Fractions\Main Web Page\Web Pages_old\proteomic_fractions_linear_files/Yang_linear_img/294832004.jpg","show blot")</f>
        <v>show blot</v>
      </c>
      <c r="G3609" t="s">
        <v>3473</v>
      </c>
      <c r="I3609" s="6">
        <v>1.3851448104316084</v>
      </c>
      <c r="K3609" s="8"/>
    </row>
    <row r="3610" spans="1:11" ht="15" x14ac:dyDescent="0.25">
      <c r="A3610" s="3" t="str">
        <f>HYPERLINK("proteomic_fractions_linear_files/Yang_linear_img/21313674.jpg", "21313674")</f>
        <v>21313674</v>
      </c>
      <c r="C3610" s="3" t="str">
        <f>HYPERLINK("http://www.ncbi.nlm.nih.gov/protein/21313674","Ints12")</f>
        <v>Ints12</v>
      </c>
      <c r="E3610" t="str">
        <f>HYPERLINK("J:\Depot - mpkCCD Fractions\Main Web Page\Web Pages_old\proteomic_fractions_linear_files/Yang_linear_img/21313674.jpg","show blot")</f>
        <v>show blot</v>
      </c>
      <c r="G3610" t="s">
        <v>3474</v>
      </c>
      <c r="I3610" s="6">
        <v>2.4268002779225943</v>
      </c>
      <c r="K3610" s="8"/>
    </row>
    <row r="3611" spans="1:11" ht="15" x14ac:dyDescent="0.25">
      <c r="A3611" s="3" t="str">
        <f>HYPERLINK("proteomic_fractions_linear_files/Yang_linear_img/31652266.jpg", "31652266")</f>
        <v>31652266</v>
      </c>
      <c r="C3611" s="3" t="str">
        <f>HYPERLINK("http://www.ncbi.nlm.nih.gov/protein/31652266","Ints3")</f>
        <v>Ints3</v>
      </c>
      <c r="E3611" t="str">
        <f>HYPERLINK("J:\Depot - mpkCCD Fractions\Main Web Page\Web Pages_old\proteomic_fractions_linear_files/Yang_linear_img/31652266.jpg","show blot")</f>
        <v>show blot</v>
      </c>
      <c r="G3611" t="s">
        <v>3475</v>
      </c>
      <c r="I3611" s="6">
        <v>3.9409104862463327</v>
      </c>
      <c r="K3611" s="8"/>
    </row>
    <row r="3612" spans="1:11" ht="15" x14ac:dyDescent="0.25">
      <c r="A3612" s="3" t="str">
        <f>HYPERLINK("proteomic_fractions_linear_files/Yang_linear_img/30794414.jpg", "30794414")</f>
        <v>30794414</v>
      </c>
      <c r="C3612" s="3" t="str">
        <f>HYPERLINK("http://www.ncbi.nlm.nih.gov/protein/30794414","Ints4")</f>
        <v>Ints4</v>
      </c>
      <c r="E3612" t="str">
        <f>HYPERLINK("J:\Depot - mpkCCD Fractions\Main Web Page\Web Pages_old\proteomic_fractions_linear_files/Yang_linear_img/30794414.jpg","show blot")</f>
        <v>show blot</v>
      </c>
      <c r="G3612" t="s">
        <v>3476</v>
      </c>
      <c r="I3612" s="6">
        <v>3.3806929466967963</v>
      </c>
      <c r="K3612" s="8"/>
    </row>
    <row r="3613" spans="1:11" ht="15" x14ac:dyDescent="0.25">
      <c r="A3613" s="3" t="str">
        <f>HYPERLINK("proteomic_fractions_linear_files/Yang_linear_img/28849895.jpg", "28849895")</f>
        <v>28849895</v>
      </c>
      <c r="C3613" s="3" t="str">
        <f>HYPERLINK("http://www.ncbi.nlm.nih.gov/protein/28849895","Ints5")</f>
        <v>Ints5</v>
      </c>
      <c r="E3613" t="str">
        <f>HYPERLINK("J:\Depot - mpkCCD Fractions\Main Web Page\Web Pages_old\proteomic_fractions_linear_files/Yang_linear_img/28849895.jpg","show blot")</f>
        <v>show blot</v>
      </c>
      <c r="G3613" t="s">
        <v>3477</v>
      </c>
      <c r="I3613" s="6">
        <v>1.8430827487789312</v>
      </c>
      <c r="K3613" s="8"/>
    </row>
    <row r="3614" spans="1:11" ht="15" x14ac:dyDescent="0.25">
      <c r="A3614" s="3" t="str">
        <f>HYPERLINK("proteomic_fractions_linear_files/Yang_linear_img/153791768.jpg", "153791768")</f>
        <v>153791768</v>
      </c>
      <c r="C3614" s="3" t="str">
        <f>HYPERLINK("http://www.ncbi.nlm.nih.gov/protein/153791768","Ints7")</f>
        <v>Ints7</v>
      </c>
      <c r="E3614" t="str">
        <f>HYPERLINK("J:\Depot - mpkCCD Fractions\Main Web Page\Web Pages_old\proteomic_fractions_linear_files/Yang_linear_img/153791768.jpg","show blot")</f>
        <v>show blot</v>
      </c>
      <c r="G3614" t="s">
        <v>3478</v>
      </c>
      <c r="I3614" s="6">
        <v>3.2599196366725267</v>
      </c>
      <c r="K3614" s="8"/>
    </row>
    <row r="3615" spans="1:11" ht="15" x14ac:dyDescent="0.25">
      <c r="A3615" s="3" t="str">
        <f>HYPERLINK("proteomic_fractions_linear_files/Yang_linear_img/31981980.jpg", "31981980")</f>
        <v>31981980</v>
      </c>
      <c r="C3615" s="3" t="str">
        <f>HYPERLINK("http://www.ncbi.nlm.nih.gov/protein/31981980","Ints9")</f>
        <v>Ints9</v>
      </c>
      <c r="E3615" t="str">
        <f>HYPERLINK("J:\Depot - mpkCCD Fractions\Main Web Page\Web Pages_old\proteomic_fractions_linear_files/Yang_linear_img/31981980.jpg","show blot")</f>
        <v>show blot</v>
      </c>
      <c r="G3615" t="s">
        <v>3479</v>
      </c>
      <c r="I3615" s="6">
        <v>3.5602059581397132</v>
      </c>
      <c r="K3615" s="8"/>
    </row>
    <row r="3616" spans="1:11" ht="15" x14ac:dyDescent="0.25">
      <c r="A3616" s="3" t="str">
        <f>HYPERLINK("proteomic_fractions_linear_files/Yang_linear_img/359279877.jpg", "359279877")</f>
        <v>359279877</v>
      </c>
      <c r="C3616" s="3" t="str">
        <f>HYPERLINK("http://www.ncbi.nlm.nih.gov/protein/359279877","Ints9")</f>
        <v>Ints9</v>
      </c>
      <c r="E3616" t="str">
        <f>HYPERLINK("J:\Depot - mpkCCD Fractions\Main Web Page\Web Pages_old\proteomic_fractions_linear_files/Yang_linear_img/359279877.jpg","show blot")</f>
        <v>show blot</v>
      </c>
      <c r="G3616" t="s">
        <v>3480</v>
      </c>
      <c r="I3616" s="6">
        <v>3.5602059581397132</v>
      </c>
      <c r="K3616" s="8"/>
    </row>
    <row r="3617" spans="1:11" ht="15" x14ac:dyDescent="0.25">
      <c r="A3617" s="3" t="str">
        <f>HYPERLINK("proteomic_fractions_linear_files/Yang_linear_img/111120342.jpg", "111120342")</f>
        <v>111120342</v>
      </c>
      <c r="C3617" s="3" t="str">
        <f>HYPERLINK("http://www.ncbi.nlm.nih.gov/protein/111120342","Invs")</f>
        <v>Invs</v>
      </c>
      <c r="E3617" t="str">
        <f>HYPERLINK("J:\Depot - mpkCCD Fractions\Main Web Page\Web Pages_old\proteomic_fractions_linear_files/Yang_linear_img/111120342.jpg","show blot")</f>
        <v>show blot</v>
      </c>
      <c r="G3617" t="s">
        <v>3481</v>
      </c>
      <c r="I3617" s="6">
        <v>3.6727506915221055</v>
      </c>
      <c r="K3617" s="8"/>
    </row>
    <row r="3618" spans="1:11" ht="15" x14ac:dyDescent="0.25">
      <c r="A3618" s="3" t="str">
        <f>HYPERLINK("proteomic_fractions_linear_files/Yang_linear_img/31541898.jpg", "31541898")</f>
        <v>31541898</v>
      </c>
      <c r="C3618" s="3" t="str">
        <f>HYPERLINK("http://www.ncbi.nlm.nih.gov/protein/31541898","Ipo11")</f>
        <v>Ipo11</v>
      </c>
      <c r="E3618" t="str">
        <f>HYPERLINK("J:\Depot - mpkCCD Fractions\Main Web Page\Web Pages_old\proteomic_fractions_linear_files/Yang_linear_img/31541898.jpg","show blot")</f>
        <v>show blot</v>
      </c>
      <c r="G3618" t="s">
        <v>3482</v>
      </c>
      <c r="I3618" s="6">
        <v>4.0883002667181714</v>
      </c>
      <c r="K3618" s="8"/>
    </row>
    <row r="3619" spans="1:11" ht="15" x14ac:dyDescent="0.25">
      <c r="A3619" s="3" t="str">
        <f>HYPERLINK("proteomic_fractions_linear_files/Yang_linear_img/19745156.jpg", "19745156")</f>
        <v>19745156</v>
      </c>
      <c r="C3619" s="3" t="str">
        <f>HYPERLINK("http://www.ncbi.nlm.nih.gov/protein/19745156","Ipo4")</f>
        <v>Ipo4</v>
      </c>
      <c r="E3619" t="str">
        <f>HYPERLINK("J:\Depot - mpkCCD Fractions\Main Web Page\Web Pages_old\proteomic_fractions_linear_files/Yang_linear_img/19745156.jpg","show blot")</f>
        <v>show blot</v>
      </c>
      <c r="G3619" t="s">
        <v>3483</v>
      </c>
      <c r="I3619" s="6">
        <v>5.0503942043851682</v>
      </c>
      <c r="K3619" s="8"/>
    </row>
    <row r="3620" spans="1:11" ht="15" x14ac:dyDescent="0.25">
      <c r="A3620" s="3" t="str">
        <f>HYPERLINK("proteomic_fractions_linear_files/Yang_linear_img/29789199.jpg", "29789199")</f>
        <v>29789199</v>
      </c>
      <c r="C3620" s="3" t="str">
        <f>HYPERLINK("http://www.ncbi.nlm.nih.gov/protein/29789199","Ipo5")</f>
        <v>Ipo5</v>
      </c>
      <c r="E3620" t="str">
        <f>HYPERLINK("J:\Depot - mpkCCD Fractions\Main Web Page\Web Pages_old\proteomic_fractions_linear_files/Yang_linear_img/29789199.jpg","show blot")</f>
        <v>show blot</v>
      </c>
      <c r="G3620" t="s">
        <v>3484</v>
      </c>
      <c r="I3620" s="6">
        <v>5.6914039316373977</v>
      </c>
      <c r="K3620" s="8"/>
    </row>
    <row r="3621" spans="1:11" ht="15" x14ac:dyDescent="0.25">
      <c r="A3621" s="3" t="str">
        <f>HYPERLINK("proteomic_fractions_linear_files/Yang_linear_img/74229034.jpg", "74229034")</f>
        <v>74229034</v>
      </c>
      <c r="C3621" s="3" t="str">
        <f>HYPERLINK("http://www.ncbi.nlm.nih.gov/protein/74229034","Ipo7")</f>
        <v>Ipo7</v>
      </c>
      <c r="E3621" t="str">
        <f>HYPERLINK("J:\Depot - mpkCCD Fractions\Main Web Page\Web Pages_old\proteomic_fractions_linear_files/Yang_linear_img/74229034.jpg","show blot")</f>
        <v>show blot</v>
      </c>
      <c r="G3621" t="s">
        <v>3485</v>
      </c>
      <c r="I3621" s="6">
        <v>5.1665999434932584</v>
      </c>
      <c r="K3621" s="8"/>
    </row>
    <row r="3622" spans="1:11" ht="15" x14ac:dyDescent="0.25">
      <c r="A3622" s="3" t="str">
        <f>HYPERLINK("proteomic_fractions_linear_files/Yang_linear_img/124487445.jpg", "124487445")</f>
        <v>124487445</v>
      </c>
      <c r="C3622" s="3" t="str">
        <f>HYPERLINK("http://www.ncbi.nlm.nih.gov/protein/124487445","Ipo8")</f>
        <v>Ipo8</v>
      </c>
      <c r="E3622" t="str">
        <f>HYPERLINK("J:\Depot - mpkCCD Fractions\Main Web Page\Web Pages_old\proteomic_fractions_linear_files/Yang_linear_img/124487445.jpg","show blot")</f>
        <v>show blot</v>
      </c>
      <c r="G3622" t="s">
        <v>3486</v>
      </c>
      <c r="I3622" s="6">
        <v>3.9406651624118396</v>
      </c>
      <c r="K3622" s="8"/>
    </row>
    <row r="3623" spans="1:11" ht="15" x14ac:dyDescent="0.25">
      <c r="A3623" s="3" t="str">
        <f>HYPERLINK("proteomic_fractions_linear_files/Yang_linear_img/112734861.jpg", "112734861")</f>
        <v>112734861</v>
      </c>
      <c r="C3623" s="3" t="str">
        <f>HYPERLINK("http://www.ncbi.nlm.nih.gov/protein/112734861","Ipo9")</f>
        <v>Ipo9</v>
      </c>
      <c r="E3623" t="str">
        <f>HYPERLINK("J:\Depot - mpkCCD Fractions\Main Web Page\Web Pages_old\proteomic_fractions_linear_files/Yang_linear_img/112734861.jpg","show blot")</f>
        <v>show blot</v>
      </c>
      <c r="G3623" t="s">
        <v>3487</v>
      </c>
      <c r="I3623" s="6">
        <v>5.1846018471051778</v>
      </c>
      <c r="K3623" s="8"/>
    </row>
    <row r="3624" spans="1:11" ht="15" x14ac:dyDescent="0.25">
      <c r="A3624" s="3" t="str">
        <f>HYPERLINK("proteomic_fractions_linear_files/Yang_linear_img/242332572.jpg", "242332572")</f>
        <v>242332572</v>
      </c>
      <c r="C3624" s="3" t="str">
        <f>HYPERLINK("http://www.ncbi.nlm.nih.gov/protein/242332572","Iqgap1")</f>
        <v>Iqgap1</v>
      </c>
      <c r="E3624" t="str">
        <f>HYPERLINK("J:\Depot - mpkCCD Fractions\Main Web Page\Web Pages_old\proteomic_fractions_linear_files/Yang_linear_img/242332572.jpg","show blot")</f>
        <v>show blot</v>
      </c>
      <c r="G3624" t="s">
        <v>3488</v>
      </c>
      <c r="I3624" s="6">
        <v>6.3742277716796414</v>
      </c>
      <c r="K3624" s="8"/>
    </row>
    <row r="3625" spans="1:11" ht="15" x14ac:dyDescent="0.25">
      <c r="A3625" s="3" t="str">
        <f>HYPERLINK("proteomic_fractions_linear_files/Yang_linear_img/118344444.jpg", "118344444")</f>
        <v>118344444</v>
      </c>
      <c r="C3625" s="3" t="str">
        <f>HYPERLINK("http://www.ncbi.nlm.nih.gov/protein/118344444","Iqgap2")</f>
        <v>Iqgap2</v>
      </c>
      <c r="E3625" t="str">
        <f>HYPERLINK("J:\Depot - mpkCCD Fractions\Main Web Page\Web Pages_old\proteomic_fractions_linear_files/Yang_linear_img/118344444.jpg","show blot")</f>
        <v>show blot</v>
      </c>
      <c r="G3625" t="s">
        <v>3489</v>
      </c>
      <c r="I3625" s="6">
        <v>5.1339932354588846</v>
      </c>
      <c r="K3625" s="8"/>
    </row>
    <row r="3626" spans="1:11" ht="15" x14ac:dyDescent="0.25">
      <c r="A3626" s="3" t="str">
        <f>HYPERLINK("proteomic_fractions_linear_files/Yang_linear_img/118344446.jpg", "118344446")</f>
        <v>118344446</v>
      </c>
      <c r="C3626" s="3" t="str">
        <f>HYPERLINK("http://www.ncbi.nlm.nih.gov/protein/118344446","Iqgap3")</f>
        <v>Iqgap3</v>
      </c>
      <c r="E3626" t="str">
        <f>HYPERLINK("J:\Depot - mpkCCD Fractions\Main Web Page\Web Pages_old\proteomic_fractions_linear_files/Yang_linear_img/118344446.jpg","show blot")</f>
        <v>show blot</v>
      </c>
      <c r="G3626" t="s">
        <v>3490</v>
      </c>
      <c r="I3626" s="6">
        <v>4.7700214490700965</v>
      </c>
      <c r="K3626" s="8"/>
    </row>
    <row r="3627" spans="1:11" ht="15" x14ac:dyDescent="0.25">
      <c r="A3627" s="3" t="str">
        <f>HYPERLINK("proteomic_fractions_linear_files/Yang_linear_img/23943898.jpg", "23943898")</f>
        <v>23943898</v>
      </c>
      <c r="C3627" s="3" t="str">
        <f>HYPERLINK("http://www.ncbi.nlm.nih.gov/protein/23943898","Irak4")</f>
        <v>Irak4</v>
      </c>
      <c r="E3627" t="str">
        <f>HYPERLINK("J:\Depot - mpkCCD Fractions\Main Web Page\Web Pages_old\proteomic_fractions_linear_files/Yang_linear_img/23943898.jpg","show blot")</f>
        <v>show blot</v>
      </c>
      <c r="G3627" t="s">
        <v>3491</v>
      </c>
      <c r="I3627" s="6">
        <v>4.1555428960025917</v>
      </c>
      <c r="K3627" s="8"/>
    </row>
    <row r="3628" spans="1:11" ht="15" x14ac:dyDescent="0.25">
      <c r="A3628" s="3" t="str">
        <f>HYPERLINK("proteomic_fractions_linear_files/Yang_linear_img/254281215.jpg", "254281215")</f>
        <v>254281215</v>
      </c>
      <c r="C3628" s="3" t="str">
        <f>HYPERLINK("http://www.ncbi.nlm.nih.gov/protein/254281215","Ireb2")</f>
        <v>Ireb2</v>
      </c>
      <c r="E3628" t="str">
        <f>HYPERLINK("J:\Depot - mpkCCD Fractions\Main Web Page\Web Pages_old\proteomic_fractions_linear_files/Yang_linear_img/254281215.jpg","show blot")</f>
        <v>show blot</v>
      </c>
      <c r="G3628" t="s">
        <v>3492</v>
      </c>
      <c r="I3628" s="6">
        <v>4.3697484105752658</v>
      </c>
      <c r="K3628" s="8"/>
    </row>
    <row r="3629" spans="1:11" ht="15" x14ac:dyDescent="0.25">
      <c r="A3629" s="3" t="str">
        <f>HYPERLINK("proteomic_fractions_linear_files/Yang_linear_img/31982348.jpg", "31982348")</f>
        <v>31982348</v>
      </c>
      <c r="C3629" s="3" t="str">
        <f>HYPERLINK("http://www.ncbi.nlm.nih.gov/protein/31982348","Irf2bp1")</f>
        <v>Irf2bp1</v>
      </c>
      <c r="E3629" t="str">
        <f>HYPERLINK("J:\Depot - mpkCCD Fractions\Main Web Page\Web Pages_old\proteomic_fractions_linear_files/Yang_linear_img/31982348.jpg","show blot")</f>
        <v>show blot</v>
      </c>
      <c r="G3629" t="s">
        <v>3493</v>
      </c>
      <c r="I3629" s="6">
        <v>4.239912506111172</v>
      </c>
      <c r="K3629" s="8"/>
    </row>
    <row r="3630" spans="1:11" ht="15" x14ac:dyDescent="0.25">
      <c r="A3630" s="3" t="str">
        <f>HYPERLINK("proteomic_fractions_linear_files/Yang_linear_img/257196179.jpg", "257196179")</f>
        <v>257196179</v>
      </c>
      <c r="C3630" s="3" t="str">
        <f>HYPERLINK("http://www.ncbi.nlm.nih.gov/protein/257196179","Irf2bp2")</f>
        <v>Irf2bp2</v>
      </c>
      <c r="E3630" t="str">
        <f>HYPERLINK("J:\Depot - mpkCCD Fractions\Main Web Page\Web Pages_old\proteomic_fractions_linear_files/Yang_linear_img/257196179.jpg","show blot")</f>
        <v>show blot</v>
      </c>
      <c r="G3630" t="s">
        <v>3494</v>
      </c>
      <c r="I3630" s="6">
        <v>4.3618234609091155</v>
      </c>
      <c r="K3630" s="8"/>
    </row>
    <row r="3631" spans="1:11" ht="15" x14ac:dyDescent="0.25">
      <c r="A3631" s="3" t="str">
        <f>HYPERLINK("proteomic_fractions_linear_files/Yang_linear_img/22003884.jpg", "22003884")</f>
        <v>22003884</v>
      </c>
      <c r="C3631" s="3" t="str">
        <f>HYPERLINK("http://www.ncbi.nlm.nih.gov/protein/22003884","Irf2bpl")</f>
        <v>Irf2bpl</v>
      </c>
      <c r="E3631" t="str">
        <f>HYPERLINK("J:\Depot - mpkCCD Fractions\Main Web Page\Web Pages_old\proteomic_fractions_linear_files/Yang_linear_img/22003884.jpg","show blot")</f>
        <v>show blot</v>
      </c>
      <c r="G3631" t="s">
        <v>3495</v>
      </c>
      <c r="I3631" s="6">
        <v>5.2226796179935828</v>
      </c>
      <c r="K3631" s="8"/>
    </row>
    <row r="3632" spans="1:11" ht="15" x14ac:dyDescent="0.25">
      <c r="A3632" s="3" t="str">
        <f>HYPERLINK("proteomic_fractions_linear_files/Yang_linear_img/8393627.jpg", "8393627")</f>
        <v>8393627</v>
      </c>
      <c r="C3632" s="3" t="str">
        <f>HYPERLINK("http://www.ncbi.nlm.nih.gov/protein/8393627","Irf3")</f>
        <v>Irf3</v>
      </c>
      <c r="E3632" t="str">
        <f>HYPERLINK("J:\Depot - mpkCCD Fractions\Main Web Page\Web Pages_old\proteomic_fractions_linear_files/Yang_linear_img/8393627.jpg","show blot")</f>
        <v>show blot</v>
      </c>
      <c r="G3632" t="s">
        <v>3496</v>
      </c>
      <c r="I3632" s="6">
        <v>4.2131744900520358</v>
      </c>
      <c r="K3632" s="8"/>
    </row>
    <row r="3633" spans="1:11" ht="15" x14ac:dyDescent="0.25">
      <c r="A3633" s="3" t="str">
        <f>HYPERLINK("proteomic_fractions_linear_files/Yang_linear_img/114145467.jpg", "114145467")</f>
        <v>114145467</v>
      </c>
      <c r="C3633" s="3" t="str">
        <f>HYPERLINK("http://www.ncbi.nlm.nih.gov/protein/114145467","Irf6")</f>
        <v>Irf6</v>
      </c>
      <c r="E3633" t="str">
        <f>HYPERLINK("J:\Depot - mpkCCD Fractions\Main Web Page\Web Pages_old\proteomic_fractions_linear_files/Yang_linear_img/114145467.jpg","show blot")</f>
        <v>show blot</v>
      </c>
      <c r="G3633" t="s">
        <v>3497</v>
      </c>
      <c r="I3633" s="6">
        <v>4.7416592921354317</v>
      </c>
      <c r="K3633" s="8"/>
    </row>
    <row r="3634" spans="1:11" ht="15" x14ac:dyDescent="0.25">
      <c r="A3634" s="3" t="str">
        <f>HYPERLINK("proteomic_fractions_linear_files/Yang_linear_img/134031980.jpg", "134031980")</f>
        <v>134031980</v>
      </c>
      <c r="C3634" s="3" t="str">
        <f>HYPERLINK("http://www.ncbi.nlm.nih.gov/protein/134031980","Irgc1")</f>
        <v>Irgc1</v>
      </c>
      <c r="E3634" t="str">
        <f>HYPERLINK("J:\Depot - mpkCCD Fractions\Main Web Page\Web Pages_old\proteomic_fractions_linear_files/Yang_linear_img/134031980.jpg","show blot")</f>
        <v>show blot</v>
      </c>
      <c r="G3634" t="s">
        <v>3498</v>
      </c>
      <c r="I3634" s="6">
        <v>3.234441351266335</v>
      </c>
      <c r="K3634" s="8"/>
    </row>
    <row r="3635" spans="1:11" ht="15" x14ac:dyDescent="0.25">
      <c r="A3635" s="3" t="str">
        <f>HYPERLINK("proteomic_fractions_linear_files/Yang_linear_img/6680351.jpg", "6680351")</f>
        <v>6680351</v>
      </c>
      <c r="C3635" s="3" t="str">
        <f>HYPERLINK("http://www.ncbi.nlm.nih.gov/protein/6680351","Irgm1")</f>
        <v>Irgm1</v>
      </c>
      <c r="E3635" t="str">
        <f>HYPERLINK("J:\Depot - mpkCCD Fractions\Main Web Page\Web Pages_old\proteomic_fractions_linear_files/Yang_linear_img/6680351.jpg","show blot")</f>
        <v>show blot</v>
      </c>
      <c r="G3635" t="s">
        <v>3499</v>
      </c>
      <c r="I3635" s="6">
        <v>4.6432504186903936</v>
      </c>
      <c r="K3635" s="8"/>
    </row>
    <row r="3636" spans="1:11" ht="15" x14ac:dyDescent="0.25">
      <c r="A3636" s="3" t="str">
        <f>HYPERLINK("proteomic_fractions_linear_files/Yang_linear_img/208431800.jpg", "208431800")</f>
        <v>208431800</v>
      </c>
      <c r="C3636" s="3" t="str">
        <f>HYPERLINK("http://www.ncbi.nlm.nih.gov/protein/208431800","Irgq")</f>
        <v>Irgq</v>
      </c>
      <c r="E3636" t="str">
        <f>HYPERLINK("J:\Depot - mpkCCD Fractions\Main Web Page\Web Pages_old\proteomic_fractions_linear_files/Yang_linear_img/208431800.jpg","show blot")</f>
        <v>show blot</v>
      </c>
      <c r="G3636" t="s">
        <v>3500</v>
      </c>
      <c r="I3636" s="6">
        <v>4.2745750693996101</v>
      </c>
      <c r="K3636" s="8"/>
    </row>
    <row r="3637" spans="1:11" ht="15" x14ac:dyDescent="0.25">
      <c r="A3637" s="3" t="str">
        <f>HYPERLINK("proteomic_fractions_linear_files/Yang_linear_img/21312189.jpg", "21312189")</f>
        <v>21312189</v>
      </c>
      <c r="C3637" s="3" t="str">
        <f>HYPERLINK("http://www.ncbi.nlm.nih.gov/protein/21312189","Isca1")</f>
        <v>Isca1</v>
      </c>
      <c r="E3637" t="str">
        <f>HYPERLINK("J:\Depot - mpkCCD Fractions\Main Web Page\Web Pages_old\proteomic_fractions_linear_files/Yang_linear_img/21312189.jpg","show blot")</f>
        <v>show blot</v>
      </c>
      <c r="G3637" t="s">
        <v>3501</v>
      </c>
      <c r="I3637" s="6">
        <v>4.036109129637194</v>
      </c>
      <c r="K3637" s="8"/>
    </row>
    <row r="3638" spans="1:11" ht="15" x14ac:dyDescent="0.25">
      <c r="A3638" s="3" t="str">
        <f>HYPERLINK("proteomic_fractions_linear_files/Yang_linear_img/254039596.jpg", "254039596")</f>
        <v>254039596</v>
      </c>
      <c r="C3638" s="3" t="str">
        <f>HYPERLINK("http://www.ncbi.nlm.nih.gov/protein/254039596","Isca2")</f>
        <v>Isca2</v>
      </c>
      <c r="E3638" t="str">
        <f>HYPERLINK("J:\Depot - mpkCCD Fractions\Main Web Page\Web Pages_old\proteomic_fractions_linear_files/Yang_linear_img/254039596.jpg","show blot")</f>
        <v>show blot</v>
      </c>
      <c r="G3638" t="s">
        <v>3502</v>
      </c>
      <c r="I3638" s="6">
        <v>5.1355327437864595</v>
      </c>
      <c r="K3638" s="8"/>
    </row>
    <row r="3639" spans="1:11" ht="15" x14ac:dyDescent="0.25">
      <c r="A3639" s="3" t="str">
        <f>HYPERLINK("proteomic_fractions_linear_files/Yang_linear_img/21313484.jpg", "21313484")</f>
        <v>21313484</v>
      </c>
      <c r="C3639" s="3" t="str">
        <f>HYPERLINK("http://www.ncbi.nlm.nih.gov/protein/21313484","Iscu")</f>
        <v>Iscu</v>
      </c>
      <c r="E3639" t="str">
        <f>HYPERLINK("J:\Depot - mpkCCD Fractions\Main Web Page\Web Pages_old\proteomic_fractions_linear_files/Yang_linear_img/21313484.jpg","show blot")</f>
        <v>show blot</v>
      </c>
      <c r="G3639" t="s">
        <v>3503</v>
      </c>
      <c r="I3639" s="6">
        <v>4.7694695260960662</v>
      </c>
      <c r="K3639" s="8"/>
    </row>
    <row r="3640" spans="1:11" ht="15" x14ac:dyDescent="0.25">
      <c r="A3640" s="3" t="str">
        <f>HYPERLINK("proteomic_fractions_linear_files/Yang_linear_img/226874851.jpg", "226874851")</f>
        <v>226874851</v>
      </c>
      <c r="C3640" s="3" t="str">
        <f>HYPERLINK("http://www.ncbi.nlm.nih.gov/protein/226874851","Isg15")</f>
        <v>Isg15</v>
      </c>
      <c r="E3640" t="str">
        <f>HYPERLINK("J:\Depot - mpkCCD Fractions\Main Web Page\Web Pages_old\proteomic_fractions_linear_files/Yang_linear_img/226874851.jpg","show blot")</f>
        <v>show blot</v>
      </c>
      <c r="G3640" t="s">
        <v>3504</v>
      </c>
      <c r="I3640" s="6">
        <v>4.7450875873163723</v>
      </c>
      <c r="K3640" s="8"/>
    </row>
    <row r="3641" spans="1:11" ht="15" x14ac:dyDescent="0.25">
      <c r="A3641" s="3" t="str">
        <f>HYPERLINK("proteomic_fractions_linear_files/Yang_linear_img/15805028.jpg", "15805028")</f>
        <v>15805028</v>
      </c>
      <c r="C3641" s="3" t="str">
        <f>HYPERLINK("http://www.ncbi.nlm.nih.gov/protein/15805028","Isg20")</f>
        <v>Isg20</v>
      </c>
      <c r="E3641" t="str">
        <f>HYPERLINK("J:\Depot - mpkCCD Fractions\Main Web Page\Web Pages_old\proteomic_fractions_linear_files/Yang_linear_img/15805028.jpg","show blot")</f>
        <v>show blot</v>
      </c>
      <c r="G3641" t="s">
        <v>3505</v>
      </c>
      <c r="I3641" s="6">
        <v>4.4234778045530936</v>
      </c>
      <c r="K3641" s="8"/>
    </row>
    <row r="3642" spans="1:11" ht="15" x14ac:dyDescent="0.25">
      <c r="A3642" s="3" t="str">
        <f>HYPERLINK("proteomic_fractions_linear_files/Yang_linear_img/29244084.jpg", "29244084")</f>
        <v>29244084</v>
      </c>
      <c r="C3642" s="3" t="str">
        <f>HYPERLINK("http://www.ncbi.nlm.nih.gov/protein/29244084","Isg20l2")</f>
        <v>Isg20l2</v>
      </c>
      <c r="E3642" t="str">
        <f>HYPERLINK("J:\Depot - mpkCCD Fractions\Main Web Page\Web Pages_old\proteomic_fractions_linear_files/Yang_linear_img/29244084.jpg","show blot")</f>
        <v>show blot</v>
      </c>
      <c r="G3642" t="s">
        <v>3506</v>
      </c>
      <c r="I3642" s="6">
        <v>3.4910950898357815</v>
      </c>
      <c r="K3642" s="8"/>
    </row>
    <row r="3643" spans="1:11" ht="15" x14ac:dyDescent="0.25">
      <c r="A3643" s="3" t="str">
        <f>HYPERLINK("proteomic_fractions_linear_files/Yang_linear_img/31541909.jpg", "31541909")</f>
        <v>31541909</v>
      </c>
      <c r="C3643" s="3" t="str">
        <f>HYPERLINK("http://www.ncbi.nlm.nih.gov/protein/31541909","Isoc1")</f>
        <v>Isoc1</v>
      </c>
      <c r="E3643" t="str">
        <f>HYPERLINK("J:\Depot - mpkCCD Fractions\Main Web Page\Web Pages_old\proteomic_fractions_linear_files/Yang_linear_img/31541909.jpg","show blot")</f>
        <v>show blot</v>
      </c>
      <c r="G3643" t="s">
        <v>3507</v>
      </c>
      <c r="I3643" s="6">
        <v>5.0685998834810144</v>
      </c>
      <c r="K3643" s="8"/>
    </row>
    <row r="3644" spans="1:11" ht="15" x14ac:dyDescent="0.25">
      <c r="A3644" s="3" t="str">
        <f>HYPERLINK("proteomic_fractions_linear_files/Yang_linear_img/197333728.jpg", "197333728")</f>
        <v>197333728</v>
      </c>
      <c r="C3644" s="3" t="str">
        <f>HYPERLINK("http://www.ncbi.nlm.nih.gov/protein/197333728","Isoc2a")</f>
        <v>Isoc2a</v>
      </c>
      <c r="E3644" t="str">
        <f>HYPERLINK("J:\Depot - mpkCCD Fractions\Main Web Page\Web Pages_old\proteomic_fractions_linear_files/Yang_linear_img/197333728.jpg","show blot")</f>
        <v>show blot</v>
      </c>
      <c r="G3644" t="s">
        <v>3508</v>
      </c>
      <c r="I3644" s="6">
        <v>4.4545470375497667</v>
      </c>
      <c r="K3644" s="8"/>
    </row>
    <row r="3645" spans="1:11" ht="15" x14ac:dyDescent="0.25">
      <c r="A3645" s="3" t="str">
        <f>HYPERLINK("proteomic_fractions_linear_files/Yang_linear_img/21312626.jpg", "21312626")</f>
        <v>21312626</v>
      </c>
      <c r="C3645" s="3" t="str">
        <f>HYPERLINK("http://www.ncbi.nlm.nih.gov/protein/21312626","Ist1")</f>
        <v>Ist1</v>
      </c>
      <c r="E3645" t="str">
        <f>HYPERLINK("J:\Depot - mpkCCD Fractions\Main Web Page\Web Pages_old\proteomic_fractions_linear_files/Yang_linear_img/21312626.jpg","show blot")</f>
        <v>show blot</v>
      </c>
      <c r="G3645" t="s">
        <v>3509</v>
      </c>
      <c r="I3645" s="6">
        <v>5.4084884726122553</v>
      </c>
      <c r="K3645" s="8"/>
    </row>
    <row r="3646" spans="1:11" ht="15" x14ac:dyDescent="0.25">
      <c r="A3646" s="3" t="str">
        <f>HYPERLINK("proteomic_fractions_linear_files/Yang_linear_img/20149316.jpg", "20149316")</f>
        <v>20149316</v>
      </c>
      <c r="C3646" s="3" t="str">
        <f>HYPERLINK("http://www.ncbi.nlm.nih.gov/protein/20149316","Isy1")</f>
        <v>Isy1</v>
      </c>
      <c r="E3646" t="str">
        <f>HYPERLINK("J:\Depot - mpkCCD Fractions\Main Web Page\Web Pages_old\proteomic_fractions_linear_files/Yang_linear_img/20149316.jpg","show blot")</f>
        <v>show blot</v>
      </c>
      <c r="G3646" t="s">
        <v>3510</v>
      </c>
      <c r="I3646" s="6">
        <v>4.2387627000226367</v>
      </c>
      <c r="K3646" s="8"/>
    </row>
    <row r="3647" spans="1:11" ht="15" x14ac:dyDescent="0.25">
      <c r="A3647" s="3" t="str">
        <f>HYPERLINK("proteomic_fractions_linear_files/Yang_linear_img/12963757.jpg", "12963757")</f>
        <v>12963757</v>
      </c>
      <c r="C3647" s="3" t="str">
        <f>HYPERLINK("http://www.ncbi.nlm.nih.gov/protein/12963757","Isyna1")</f>
        <v>Isyna1</v>
      </c>
      <c r="E3647" t="str">
        <f>HYPERLINK("J:\Depot - mpkCCD Fractions\Main Web Page\Web Pages_old\proteomic_fractions_linear_files/Yang_linear_img/12963757.jpg","show blot")</f>
        <v>show blot</v>
      </c>
      <c r="G3647" t="s">
        <v>3511</v>
      </c>
      <c r="I3647" s="6">
        <v>5.6355076297680275</v>
      </c>
      <c r="K3647" s="8"/>
    </row>
    <row r="3648" spans="1:11" ht="15" x14ac:dyDescent="0.25">
      <c r="A3648" s="3" t="str">
        <f>HYPERLINK("proteomic_fractions_linear_files/Yang_linear_img/343962614;124487317.jpg", "343962614;124487317")</f>
        <v>343962614;124487317</v>
      </c>
      <c r="C3648" s="3" t="str">
        <f>HYPERLINK("http://www.ncbi.nlm.nih.gov/protein/343962614;124487317","Itch")</f>
        <v>Itch</v>
      </c>
      <c r="E3648" t="str">
        <f>HYPERLINK("J:\Depot - mpkCCD Fractions\Main Web Page\Web Pages_old\proteomic_fractions_linear_files/Yang_linear_img/343962614;124487317.jpg","show blot")</f>
        <v>show blot</v>
      </c>
      <c r="G3648" t="s">
        <v>3512</v>
      </c>
      <c r="I3648" s="6">
        <v>3.8129390018690525</v>
      </c>
      <c r="K3648" s="8"/>
    </row>
    <row r="3649" spans="1:11" ht="15" x14ac:dyDescent="0.25">
      <c r="A3649" s="3" t="str">
        <f>HYPERLINK("proteomic_fractions_linear_files/Yang_linear_img/124487317.jpg", "124487317")</f>
        <v>124487317</v>
      </c>
      <c r="C3649" s="3" t="str">
        <f>HYPERLINK("http://www.ncbi.nlm.nih.gov/protein/124487317","Itch")</f>
        <v>Itch</v>
      </c>
      <c r="E3649" t="str">
        <f>HYPERLINK("J:\Depot - mpkCCD Fractions\Main Web Page\Web Pages_old\proteomic_fractions_linear_files/Yang_linear_img/124487317.jpg","show blot")</f>
        <v>show blot</v>
      </c>
      <c r="G3649" t="s">
        <v>3512</v>
      </c>
      <c r="I3649" s="6">
        <v>3.8129390018690525</v>
      </c>
      <c r="K3649" s="8"/>
    </row>
    <row r="3650" spans="1:11" ht="15" x14ac:dyDescent="0.25">
      <c r="A3650" s="3" t="str">
        <f>HYPERLINK("proteomic_fractions_linear_files/Yang_linear_img/268839462.jpg", "268839462")</f>
        <v>268839462</v>
      </c>
      <c r="C3650" s="3" t="str">
        <f>HYPERLINK("http://www.ncbi.nlm.nih.gov/protein/268839462","Itfg1")</f>
        <v>Itfg1</v>
      </c>
      <c r="E3650" t="str">
        <f>HYPERLINK("J:\Depot - mpkCCD Fractions\Main Web Page\Web Pages_old\proteomic_fractions_linear_files/Yang_linear_img/268839462.jpg","show blot")</f>
        <v>show blot</v>
      </c>
      <c r="G3650" t="s">
        <v>3513</v>
      </c>
      <c r="I3650" s="6">
        <v>3.9069299074198449</v>
      </c>
      <c r="K3650" s="8"/>
    </row>
    <row r="3651" spans="1:11" ht="15" x14ac:dyDescent="0.25">
      <c r="A3651" s="3" t="str">
        <f>HYPERLINK("proteomic_fractions_linear_files/Yang_linear_img/19527142.jpg", "19527142")</f>
        <v>19527142</v>
      </c>
      <c r="C3651" s="3" t="str">
        <f>HYPERLINK("http://www.ncbi.nlm.nih.gov/protein/19527142","Itfg2")</f>
        <v>Itfg2</v>
      </c>
      <c r="E3651" t="str">
        <f>HYPERLINK("J:\Depot - mpkCCD Fractions\Main Web Page\Web Pages_old\proteomic_fractions_linear_files/Yang_linear_img/19527142.jpg","show blot")</f>
        <v>show blot</v>
      </c>
      <c r="G3651" t="s">
        <v>3514</v>
      </c>
      <c r="I3651" s="6">
        <v>2.4696116529409169</v>
      </c>
      <c r="K3651" s="8"/>
    </row>
    <row r="3652" spans="1:11" ht="15" x14ac:dyDescent="0.25">
      <c r="A3652" s="3" t="str">
        <f>HYPERLINK("proteomic_fractions_linear_files/Yang_linear_img/46402185.jpg", "46402185")</f>
        <v>46402185</v>
      </c>
      <c r="C3652" s="3" t="str">
        <f>HYPERLINK("http://www.ncbi.nlm.nih.gov/protein/46402185","Itfg3")</f>
        <v>Itfg3</v>
      </c>
      <c r="E3652" t="str">
        <f>HYPERLINK("J:\Depot - mpkCCD Fractions\Main Web Page\Web Pages_old\proteomic_fractions_linear_files/Yang_linear_img/46402185.jpg","show blot")</f>
        <v>show blot</v>
      </c>
      <c r="G3652" t="s">
        <v>3515</v>
      </c>
      <c r="I3652" s="6">
        <v>4.4324836657817199</v>
      </c>
      <c r="K3652" s="8"/>
    </row>
    <row r="3653" spans="1:11" ht="15" x14ac:dyDescent="0.25">
      <c r="A3653" s="3" t="str">
        <f>HYPERLINK("proteomic_fractions_linear_files/Yang_linear_img/153791389.jpg", "153791389")</f>
        <v>153791389</v>
      </c>
      <c r="C3653" s="3" t="str">
        <f>HYPERLINK("http://www.ncbi.nlm.nih.gov/protein/153791389","Itga1")</f>
        <v>Itga1</v>
      </c>
      <c r="E3653" t="str">
        <f>HYPERLINK("J:\Depot - mpkCCD Fractions\Main Web Page\Web Pages_old\proteomic_fractions_linear_files/Yang_linear_img/153791389.jpg","show blot")</f>
        <v>show blot</v>
      </c>
      <c r="G3653" t="s">
        <v>3516</v>
      </c>
      <c r="I3653" s="6">
        <v>3.6869527700625699</v>
      </c>
      <c r="K3653" s="8"/>
    </row>
    <row r="3654" spans="1:11" ht="15" x14ac:dyDescent="0.25">
      <c r="A3654" s="3" t="str">
        <f>HYPERLINK("proteomic_fractions_linear_files/Yang_linear_img/41054731.jpg", "41054731")</f>
        <v>41054731</v>
      </c>
      <c r="C3654" s="3" t="str">
        <f>HYPERLINK("http://www.ncbi.nlm.nih.gov/protein/41054731","Itga2")</f>
        <v>Itga2</v>
      </c>
      <c r="E3654" t="str">
        <f>HYPERLINK("J:\Depot - mpkCCD Fractions\Main Web Page\Web Pages_old\proteomic_fractions_linear_files/Yang_linear_img/41054731.jpg","show blot")</f>
        <v>show blot</v>
      </c>
      <c r="G3654" t="s">
        <v>3517</v>
      </c>
      <c r="I3654" s="6">
        <v>2.9642396239804705</v>
      </c>
      <c r="K3654" s="8"/>
    </row>
    <row r="3655" spans="1:11" ht="15" x14ac:dyDescent="0.25">
      <c r="A3655" s="3" t="str">
        <f>HYPERLINK("proteomic_fractions_linear_files/Yang_linear_img/7305189.jpg", "7305189")</f>
        <v>7305189</v>
      </c>
      <c r="C3655" s="3" t="str">
        <f>HYPERLINK("http://www.ncbi.nlm.nih.gov/protein/7305189","Itga3")</f>
        <v>Itga3</v>
      </c>
      <c r="E3655" t="str">
        <f>HYPERLINK("J:\Depot - mpkCCD Fractions\Main Web Page\Web Pages_old\proteomic_fractions_linear_files/Yang_linear_img/7305189.jpg","show blot")</f>
        <v>show blot</v>
      </c>
      <c r="G3655" t="s">
        <v>3518</v>
      </c>
      <c r="I3655" s="6">
        <v>5.5933041497894003</v>
      </c>
      <c r="K3655" s="8"/>
    </row>
    <row r="3656" spans="1:11" ht="15" x14ac:dyDescent="0.25">
      <c r="A3656" s="3" t="str">
        <f>HYPERLINK("proteomic_fractions_linear_files/Yang_linear_img/225903442.jpg", "225903442")</f>
        <v>225903442</v>
      </c>
      <c r="C3656" s="3" t="str">
        <f>HYPERLINK("http://www.ncbi.nlm.nih.gov/protein/225903442","Itga5")</f>
        <v>Itga5</v>
      </c>
      <c r="E3656" t="str">
        <f>HYPERLINK("J:\Depot - mpkCCD Fractions\Main Web Page\Web Pages_old\proteomic_fractions_linear_files/Yang_linear_img/225903442.jpg","show blot")</f>
        <v>show blot</v>
      </c>
      <c r="G3656" t="s">
        <v>3519</v>
      </c>
      <c r="I3656" s="6">
        <v>3.4610974579971847</v>
      </c>
      <c r="K3656" s="8"/>
    </row>
    <row r="3657" spans="1:11" ht="15" x14ac:dyDescent="0.25">
      <c r="A3657" s="3" t="str">
        <f>HYPERLINK("proteomic_fractions_linear_files/Yang_linear_img/485836844.jpg", "485836844")</f>
        <v>485836844</v>
      </c>
      <c r="C3657" s="3" t="str">
        <f>HYPERLINK("http://www.ncbi.nlm.nih.gov/protein/485836844","Itga6")</f>
        <v>Itga6</v>
      </c>
      <c r="E3657" t="str">
        <f>HYPERLINK("J:\Depot - mpkCCD Fractions\Main Web Page\Web Pages_old\proteomic_fractions_linear_files/Yang_linear_img/485836844.jpg","show blot")</f>
        <v>show blot</v>
      </c>
      <c r="G3657" t="s">
        <v>3520</v>
      </c>
      <c r="I3657" s="6">
        <v>4.8890336169015738</v>
      </c>
      <c r="K3657" s="8"/>
    </row>
    <row r="3658" spans="1:11" ht="15" x14ac:dyDescent="0.25">
      <c r="A3658" s="3" t="str">
        <f>HYPERLINK("proteomic_fractions_linear_files/Yang_linear_img/31982236.jpg", "31982236")</f>
        <v>31982236</v>
      </c>
      <c r="C3658" s="3" t="str">
        <f>HYPERLINK("http://www.ncbi.nlm.nih.gov/protein/31982236","Itga6")</f>
        <v>Itga6</v>
      </c>
      <c r="E3658" t="str">
        <f>HYPERLINK("J:\Depot - mpkCCD Fractions\Main Web Page\Web Pages_old\proteomic_fractions_linear_files/Yang_linear_img/31982236.jpg","show blot")</f>
        <v>show blot</v>
      </c>
      <c r="G3658" t="s">
        <v>3521</v>
      </c>
      <c r="I3658" s="6">
        <v>4.8890336169015738</v>
      </c>
      <c r="K3658" s="8"/>
    </row>
    <row r="3659" spans="1:11" ht="15" x14ac:dyDescent="0.25">
      <c r="A3659" s="3" t="str">
        <f>HYPERLINK("proteomic_fractions_linear_files/Yang_linear_img/294997269.jpg", "294997269")</f>
        <v>294997269</v>
      </c>
      <c r="C3659" s="3" t="str">
        <f>HYPERLINK("http://www.ncbi.nlm.nih.gov/protein/294997269","Itgad")</f>
        <v>Itgad</v>
      </c>
      <c r="E3659" t="str">
        <f>HYPERLINK("J:\Depot - mpkCCD Fractions\Main Web Page\Web Pages_old\proteomic_fractions_linear_files/Yang_linear_img/294997269.jpg","show blot")</f>
        <v>show blot</v>
      </c>
      <c r="G3659" t="s">
        <v>3522</v>
      </c>
      <c r="I3659" s="6">
        <v>4.3017713829939108</v>
      </c>
      <c r="K3659" s="8"/>
    </row>
    <row r="3660" spans="1:11" ht="15" x14ac:dyDescent="0.25">
      <c r="A3660" s="3" t="str">
        <f>HYPERLINK("proteomic_fractions_linear_files/Yang_linear_img/154240716.jpg", "154240716")</f>
        <v>154240716</v>
      </c>
      <c r="C3660" s="3" t="str">
        <f>HYPERLINK("http://www.ncbi.nlm.nih.gov/protein/154240716","Itgav")</f>
        <v>Itgav</v>
      </c>
      <c r="E3660" t="str">
        <f>HYPERLINK("J:\Depot - mpkCCD Fractions\Main Web Page\Web Pages_old\proteomic_fractions_linear_files/Yang_linear_img/154240716.jpg","show blot")</f>
        <v>show blot</v>
      </c>
      <c r="G3660" t="s">
        <v>3523</v>
      </c>
      <c r="I3660" s="6">
        <v>5.1449009990021164</v>
      </c>
      <c r="K3660" s="8"/>
    </row>
    <row r="3661" spans="1:11" ht="15" x14ac:dyDescent="0.25">
      <c r="A3661" s="3" t="str">
        <f>HYPERLINK("proteomic_fractions_linear_files/Yang_linear_img/45504394.jpg", "45504394")</f>
        <v>45504394</v>
      </c>
      <c r="C3661" s="3" t="str">
        <f>HYPERLINK("http://www.ncbi.nlm.nih.gov/protein/45504394","Itgb1")</f>
        <v>Itgb1</v>
      </c>
      <c r="E3661" t="str">
        <f>HYPERLINK("J:\Depot - mpkCCD Fractions\Main Web Page\Web Pages_old\proteomic_fractions_linear_files/Yang_linear_img/45504394.jpg","show blot")</f>
        <v>show blot</v>
      </c>
      <c r="G3661" t="s">
        <v>3524</v>
      </c>
      <c r="I3661" s="6">
        <v>6.0869358314997717</v>
      </c>
      <c r="K3661" s="8"/>
    </row>
    <row r="3662" spans="1:11" ht="15" x14ac:dyDescent="0.25">
      <c r="A3662" s="3" t="str">
        <f>HYPERLINK("proteomic_fractions_linear_files/Yang_linear_img/6680488.jpg", "6680488")</f>
        <v>6680488</v>
      </c>
      <c r="C3662" s="3" t="str">
        <f>HYPERLINK("http://www.ncbi.nlm.nih.gov/protein/6680488","Itgb1bp1")</f>
        <v>Itgb1bp1</v>
      </c>
      <c r="E3662" t="str">
        <f>HYPERLINK("J:\Depot - mpkCCD Fractions\Main Web Page\Web Pages_old\proteomic_fractions_linear_files/Yang_linear_img/6680488.jpg","show blot")</f>
        <v>show blot</v>
      </c>
      <c r="G3662" t="s">
        <v>3525</v>
      </c>
      <c r="I3662" s="6">
        <v>4.0669710689201493</v>
      </c>
      <c r="K3662" s="8"/>
    </row>
    <row r="3663" spans="1:11" ht="15" x14ac:dyDescent="0.25">
      <c r="A3663" s="3" t="str">
        <f>HYPERLINK("proteomic_fractions_linear_files/Yang_linear_img/111607447.jpg", "111607447")</f>
        <v>111607447</v>
      </c>
      <c r="C3663" s="3" t="str">
        <f>HYPERLINK("http://www.ncbi.nlm.nih.gov/protein/111607447","Itgb2")</f>
        <v>Itgb2</v>
      </c>
      <c r="E3663" t="str">
        <f>HYPERLINK("J:\Depot - mpkCCD Fractions\Main Web Page\Web Pages_old\proteomic_fractions_linear_files/Yang_linear_img/111607447.jpg","show blot")</f>
        <v>show blot</v>
      </c>
      <c r="G3663" t="s">
        <v>3526</v>
      </c>
      <c r="I3663" s="6">
        <v>3.2934876897561565</v>
      </c>
      <c r="K3663" s="8"/>
    </row>
    <row r="3664" spans="1:11" ht="15" x14ac:dyDescent="0.25">
      <c r="A3664" s="3" t="str">
        <f>HYPERLINK("proteomic_fractions_linear_files/Yang_linear_img/110735426.jpg", "110735426")</f>
        <v>110735426</v>
      </c>
      <c r="C3664" s="3" t="str">
        <f>HYPERLINK("http://www.ncbi.nlm.nih.gov/protein/110735426","Itgb4")</f>
        <v>Itgb4</v>
      </c>
      <c r="E3664" t="str">
        <f>HYPERLINK("J:\Depot - mpkCCD Fractions\Main Web Page\Web Pages_old\proteomic_fractions_linear_files/Yang_linear_img/110735426.jpg","show blot")</f>
        <v>show blot</v>
      </c>
      <c r="G3664" t="s">
        <v>3527</v>
      </c>
      <c r="I3664" s="6">
        <v>4.3421982463008266</v>
      </c>
      <c r="K3664" s="8"/>
    </row>
    <row r="3665" spans="1:11" ht="15" x14ac:dyDescent="0.25">
      <c r="A3665" s="3" t="str">
        <f>HYPERLINK("proteomic_fractions_linear_files/Yang_linear_img/110735428.jpg", "110735428")</f>
        <v>110735428</v>
      </c>
      <c r="C3665" s="3" t="str">
        <f>HYPERLINK("http://www.ncbi.nlm.nih.gov/protein/110735428","Itgb4")</f>
        <v>Itgb4</v>
      </c>
      <c r="E3665" t="str">
        <f>HYPERLINK("J:\Depot - mpkCCD Fractions\Main Web Page\Web Pages_old\proteomic_fractions_linear_files/Yang_linear_img/110735428.jpg","show blot")</f>
        <v>show blot</v>
      </c>
      <c r="G3665" t="s">
        <v>3528</v>
      </c>
      <c r="I3665" s="6">
        <v>4.3421982463008266</v>
      </c>
      <c r="K3665" s="8"/>
    </row>
    <row r="3666" spans="1:11" ht="15" x14ac:dyDescent="0.25">
      <c r="A3666" s="3" t="str">
        <f>HYPERLINK("proteomic_fractions_linear_files/Yang_linear_img/225007617.jpg", "225007617")</f>
        <v>225007617</v>
      </c>
      <c r="C3666" s="3" t="str">
        <f>HYPERLINK("http://www.ncbi.nlm.nih.gov/protein/225007617","Itgb5")</f>
        <v>Itgb5</v>
      </c>
      <c r="E3666" t="str">
        <f>HYPERLINK("J:\Depot - mpkCCD Fractions\Main Web Page\Web Pages_old\proteomic_fractions_linear_files/Yang_linear_img/225007617.jpg","show blot")</f>
        <v>show blot</v>
      </c>
      <c r="G3666" t="s">
        <v>3529</v>
      </c>
      <c r="I3666" s="6">
        <v>4.3445680083444955</v>
      </c>
      <c r="K3666" s="8"/>
    </row>
    <row r="3667" spans="1:11" ht="15" x14ac:dyDescent="0.25">
      <c r="A3667" s="3" t="str">
        <f>HYPERLINK("proteomic_fractions_linear_files/Yang_linear_img/225007621.jpg", "225007621")</f>
        <v>225007621</v>
      </c>
      <c r="C3667" s="3" t="str">
        <f>HYPERLINK("http://www.ncbi.nlm.nih.gov/protein/225007621","Itgb5")</f>
        <v>Itgb5</v>
      </c>
      <c r="E3667" t="str">
        <f>HYPERLINK("J:\Depot - mpkCCD Fractions\Main Web Page\Web Pages_old\proteomic_fractions_linear_files/Yang_linear_img/225007621.jpg","show blot")</f>
        <v>show blot</v>
      </c>
      <c r="G3667" t="s">
        <v>3530</v>
      </c>
      <c r="I3667" s="6">
        <v>4.3445680083444955</v>
      </c>
      <c r="K3667" s="8"/>
    </row>
    <row r="3668" spans="1:11" ht="15" x14ac:dyDescent="0.25">
      <c r="A3668" s="3" t="str">
        <f>HYPERLINK("proteomic_fractions_linear_files/Yang_linear_img/10946686.jpg", "10946686")</f>
        <v>10946686</v>
      </c>
      <c r="C3668" s="3" t="str">
        <f>HYPERLINK("http://www.ncbi.nlm.nih.gov/protein/10946686","Itgb6")</f>
        <v>Itgb6</v>
      </c>
      <c r="E3668" t="str">
        <f>HYPERLINK("J:\Depot - mpkCCD Fractions\Main Web Page\Web Pages_old\proteomic_fractions_linear_files/Yang_linear_img/10946686.jpg","show blot")</f>
        <v>show blot</v>
      </c>
      <c r="G3668" t="s">
        <v>3531</v>
      </c>
      <c r="I3668" s="6">
        <v>4.3112754820206867</v>
      </c>
      <c r="K3668" s="8"/>
    </row>
    <row r="3669" spans="1:11" ht="15" x14ac:dyDescent="0.25">
      <c r="A3669" s="3" t="str">
        <f>HYPERLINK("proteomic_fractions_linear_files/Yang_linear_img/160708008.jpg", "160708008")</f>
        <v>160708008</v>
      </c>
      <c r="C3669" s="3" t="str">
        <f>HYPERLINK("http://www.ncbi.nlm.nih.gov/protein/160708008","Itgb7")</f>
        <v>Itgb7</v>
      </c>
      <c r="E3669" t="str">
        <f>HYPERLINK("J:\Depot - mpkCCD Fractions\Main Web Page\Web Pages_old\proteomic_fractions_linear_files/Yang_linear_img/160708008.jpg","show blot")</f>
        <v>show blot</v>
      </c>
      <c r="G3669" t="s">
        <v>3532</v>
      </c>
      <c r="I3669" s="6">
        <v>3.2831468564179378</v>
      </c>
      <c r="K3669" s="8"/>
    </row>
    <row r="3670" spans="1:11" ht="15" x14ac:dyDescent="0.25">
      <c r="A3670" s="3" t="str">
        <f>HYPERLINK("proteomic_fractions_linear_files/Yang_linear_img/6680502.jpg", "6680502")</f>
        <v>6680502</v>
      </c>
      <c r="C3670" s="3" t="str">
        <f>HYPERLINK("http://www.ncbi.nlm.nih.gov/protein/6680502","Itm2b")</f>
        <v>Itm2b</v>
      </c>
      <c r="E3670" t="str">
        <f>HYPERLINK("J:\Depot - mpkCCD Fractions\Main Web Page\Web Pages_old\proteomic_fractions_linear_files/Yang_linear_img/6680502.jpg","show blot")</f>
        <v>show blot</v>
      </c>
      <c r="G3670" t="s">
        <v>3533</v>
      </c>
      <c r="I3670" s="6">
        <v>4.8438554789408457</v>
      </c>
      <c r="K3670" s="8"/>
    </row>
    <row r="3671" spans="1:11" ht="15" x14ac:dyDescent="0.25">
      <c r="A3671" s="3" t="str">
        <f>HYPERLINK("proteomic_fractions_linear_files/Yang_linear_img/160333680.jpg", "160333680")</f>
        <v>160333680</v>
      </c>
      <c r="C3671" s="3" t="str">
        <f>HYPERLINK("http://www.ncbi.nlm.nih.gov/protein/160333680","Itm2c")</f>
        <v>Itm2c</v>
      </c>
      <c r="E3671" t="str">
        <f>HYPERLINK("J:\Depot - mpkCCD Fractions\Main Web Page\Web Pages_old\proteomic_fractions_linear_files/Yang_linear_img/160333680.jpg","show blot")</f>
        <v>show blot</v>
      </c>
      <c r="G3671" t="s">
        <v>3534</v>
      </c>
      <c r="I3671" s="6">
        <v>2.4567653249383752</v>
      </c>
      <c r="K3671" s="8"/>
    </row>
    <row r="3672" spans="1:11" ht="15" x14ac:dyDescent="0.25">
      <c r="A3672" s="3" t="str">
        <f>HYPERLINK("proteomic_fractions_linear_files/Yang_linear_img/31982664.jpg", "31982664")</f>
        <v>31982664</v>
      </c>
      <c r="C3672" s="3" t="str">
        <f>HYPERLINK("http://www.ncbi.nlm.nih.gov/protein/31982664","Itpa")</f>
        <v>Itpa</v>
      </c>
      <c r="E3672" t="str">
        <f>HYPERLINK("J:\Depot - mpkCCD Fractions\Main Web Page\Web Pages_old\proteomic_fractions_linear_files/Yang_linear_img/31982664.jpg","show blot")</f>
        <v>show blot</v>
      </c>
      <c r="G3672" t="s">
        <v>3535</v>
      </c>
      <c r="I3672" s="6">
        <v>4.8672168618553364</v>
      </c>
      <c r="K3672" s="8"/>
    </row>
    <row r="3673" spans="1:11" ht="15" x14ac:dyDescent="0.25">
      <c r="A3673" s="3" t="str">
        <f>HYPERLINK("proteomic_fractions_linear_files/Yang_linear_img/29789389.jpg", "29789389")</f>
        <v>29789389</v>
      </c>
      <c r="C3673" s="3" t="str">
        <f>HYPERLINK("http://www.ncbi.nlm.nih.gov/protein/29789389","Itpk1")</f>
        <v>Itpk1</v>
      </c>
      <c r="E3673" t="str">
        <f>HYPERLINK("J:\Depot - mpkCCD Fractions\Main Web Page\Web Pages_old\proteomic_fractions_linear_files/Yang_linear_img/29789389.jpg","show blot")</f>
        <v>show blot</v>
      </c>
      <c r="G3673" t="s">
        <v>3536</v>
      </c>
      <c r="I3673" s="6">
        <v>3.394384802436011</v>
      </c>
      <c r="K3673" s="8"/>
    </row>
    <row r="3674" spans="1:11" ht="15" x14ac:dyDescent="0.25">
      <c r="A3674" s="3" t="str">
        <f>HYPERLINK("proteomic_fractions_linear_files/Yang_linear_img/291327470.jpg", "291327470")</f>
        <v>291327470</v>
      </c>
      <c r="C3674" s="3" t="str">
        <f>HYPERLINK("http://www.ncbi.nlm.nih.gov/protein/291327470","Itpr1")</f>
        <v>Itpr1</v>
      </c>
      <c r="E3674" t="str">
        <f>HYPERLINK("J:\Depot - mpkCCD Fractions\Main Web Page\Web Pages_old\proteomic_fractions_linear_files/Yang_linear_img/291327470.jpg","show blot")</f>
        <v>show blot</v>
      </c>
      <c r="G3674" t="s">
        <v>3537</v>
      </c>
      <c r="I3674" s="6">
        <v>2.6642799261491827</v>
      </c>
      <c r="K3674" s="8"/>
    </row>
    <row r="3675" spans="1:11" ht="15" x14ac:dyDescent="0.25">
      <c r="A3675" s="3" t="str">
        <f>HYPERLINK("proteomic_fractions_linear_files/Yang_linear_img/60592758.jpg", "60592758")</f>
        <v>60592758</v>
      </c>
      <c r="C3675" s="3" t="str">
        <f>HYPERLINK("http://www.ncbi.nlm.nih.gov/protein/60592758","Itpr2")</f>
        <v>Itpr2</v>
      </c>
      <c r="E3675" t="str">
        <f>HYPERLINK("J:\Depot - mpkCCD Fractions\Main Web Page\Web Pages_old\proteomic_fractions_linear_files/Yang_linear_img/60592758.jpg","show blot")</f>
        <v>show blot</v>
      </c>
      <c r="G3675" t="s">
        <v>3538</v>
      </c>
      <c r="I3675" s="6">
        <v>2.6464597367532234</v>
      </c>
      <c r="K3675" s="8"/>
    </row>
    <row r="3676" spans="1:11" ht="15" x14ac:dyDescent="0.25">
      <c r="A3676" s="3" t="str">
        <f>HYPERLINK("proteomic_fractions_linear_files/Yang_linear_img/60593032.jpg", "60593032")</f>
        <v>60593032</v>
      </c>
      <c r="C3676" s="3" t="str">
        <f>HYPERLINK("http://www.ncbi.nlm.nih.gov/protein/60593032","Itpr2")</f>
        <v>Itpr2</v>
      </c>
      <c r="E3676" t="str">
        <f>HYPERLINK("J:\Depot - mpkCCD Fractions\Main Web Page\Web Pages_old\proteomic_fractions_linear_files/Yang_linear_img/60593032.jpg","show blot")</f>
        <v>show blot</v>
      </c>
      <c r="G3676" t="s">
        <v>3539</v>
      </c>
      <c r="I3676" s="6">
        <v>2.6464597367532234</v>
      </c>
      <c r="K3676" s="8"/>
    </row>
    <row r="3677" spans="1:11" ht="15" x14ac:dyDescent="0.25">
      <c r="A3677" s="3" t="str">
        <f>HYPERLINK("proteomic_fractions_linear_files/Yang_linear_img/61102728.jpg", "61102728")</f>
        <v>61102728</v>
      </c>
      <c r="C3677" s="3" t="str">
        <f>HYPERLINK("http://www.ncbi.nlm.nih.gov/protein/61102728","Itpr3")</f>
        <v>Itpr3</v>
      </c>
      <c r="E3677" t="str">
        <f>HYPERLINK("J:\Depot - mpkCCD Fractions\Main Web Page\Web Pages_old\proteomic_fractions_linear_files/Yang_linear_img/61102728.jpg","show blot")</f>
        <v>show blot</v>
      </c>
      <c r="G3677" t="s">
        <v>3540</v>
      </c>
      <c r="I3677" s="6">
        <v>3.1610503175257803</v>
      </c>
      <c r="K3677" s="8"/>
    </row>
    <row r="3678" spans="1:11" ht="15" x14ac:dyDescent="0.25">
      <c r="A3678" s="3" t="str">
        <f>HYPERLINK("proteomic_fractions_linear_files/Yang_linear_img/160333276.jpg", "160333276")</f>
        <v>160333276</v>
      </c>
      <c r="C3678" s="3" t="str">
        <f>HYPERLINK("http://www.ncbi.nlm.nih.gov/protein/160333276","Itsn1")</f>
        <v>Itsn1</v>
      </c>
      <c r="E3678" t="str">
        <f>HYPERLINK("J:\Depot - mpkCCD Fractions\Main Web Page\Web Pages_old\proteomic_fractions_linear_files/Yang_linear_img/160333276.jpg","show blot")</f>
        <v>show blot</v>
      </c>
      <c r="G3678" t="s">
        <v>3541</v>
      </c>
      <c r="I3678" s="6">
        <v>2.808600355176738</v>
      </c>
      <c r="K3678" s="8"/>
    </row>
    <row r="3679" spans="1:11" ht="15" x14ac:dyDescent="0.25">
      <c r="A3679" s="3" t="str">
        <f>HYPERLINK("proteomic_fractions_linear_files/Yang_linear_img/160333280.jpg", "160333280")</f>
        <v>160333280</v>
      </c>
      <c r="C3679" s="3" t="str">
        <f>HYPERLINK("http://www.ncbi.nlm.nih.gov/protein/160333280","Itsn1")</f>
        <v>Itsn1</v>
      </c>
      <c r="E3679" t="str">
        <f>HYPERLINK("J:\Depot - mpkCCD Fractions\Main Web Page\Web Pages_old\proteomic_fractions_linear_files/Yang_linear_img/160333280.jpg","show blot")</f>
        <v>show blot</v>
      </c>
      <c r="G3679" t="s">
        <v>3542</v>
      </c>
      <c r="I3679" s="6">
        <v>2.808600355176738</v>
      </c>
      <c r="K3679" s="8"/>
    </row>
    <row r="3680" spans="1:11" ht="15" x14ac:dyDescent="0.25">
      <c r="A3680" s="3" t="str">
        <f>HYPERLINK("proteomic_fractions_linear_files/Yang_linear_img/134288904.jpg", "134288904")</f>
        <v>134288904</v>
      </c>
      <c r="C3680" s="3" t="str">
        <f>HYPERLINK("http://www.ncbi.nlm.nih.gov/protein/134288904","Itsn1")</f>
        <v>Itsn1</v>
      </c>
      <c r="E3680" t="str">
        <f>HYPERLINK("J:\Depot - mpkCCD Fractions\Main Web Page\Web Pages_old\proteomic_fractions_linear_files/Yang_linear_img/134288904.jpg","show blot")</f>
        <v>show blot</v>
      </c>
      <c r="G3680" t="s">
        <v>3543</v>
      </c>
      <c r="I3680" s="6">
        <v>2.808600355176738</v>
      </c>
      <c r="K3680" s="8"/>
    </row>
    <row r="3681" spans="1:11" ht="15" x14ac:dyDescent="0.25">
      <c r="A3681" s="3" t="str">
        <f>HYPERLINK("proteomic_fractions_linear_files/Yang_linear_img/312176405.jpg", "312176405")</f>
        <v>312176405</v>
      </c>
      <c r="C3681" s="3" t="str">
        <f>HYPERLINK("http://www.ncbi.nlm.nih.gov/protein/312176405","Itsn2")</f>
        <v>Itsn2</v>
      </c>
      <c r="E3681" t="str">
        <f>HYPERLINK("J:\Depot - mpkCCD Fractions\Main Web Page\Web Pages_old\proteomic_fractions_linear_files/Yang_linear_img/312176405.jpg","show blot")</f>
        <v>show blot</v>
      </c>
      <c r="G3681" t="s">
        <v>3544</v>
      </c>
      <c r="I3681" s="6">
        <v>2.6758818252955274</v>
      </c>
      <c r="K3681" s="8"/>
    </row>
    <row r="3682" spans="1:11" ht="15" x14ac:dyDescent="0.25">
      <c r="A3682" s="3" t="str">
        <f>HYPERLINK("proteomic_fractions_linear_files/Yang_linear_img/312176401.jpg", "312176401")</f>
        <v>312176401</v>
      </c>
      <c r="C3682" s="3" t="str">
        <f>HYPERLINK("http://www.ncbi.nlm.nih.gov/protein/312176401","Itsn2")</f>
        <v>Itsn2</v>
      </c>
      <c r="E3682" t="str">
        <f>HYPERLINK("J:\Depot - mpkCCD Fractions\Main Web Page\Web Pages_old\proteomic_fractions_linear_files/Yang_linear_img/312176401.jpg","show blot")</f>
        <v>show blot</v>
      </c>
      <c r="G3682" t="s">
        <v>3545</v>
      </c>
      <c r="I3682" s="6">
        <v>2.6758818252955274</v>
      </c>
      <c r="K3682" s="8"/>
    </row>
    <row r="3683" spans="1:11" ht="15" x14ac:dyDescent="0.25">
      <c r="A3683" s="3" t="str">
        <f>HYPERLINK("proteomic_fractions_linear_files/Yang_linear_img/46560563.jpg", "46560563")</f>
        <v>46560563</v>
      </c>
      <c r="C3683" s="3" t="str">
        <f>HYPERLINK("http://www.ncbi.nlm.nih.gov/protein/46560563","Itsn2")</f>
        <v>Itsn2</v>
      </c>
      <c r="E3683" t="str">
        <f>HYPERLINK("J:\Depot - mpkCCD Fractions\Main Web Page\Web Pages_old\proteomic_fractions_linear_files/Yang_linear_img/46560563.jpg","show blot")</f>
        <v>show blot</v>
      </c>
      <c r="G3683" t="s">
        <v>3546</v>
      </c>
      <c r="I3683" s="6">
        <v>2.6758818252955274</v>
      </c>
      <c r="K3683" s="8"/>
    </row>
    <row r="3684" spans="1:11" ht="15" x14ac:dyDescent="0.25">
      <c r="A3684" s="3" t="str">
        <f>HYPERLINK("proteomic_fractions_linear_files/Yang_linear_img/9789985.jpg", "9789985")</f>
        <v>9789985</v>
      </c>
      <c r="C3684" s="3" t="str">
        <f>HYPERLINK("http://www.ncbi.nlm.nih.gov/protein/9789985","Ivd")</f>
        <v>Ivd</v>
      </c>
      <c r="E3684" t="str">
        <f>HYPERLINK("J:\Depot - mpkCCD Fractions\Main Web Page\Web Pages_old\proteomic_fractions_linear_files/Yang_linear_img/9789985.jpg","show blot")</f>
        <v>show blot</v>
      </c>
      <c r="G3684" t="s">
        <v>3547</v>
      </c>
      <c r="I3684" s="6">
        <v>5.3764872416148712</v>
      </c>
      <c r="K3684" s="8"/>
    </row>
    <row r="3685" spans="1:11" ht="15" x14ac:dyDescent="0.25">
      <c r="A3685" s="3" t="str">
        <f>HYPERLINK("proteomic_fractions_linear_files/Yang_linear_img/83627715.jpg", "83627715")</f>
        <v>83627715</v>
      </c>
      <c r="C3685" s="3" t="str">
        <f>HYPERLINK("http://www.ncbi.nlm.nih.gov/protein/83627715","Ivl")</f>
        <v>Ivl</v>
      </c>
      <c r="E3685" t="str">
        <f>HYPERLINK("J:\Depot - mpkCCD Fractions\Main Web Page\Web Pages_old\proteomic_fractions_linear_files/Yang_linear_img/83627715.jpg","show blot")</f>
        <v>show blot</v>
      </c>
      <c r="G3685" t="s">
        <v>3548</v>
      </c>
      <c r="I3685" s="6">
        <v>4.3858225461772431</v>
      </c>
      <c r="K3685" s="8"/>
    </row>
    <row r="3686" spans="1:11" ht="15" x14ac:dyDescent="0.25">
      <c r="A3686" s="3" t="str">
        <f>HYPERLINK("proteomic_fractions_linear_files/Yang_linear_img/87239990.jpg", "87239990")</f>
        <v>87239990</v>
      </c>
      <c r="C3686" s="3" t="str">
        <f>HYPERLINK("http://www.ncbi.nlm.nih.gov/protein/87239990","Ivns1abp")</f>
        <v>Ivns1abp</v>
      </c>
      <c r="E3686" t="str">
        <f>HYPERLINK("J:\Depot - mpkCCD Fractions\Main Web Page\Web Pages_old\proteomic_fractions_linear_files/Yang_linear_img/87239990.jpg","show blot")</f>
        <v>show blot</v>
      </c>
      <c r="G3686" t="s">
        <v>3549</v>
      </c>
      <c r="I3686" s="6">
        <v>4.0034063239350903</v>
      </c>
      <c r="K3686" s="8"/>
    </row>
    <row r="3687" spans="1:11" ht="15" x14ac:dyDescent="0.25">
      <c r="A3687" s="3" t="str">
        <f>HYPERLINK("proteomic_fractions_linear_files/Yang_linear_img/87239992.jpg", "87239992")</f>
        <v>87239992</v>
      </c>
      <c r="C3687" s="3" t="str">
        <f>HYPERLINK("http://www.ncbi.nlm.nih.gov/protein/87239992","Ivns1abp")</f>
        <v>Ivns1abp</v>
      </c>
      <c r="E3687" t="str">
        <f>HYPERLINK("J:\Depot - mpkCCD Fractions\Main Web Page\Web Pages_old\proteomic_fractions_linear_files/Yang_linear_img/87239992.jpg","show blot")</f>
        <v>show blot</v>
      </c>
      <c r="G3687" t="s">
        <v>3550</v>
      </c>
      <c r="I3687" s="6">
        <v>4.0034063239350903</v>
      </c>
      <c r="K3687" s="8"/>
    </row>
    <row r="3688" spans="1:11" ht="15" x14ac:dyDescent="0.25">
      <c r="A3688" s="3" t="str">
        <f>HYPERLINK("proteomic_fractions_linear_files/Yang_linear_img/87239996.jpg", "87239996")</f>
        <v>87239996</v>
      </c>
      <c r="C3688" s="3" t="str">
        <f>HYPERLINK("http://www.ncbi.nlm.nih.gov/protein/87239996","Ivns1abp")</f>
        <v>Ivns1abp</v>
      </c>
      <c r="E3688" t="str">
        <f>HYPERLINK("J:\Depot - mpkCCD Fractions\Main Web Page\Web Pages_old\proteomic_fractions_linear_files/Yang_linear_img/87239996.jpg","show blot")</f>
        <v>show blot</v>
      </c>
      <c r="G3688" t="s">
        <v>3551</v>
      </c>
      <c r="I3688" s="6">
        <v>4.0034063239350903</v>
      </c>
      <c r="K3688" s="8"/>
    </row>
    <row r="3689" spans="1:11" ht="15" x14ac:dyDescent="0.25">
      <c r="A3689" s="3" t="str">
        <f>HYPERLINK("proteomic_fractions_linear_files/Yang_linear_img/30352010.jpg", "30352010")</f>
        <v>30352010</v>
      </c>
      <c r="C3689" s="3" t="str">
        <f>HYPERLINK("http://www.ncbi.nlm.nih.gov/protein/30352010","Iws1")</f>
        <v>Iws1</v>
      </c>
      <c r="E3689" t="str">
        <f>HYPERLINK("J:\Depot - mpkCCD Fractions\Main Web Page\Web Pages_old\proteomic_fractions_linear_files/Yang_linear_img/30352010.jpg","show blot")</f>
        <v>show blot</v>
      </c>
      <c r="G3689" t="s">
        <v>3552</v>
      </c>
      <c r="I3689" s="6">
        <v>3.14506536215803</v>
      </c>
      <c r="K3689" s="8"/>
    </row>
    <row r="3690" spans="1:11" ht="15" x14ac:dyDescent="0.25">
      <c r="A3690" s="3" t="str">
        <f>HYPERLINK("proteomic_fractions_linear_files/Yang_linear_img/344179114.jpg", "344179114")</f>
        <v>344179114</v>
      </c>
      <c r="C3690" s="3" t="str">
        <f>HYPERLINK("http://www.ncbi.nlm.nih.gov/protein/344179114","Jagn1")</f>
        <v>Jagn1</v>
      </c>
      <c r="E3690" t="str">
        <f>HYPERLINK("J:\Depot - mpkCCD Fractions\Main Web Page\Web Pages_old\proteomic_fractions_linear_files/Yang_linear_img/344179114.jpg","show blot")</f>
        <v>show blot</v>
      </c>
      <c r="G3690" t="s">
        <v>3553</v>
      </c>
      <c r="I3690" s="6">
        <v>5.6611885741934529</v>
      </c>
      <c r="K3690" s="8"/>
    </row>
    <row r="3691" spans="1:11" ht="15" x14ac:dyDescent="0.25">
      <c r="A3691" s="3" t="str">
        <f>HYPERLINK("proteomic_fractions_linear_files/Yang_linear_img/13385862.jpg", "13385862")</f>
        <v>13385862</v>
      </c>
      <c r="C3691" s="3" t="str">
        <f>HYPERLINK("http://www.ncbi.nlm.nih.gov/protein/13385862","Jagn1")</f>
        <v>Jagn1</v>
      </c>
      <c r="E3691" t="str">
        <f>HYPERLINK("J:\Depot - mpkCCD Fractions\Main Web Page\Web Pages_old\proteomic_fractions_linear_files/Yang_linear_img/13385862.jpg","show blot")</f>
        <v>show blot</v>
      </c>
      <c r="G3691" t="s">
        <v>3554</v>
      </c>
      <c r="I3691" s="6">
        <v>5.6611885741934529</v>
      </c>
      <c r="K3691" s="8"/>
    </row>
    <row r="3692" spans="1:11" ht="15" x14ac:dyDescent="0.25">
      <c r="A3692" s="3" t="str">
        <f>HYPERLINK("proteomic_fractions_linear_files/Yang_linear_img/326439090.jpg", "326439090")</f>
        <v>326439090</v>
      </c>
      <c r="C3692" s="3" t="str">
        <f>HYPERLINK("http://www.ncbi.nlm.nih.gov/protein/326439090","Jagn1")</f>
        <v>Jagn1</v>
      </c>
      <c r="E3692" t="str">
        <f>HYPERLINK("J:\Depot - mpkCCD Fractions\Main Web Page\Web Pages_old\proteomic_fractions_linear_files/Yang_linear_img/326439090.jpg","show blot")</f>
        <v>show blot</v>
      </c>
      <c r="G3692" t="s">
        <v>3555</v>
      </c>
      <c r="I3692" s="6">
        <v>5.6611885741934529</v>
      </c>
      <c r="K3692" s="8"/>
    </row>
    <row r="3693" spans="1:11" ht="15" x14ac:dyDescent="0.25">
      <c r="A3693" s="3" t="str">
        <f>HYPERLINK("proteomic_fractions_linear_files/Yang_linear_img/111607496.jpg", "111607496")</f>
        <v>111607496</v>
      </c>
      <c r="C3693" s="3" t="str">
        <f>HYPERLINK("http://www.ncbi.nlm.nih.gov/protein/111607496","Jak1")</f>
        <v>Jak1</v>
      </c>
      <c r="E3693" t="str">
        <f>HYPERLINK("J:\Depot - mpkCCD Fractions\Main Web Page\Web Pages_old\proteomic_fractions_linear_files/Yang_linear_img/111607496.jpg","show blot")</f>
        <v>show blot</v>
      </c>
      <c r="G3693" t="s">
        <v>3556</v>
      </c>
      <c r="I3693" s="6">
        <v>3.2400760746582695</v>
      </c>
      <c r="K3693" s="8"/>
    </row>
    <row r="3694" spans="1:11" ht="15" x14ac:dyDescent="0.25">
      <c r="A3694" s="3" t="str">
        <f>HYPERLINK("proteomic_fractions_linear_files/Yang_linear_img/114326480.jpg", "114326480")</f>
        <v>114326480</v>
      </c>
      <c r="C3694" s="3" t="str">
        <f>HYPERLINK("http://www.ncbi.nlm.nih.gov/protein/114326480","Jak2")</f>
        <v>Jak2</v>
      </c>
      <c r="E3694" t="str">
        <f>HYPERLINK("J:\Depot - mpkCCD Fractions\Main Web Page\Web Pages_old\proteomic_fractions_linear_files/Yang_linear_img/114326480.jpg","show blot")</f>
        <v>show blot</v>
      </c>
      <c r="G3694" t="s">
        <v>3557</v>
      </c>
      <c r="I3694" s="6">
        <v>4.7192926775356803</v>
      </c>
      <c r="K3694" s="8"/>
    </row>
    <row r="3695" spans="1:11" ht="15" x14ac:dyDescent="0.25">
      <c r="A3695" s="3" t="str">
        <f>HYPERLINK("proteomic_fractions_linear_files/Yang_linear_img/253970431.jpg", "253970431")</f>
        <v>253970431</v>
      </c>
      <c r="C3695" s="3" t="str">
        <f>HYPERLINK("http://www.ncbi.nlm.nih.gov/protein/253970431","Jakmip3")</f>
        <v>Jakmip3</v>
      </c>
      <c r="E3695" t="str">
        <f>HYPERLINK("J:\Depot - mpkCCD Fractions\Main Web Page\Web Pages_old\proteomic_fractions_linear_files/Yang_linear_img/253970431.jpg","show blot")</f>
        <v>show blot</v>
      </c>
      <c r="G3695" t="s">
        <v>3558</v>
      </c>
      <c r="I3695" s="6">
        <v>1.386021287988237</v>
      </c>
      <c r="K3695" s="8"/>
    </row>
    <row r="3696" spans="1:11" ht="15" x14ac:dyDescent="0.25">
      <c r="A3696" s="3" t="str">
        <f>HYPERLINK("proteomic_fractions_linear_files/Yang_linear_img/11230774.jpg", "11230774")</f>
        <v>11230774</v>
      </c>
      <c r="C3696" s="3" t="str">
        <f>HYPERLINK("http://www.ncbi.nlm.nih.gov/protein/11230774","Jarid2")</f>
        <v>Jarid2</v>
      </c>
      <c r="E3696" t="str">
        <f>HYPERLINK("J:\Depot - mpkCCD Fractions\Main Web Page\Web Pages_old\proteomic_fractions_linear_files/Yang_linear_img/11230774.jpg","show blot")</f>
        <v>show blot</v>
      </c>
      <c r="G3696" t="s">
        <v>3559</v>
      </c>
      <c r="I3696" s="6">
        <v>3.0286854968966463</v>
      </c>
      <c r="K3696" s="8"/>
    </row>
    <row r="3697" spans="1:11" ht="15" x14ac:dyDescent="0.25">
      <c r="A3697" s="3" t="str">
        <f>HYPERLINK("proteomic_fractions_linear_files/Yang_linear_img/226531205.jpg", "226531205")</f>
        <v>226531205</v>
      </c>
      <c r="C3697" s="3" t="str">
        <f>HYPERLINK("http://www.ncbi.nlm.nih.gov/protein/226531205","Jmjd1c")</f>
        <v>Jmjd1c</v>
      </c>
      <c r="E3697" t="str">
        <f>HYPERLINK("J:\Depot - mpkCCD Fractions\Main Web Page\Web Pages_old\proteomic_fractions_linear_files/Yang_linear_img/226531205.jpg","show blot")</f>
        <v>show blot</v>
      </c>
      <c r="G3697" t="s">
        <v>3560</v>
      </c>
      <c r="I3697" s="6">
        <v>0.84007723863920603</v>
      </c>
      <c r="K3697" s="8"/>
    </row>
    <row r="3698" spans="1:11" ht="15" x14ac:dyDescent="0.25">
      <c r="A3698" s="3" t="str">
        <f>HYPERLINK("proteomic_fractions_linear_files/Yang_linear_img/334724461.jpg", "334724461")</f>
        <v>334724461</v>
      </c>
      <c r="C3698" s="3" t="str">
        <f>HYPERLINK("http://www.ncbi.nlm.nih.gov/protein/334724461","Jmjd1c")</f>
        <v>Jmjd1c</v>
      </c>
      <c r="E3698" t="str">
        <f>HYPERLINK("J:\Depot - mpkCCD Fractions\Main Web Page\Web Pages_old\proteomic_fractions_linear_files/Yang_linear_img/334724461.jpg","show blot")</f>
        <v>show blot</v>
      </c>
      <c r="G3698" t="s">
        <v>3561</v>
      </c>
      <c r="I3698" s="6">
        <v>0.84007723863920603</v>
      </c>
      <c r="K3698" s="8"/>
    </row>
    <row r="3699" spans="1:11" ht="15" x14ac:dyDescent="0.25">
      <c r="A3699" s="3" t="str">
        <f>HYPERLINK("proteomic_fractions_linear_files/Yang_linear_img/167860141.jpg", "167860141")</f>
        <v>167860141</v>
      </c>
      <c r="C3699" s="3" t="str">
        <f>HYPERLINK("http://www.ncbi.nlm.nih.gov/protein/167860141","Jmjd7")</f>
        <v>Jmjd7</v>
      </c>
      <c r="E3699" t="str">
        <f>HYPERLINK("J:\Depot - mpkCCD Fractions\Main Web Page\Web Pages_old\proteomic_fractions_linear_files/Yang_linear_img/167860141.jpg","show blot")</f>
        <v>show blot</v>
      </c>
      <c r="G3699" t="s">
        <v>3562</v>
      </c>
      <c r="I3699" s="6">
        <v>3.993519919860792</v>
      </c>
      <c r="K3699" s="8"/>
    </row>
    <row r="3700" spans="1:11" ht="15" x14ac:dyDescent="0.25">
      <c r="A3700" s="3" t="str">
        <f>HYPERLINK("proteomic_fractions_linear_files/Yang_linear_img/326633188.jpg", "326633188")</f>
        <v>326633188</v>
      </c>
      <c r="C3700" s="3" t="str">
        <f>HYPERLINK("http://www.ncbi.nlm.nih.gov/protein/326633188","Josd2")</f>
        <v>Josd2</v>
      </c>
      <c r="E3700" t="str">
        <f>HYPERLINK("J:\Depot - mpkCCD Fractions\Main Web Page\Web Pages_old\proteomic_fractions_linear_files/Yang_linear_img/326633188.jpg","show blot")</f>
        <v>show blot</v>
      </c>
      <c r="G3700" t="s">
        <v>3563</v>
      </c>
      <c r="I3700" s="6">
        <v>3.5712772625597995</v>
      </c>
      <c r="K3700" s="8"/>
    </row>
    <row r="3701" spans="1:11" ht="15" x14ac:dyDescent="0.25">
      <c r="A3701" s="3" t="str">
        <f>HYPERLINK("proteomic_fractions_linear_files/Yang_linear_img/46049047.jpg", "46049047")</f>
        <v>46049047</v>
      </c>
      <c r="C3701" s="3" t="str">
        <f>HYPERLINK("http://www.ncbi.nlm.nih.gov/protein/46049047","Jtb")</f>
        <v>Jtb</v>
      </c>
      <c r="E3701" t="str">
        <f>HYPERLINK("J:\Depot - mpkCCD Fractions\Main Web Page\Web Pages_old\proteomic_fractions_linear_files/Yang_linear_img/46049047.jpg","show blot")</f>
        <v>show blot</v>
      </c>
      <c r="G3701" t="s">
        <v>3564</v>
      </c>
      <c r="I3701" s="6">
        <v>4.2446688546851883</v>
      </c>
      <c r="K3701" s="8"/>
    </row>
    <row r="3702" spans="1:11" ht="15" x14ac:dyDescent="0.25">
      <c r="A3702" s="3" t="str">
        <f>HYPERLINK("proteomic_fractions_linear_files/Yang_linear_img/6754404.jpg", "6754404")</f>
        <v>6754404</v>
      </c>
      <c r="C3702" s="3" t="str">
        <f>HYPERLINK("http://www.ncbi.nlm.nih.gov/protein/6754404","Jund")</f>
        <v>Jund</v>
      </c>
      <c r="E3702" t="str">
        <f>HYPERLINK("J:\Depot - mpkCCD Fractions\Main Web Page\Web Pages_old\proteomic_fractions_linear_files/Yang_linear_img/6754404.jpg","show blot")</f>
        <v>show blot</v>
      </c>
      <c r="G3702" t="s">
        <v>3565</v>
      </c>
      <c r="I3702" s="6">
        <v>2.723600383411803</v>
      </c>
      <c r="K3702" s="8"/>
    </row>
    <row r="3703" spans="1:11" ht="15" x14ac:dyDescent="0.25">
      <c r="A3703" s="3" t="str">
        <f>HYPERLINK("proteomic_fractions_linear_files/Yang_linear_img/28395018.jpg", "28395018")</f>
        <v>28395018</v>
      </c>
      <c r="C3703" s="3" t="str">
        <f>HYPERLINK("http://www.ncbi.nlm.nih.gov/protein/28395018","Jup")</f>
        <v>Jup</v>
      </c>
      <c r="E3703" t="str">
        <f>HYPERLINK("J:\Depot - mpkCCD Fractions\Main Web Page\Web Pages_old\proteomic_fractions_linear_files/Yang_linear_img/28395018.jpg","show blot")</f>
        <v>show blot</v>
      </c>
      <c r="G3703" t="s">
        <v>3566</v>
      </c>
      <c r="I3703" s="6">
        <v>6.0705075722053818</v>
      </c>
      <c r="K3703" s="8"/>
    </row>
    <row r="3704" spans="1:11" ht="15" x14ac:dyDescent="0.25">
      <c r="A3704" s="3" t="str">
        <f>HYPERLINK("proteomic_fractions_linear_files/Yang_linear_img/256017137.jpg", "256017137")</f>
        <v>256017137</v>
      </c>
      <c r="C3704" s="3" t="str">
        <f>HYPERLINK("http://www.ncbi.nlm.nih.gov/protein/256017137","Kalrn")</f>
        <v>Kalrn</v>
      </c>
      <c r="E3704" t="str">
        <f>HYPERLINK("J:\Depot - mpkCCD Fractions\Main Web Page\Web Pages_old\proteomic_fractions_linear_files/Yang_linear_img/256017137.jpg","show blot")</f>
        <v>show blot</v>
      </c>
      <c r="G3704" t="s">
        <v>3567</v>
      </c>
      <c r="I3704" s="6">
        <v>3.4599031860205396</v>
      </c>
      <c r="K3704" s="8"/>
    </row>
    <row r="3705" spans="1:11" ht="15" x14ac:dyDescent="0.25">
      <c r="A3705" s="3" t="str">
        <f>HYPERLINK("proteomic_fractions_linear_files/Yang_linear_img/295054244.jpg", "295054244")</f>
        <v>295054244</v>
      </c>
      <c r="C3705" s="3" t="str">
        <f>HYPERLINK("http://www.ncbi.nlm.nih.gov/protein/295054244","Kalrn")</f>
        <v>Kalrn</v>
      </c>
      <c r="E3705" t="str">
        <f>HYPERLINK("J:\Depot - mpkCCD Fractions\Main Web Page\Web Pages_old\proteomic_fractions_linear_files/Yang_linear_img/295054244.jpg","show blot")</f>
        <v>show blot</v>
      </c>
      <c r="G3705" t="s">
        <v>3568</v>
      </c>
      <c r="I3705" s="6">
        <v>3.4599031860205396</v>
      </c>
      <c r="K3705" s="8"/>
    </row>
    <row r="3706" spans="1:11" ht="15" x14ac:dyDescent="0.25">
      <c r="A3706" s="3" t="str">
        <f>HYPERLINK("proteomic_fractions_linear_files/Yang_linear_img/75677563.jpg", "75677563")</f>
        <v>75677563</v>
      </c>
      <c r="C3706" s="3" t="str">
        <f>HYPERLINK("http://www.ncbi.nlm.nih.gov/protein/75677563","Kank1")</f>
        <v>Kank1</v>
      </c>
      <c r="E3706" t="str">
        <f>HYPERLINK("J:\Depot - mpkCCD Fractions\Main Web Page\Web Pages_old\proteomic_fractions_linear_files/Yang_linear_img/75677563.jpg","show blot")</f>
        <v>show blot</v>
      </c>
      <c r="G3706" t="s">
        <v>3569</v>
      </c>
      <c r="I3706" s="6">
        <v>1.7178673737024048</v>
      </c>
      <c r="K3706" s="8"/>
    </row>
    <row r="3707" spans="1:11" ht="15" x14ac:dyDescent="0.25">
      <c r="A3707" s="3" t="str">
        <f>HYPERLINK("proteomic_fractions_linear_files/Yang_linear_img/16716381.jpg", "16716381")</f>
        <v>16716381</v>
      </c>
      <c r="C3707" s="3" t="str">
        <f>HYPERLINK("http://www.ncbi.nlm.nih.gov/protein/16716381","Kars")</f>
        <v>Kars</v>
      </c>
      <c r="E3707" t="str">
        <f>HYPERLINK("J:\Depot - mpkCCD Fractions\Main Web Page\Web Pages_old\proteomic_fractions_linear_files/Yang_linear_img/16716381.jpg","show blot")</f>
        <v>show blot</v>
      </c>
      <c r="G3707" t="s">
        <v>3570</v>
      </c>
      <c r="I3707" s="6">
        <v>6.1965834073656021</v>
      </c>
      <c r="K3707" s="8"/>
    </row>
    <row r="3708" spans="1:11" ht="15" x14ac:dyDescent="0.25">
      <c r="A3708" s="3" t="str">
        <f>HYPERLINK("proteomic_fractions_linear_files/Yang_linear_img/195963321.jpg", "195963321")</f>
        <v>195963321</v>
      </c>
      <c r="C3708" s="3" t="str">
        <f>HYPERLINK("http://www.ncbi.nlm.nih.gov/protein/195963321","Kars")</f>
        <v>Kars</v>
      </c>
      <c r="E3708" t="str">
        <f>HYPERLINK("J:\Depot - mpkCCD Fractions\Main Web Page\Web Pages_old\proteomic_fractions_linear_files/Yang_linear_img/195963321.jpg","show blot")</f>
        <v>show blot</v>
      </c>
      <c r="G3708" t="s">
        <v>3571</v>
      </c>
      <c r="I3708" s="6">
        <v>6.1965834073656021</v>
      </c>
      <c r="K3708" s="8"/>
    </row>
    <row r="3709" spans="1:11" ht="15" x14ac:dyDescent="0.25">
      <c r="A3709" s="3" t="str">
        <f>HYPERLINK("proteomic_fractions_linear_files/Yang_linear_img/124487239.jpg", "124487239")</f>
        <v>124487239</v>
      </c>
      <c r="C3709" s="3" t="str">
        <f>HYPERLINK("http://www.ncbi.nlm.nih.gov/protein/124487239","Kat6a")</f>
        <v>Kat6a</v>
      </c>
      <c r="E3709" t="str">
        <f>HYPERLINK("J:\Depot - mpkCCD Fractions\Main Web Page\Web Pages_old\proteomic_fractions_linear_files/Yang_linear_img/124487239.jpg","show blot")</f>
        <v>show blot</v>
      </c>
      <c r="G3709" t="s">
        <v>3572</v>
      </c>
      <c r="I3709" s="6">
        <v>1.6035052322021432</v>
      </c>
      <c r="K3709" s="8"/>
    </row>
    <row r="3710" spans="1:11" ht="15" x14ac:dyDescent="0.25">
      <c r="A3710" s="3" t="str">
        <f>HYPERLINK("proteomic_fractions_linear_files/Yang_linear_img/21313044.jpg", "21313044")</f>
        <v>21313044</v>
      </c>
      <c r="C3710" s="3" t="str">
        <f>HYPERLINK("http://www.ncbi.nlm.nih.gov/protein/21313044","Katnal2")</f>
        <v>Katnal2</v>
      </c>
      <c r="E3710" t="str">
        <f>HYPERLINK("J:\Depot - mpkCCD Fractions\Main Web Page\Web Pages_old\proteomic_fractions_linear_files/Yang_linear_img/21313044.jpg","show blot")</f>
        <v>show blot</v>
      </c>
      <c r="G3710" t="s">
        <v>3573</v>
      </c>
      <c r="I3710" s="6">
        <v>5.182285069918553</v>
      </c>
      <c r="K3710" s="8"/>
    </row>
    <row r="3711" spans="1:11" ht="15" x14ac:dyDescent="0.25">
      <c r="A3711" s="3" t="str">
        <f>HYPERLINK("proteomic_fractions_linear_files/Yang_linear_img/84095201.jpg", "84095201")</f>
        <v>84095201</v>
      </c>
      <c r="C3711" s="3" t="str">
        <f>HYPERLINK("http://www.ncbi.nlm.nih.gov/protein/84095201","Katnb1")</f>
        <v>Katnb1</v>
      </c>
      <c r="E3711" t="str">
        <f>HYPERLINK("J:\Depot - mpkCCD Fractions\Main Web Page\Web Pages_old\proteomic_fractions_linear_files/Yang_linear_img/84095201.jpg","show blot")</f>
        <v>show blot</v>
      </c>
      <c r="G3711" t="s">
        <v>3574</v>
      </c>
      <c r="I3711" s="6">
        <v>2.0175312049259686</v>
      </c>
      <c r="K3711" s="8"/>
    </row>
    <row r="3712" spans="1:11" ht="15" x14ac:dyDescent="0.25">
      <c r="A3712" s="3" t="str">
        <f>HYPERLINK("proteomic_fractions_linear_files/Yang_linear_img/172072622.jpg", "172072622")</f>
        <v>172072622</v>
      </c>
      <c r="C3712" s="3" t="str">
        <f>HYPERLINK("http://www.ncbi.nlm.nih.gov/protein/172072622","Kbtbd2")</f>
        <v>Kbtbd2</v>
      </c>
      <c r="E3712" t="str">
        <f>HYPERLINK("J:\Depot - mpkCCD Fractions\Main Web Page\Web Pages_old\proteomic_fractions_linear_files/Yang_linear_img/172072622.jpg","show blot")</f>
        <v>show blot</v>
      </c>
      <c r="G3712" t="s">
        <v>3575</v>
      </c>
      <c r="I3712" s="6">
        <v>2.5791373765407033</v>
      </c>
      <c r="K3712" s="8"/>
    </row>
    <row r="3713" spans="1:11" ht="15" x14ac:dyDescent="0.25">
      <c r="A3713" s="3" t="str">
        <f>HYPERLINK("proteomic_fractions_linear_files/Yang_linear_img/257153339.jpg", "257153339")</f>
        <v>257153339</v>
      </c>
      <c r="C3713" s="3" t="str">
        <f>HYPERLINK("http://www.ncbi.nlm.nih.gov/protein/257153339","Kbtbd3")</f>
        <v>Kbtbd3</v>
      </c>
      <c r="E3713" t="str">
        <f>HYPERLINK("J:\Depot - mpkCCD Fractions\Main Web Page\Web Pages_old\proteomic_fractions_linear_files/Yang_linear_img/257153339.jpg","show blot")</f>
        <v>show blot</v>
      </c>
      <c r="G3713" t="s">
        <v>3576</v>
      </c>
      <c r="I3713" s="6">
        <v>5.6525308229858968</v>
      </c>
      <c r="K3713" s="8"/>
    </row>
    <row r="3714" spans="1:11" ht="15" x14ac:dyDescent="0.25">
      <c r="A3714" s="3" t="str">
        <f>HYPERLINK("proteomic_fractions_linear_files/Yang_linear_img/126517505.jpg", "126517505")</f>
        <v>126517505</v>
      </c>
      <c r="C3714" s="3" t="str">
        <f>HYPERLINK("http://www.ncbi.nlm.nih.gov/protein/126517505","Kcmf1")</f>
        <v>Kcmf1</v>
      </c>
      <c r="E3714" t="str">
        <f>HYPERLINK("J:\Depot - mpkCCD Fractions\Main Web Page\Web Pages_old\proteomic_fractions_linear_files/Yang_linear_img/126517505.jpg","show blot")</f>
        <v>show blot</v>
      </c>
      <c r="G3714" t="s">
        <v>3577</v>
      </c>
      <c r="I3714" s="6">
        <v>4.4530597098957223</v>
      </c>
      <c r="K3714" s="8"/>
    </row>
    <row r="3715" spans="1:11" ht="15" x14ac:dyDescent="0.25">
      <c r="A3715" s="3" t="str">
        <f>HYPERLINK("proteomic_fractions_linear_files/Yang_linear_img/358030294.jpg", "358030294")</f>
        <v>358030294</v>
      </c>
      <c r="C3715" s="3" t="str">
        <f>HYPERLINK("http://www.ncbi.nlm.nih.gov/protein/358030294","Kcnab2")</f>
        <v>Kcnab2</v>
      </c>
      <c r="E3715" t="str">
        <f>HYPERLINK("J:\Depot - mpkCCD Fractions\Main Web Page\Web Pages_old\proteomic_fractions_linear_files/Yang_linear_img/358030294.jpg","show blot")</f>
        <v>show blot</v>
      </c>
      <c r="G3715" t="s">
        <v>3578</v>
      </c>
      <c r="I3715" s="6">
        <v>3.784997490036603</v>
      </c>
      <c r="K3715" s="8"/>
    </row>
    <row r="3716" spans="1:11" ht="15" x14ac:dyDescent="0.25">
      <c r="A3716" s="3" t="str">
        <f>HYPERLINK("proteomic_fractions_linear_files/Yang_linear_img/358030297.jpg", "358030297")</f>
        <v>358030297</v>
      </c>
      <c r="C3716" s="3" t="str">
        <f>HYPERLINK("http://www.ncbi.nlm.nih.gov/protein/358030297","Kcnab2")</f>
        <v>Kcnab2</v>
      </c>
      <c r="E3716" t="str">
        <f>HYPERLINK("J:\Depot - mpkCCD Fractions\Main Web Page\Web Pages_old\proteomic_fractions_linear_files/Yang_linear_img/358030297.jpg","show blot")</f>
        <v>show blot</v>
      </c>
      <c r="G3716" t="s">
        <v>3579</v>
      </c>
      <c r="I3716" s="6">
        <v>3.784997490036603</v>
      </c>
      <c r="K3716" s="8"/>
    </row>
    <row r="3717" spans="1:11" ht="15" x14ac:dyDescent="0.25">
      <c r="A3717" s="3" t="str">
        <f>HYPERLINK("proteomic_fractions_linear_files/Yang_linear_img/28076887.jpg", "28076887")</f>
        <v>28076887</v>
      </c>
      <c r="C3717" s="3" t="str">
        <f>HYPERLINK("http://www.ncbi.nlm.nih.gov/protein/28076887","Kcng4")</f>
        <v>Kcng4</v>
      </c>
      <c r="E3717" t="str">
        <f>HYPERLINK("J:\Depot - mpkCCD Fractions\Main Web Page\Web Pages_old\proteomic_fractions_linear_files/Yang_linear_img/28076887.jpg","show blot")</f>
        <v>show blot</v>
      </c>
      <c r="G3717" t="s">
        <v>3580</v>
      </c>
      <c r="I3717" s="6">
        <v>5.6998687601959199</v>
      </c>
      <c r="K3717" s="8"/>
    </row>
    <row r="3718" spans="1:11" ht="15" x14ac:dyDescent="0.25">
      <c r="A3718" s="3" t="str">
        <f>HYPERLINK("proteomic_fractions_linear_files/Yang_linear_img/40445393.jpg", "40445393")</f>
        <v>40445393</v>
      </c>
      <c r="C3718" s="3" t="str">
        <f>HYPERLINK("http://www.ncbi.nlm.nih.gov/protein/40445393","Kcnk12")</f>
        <v>Kcnk12</v>
      </c>
      <c r="E3718" t="str">
        <f>HYPERLINK("J:\Depot - mpkCCD Fractions\Main Web Page\Web Pages_old\proteomic_fractions_linear_files/Yang_linear_img/40445393.jpg","show blot")</f>
        <v>show blot</v>
      </c>
      <c r="G3718" t="s">
        <v>3581</v>
      </c>
      <c r="I3718" s="6">
        <v>3.1775364999298623</v>
      </c>
      <c r="K3718" s="8"/>
    </row>
    <row r="3719" spans="1:11" ht="15" x14ac:dyDescent="0.25">
      <c r="A3719" s="3" t="str">
        <f>HYPERLINK("proteomic_fractions_linear_files/Yang_linear_img/27370096.jpg", "27370096")</f>
        <v>27370096</v>
      </c>
      <c r="C3719" s="3" t="str">
        <f>HYPERLINK("http://www.ncbi.nlm.nih.gov/protein/27370096","Kctd13")</f>
        <v>Kctd13</v>
      </c>
      <c r="E3719" t="str">
        <f>HYPERLINK("J:\Depot - mpkCCD Fractions\Main Web Page\Web Pages_old\proteomic_fractions_linear_files/Yang_linear_img/27370096.jpg","show blot")</f>
        <v>show blot</v>
      </c>
      <c r="G3719" t="s">
        <v>3582</v>
      </c>
      <c r="I3719" s="6">
        <v>4.2812571469606935</v>
      </c>
      <c r="K3719" s="8"/>
    </row>
    <row r="3720" spans="1:11" ht="15" x14ac:dyDescent="0.25">
      <c r="A3720" s="3" t="str">
        <f>HYPERLINK("proteomic_fractions_linear_files/Yang_linear_img/27369698.jpg", "27369698")</f>
        <v>27369698</v>
      </c>
      <c r="C3720" s="3" t="str">
        <f>HYPERLINK("http://www.ncbi.nlm.nih.gov/protein/27369698","Kctd7")</f>
        <v>Kctd7</v>
      </c>
      <c r="E3720" t="str">
        <f>HYPERLINK("J:\Depot - mpkCCD Fractions\Main Web Page\Web Pages_old\proteomic_fractions_linear_files/Yang_linear_img/27369698.jpg","show blot")</f>
        <v>show blot</v>
      </c>
      <c r="G3720" t="s">
        <v>3583</v>
      </c>
      <c r="I3720" s="6">
        <v>3.2843350110136487</v>
      </c>
      <c r="K3720" s="8"/>
    </row>
    <row r="3721" spans="1:11" ht="15" x14ac:dyDescent="0.25">
      <c r="A3721" s="3" t="str">
        <f>HYPERLINK("proteomic_fractions_linear_files/Yang_linear_img/12963767.jpg", "12963767")</f>
        <v>12963767</v>
      </c>
      <c r="C3721" s="3" t="str">
        <f>HYPERLINK("http://www.ncbi.nlm.nih.gov/protein/12963767","Kdelc1")</f>
        <v>Kdelc1</v>
      </c>
      <c r="E3721" t="str">
        <f>HYPERLINK("J:\Depot - mpkCCD Fractions\Main Web Page\Web Pages_old\proteomic_fractions_linear_files/Yang_linear_img/12963767.jpg","show blot")</f>
        <v>show blot</v>
      </c>
      <c r="G3721" t="s">
        <v>3584</v>
      </c>
      <c r="I3721" s="6">
        <v>3.3198354750481931</v>
      </c>
      <c r="K3721" s="8"/>
    </row>
    <row r="3722" spans="1:11" ht="15" x14ac:dyDescent="0.25">
      <c r="A3722" s="3" t="str">
        <f>HYPERLINK("proteomic_fractions_linear_files/Yang_linear_img/47078285.jpg", "47078285")</f>
        <v>47078285</v>
      </c>
      <c r="C3722" s="3" t="str">
        <f>HYPERLINK("http://www.ncbi.nlm.nih.gov/protein/47078285","Kdelc2")</f>
        <v>Kdelc2</v>
      </c>
      <c r="E3722" t="str">
        <f>HYPERLINK("J:\Depot - mpkCCD Fractions\Main Web Page\Web Pages_old\proteomic_fractions_linear_files/Yang_linear_img/47078285.jpg","show blot")</f>
        <v>show blot</v>
      </c>
      <c r="G3722" t="s">
        <v>3585</v>
      </c>
      <c r="I3722" s="6">
        <v>4.0370293301980471</v>
      </c>
      <c r="K3722" s="8"/>
    </row>
    <row r="3723" spans="1:11" ht="15" x14ac:dyDescent="0.25">
      <c r="A3723" s="3" t="str">
        <f>HYPERLINK("proteomic_fractions_linear_files/Yang_linear_img/19527170.jpg", "19527170")</f>
        <v>19527170</v>
      </c>
      <c r="C3723" s="3" t="str">
        <f>HYPERLINK("http://www.ncbi.nlm.nih.gov/protein/19527170","Kdelr1")</f>
        <v>Kdelr1</v>
      </c>
      <c r="E3723" t="str">
        <f>HYPERLINK("J:\Depot - mpkCCD Fractions\Main Web Page\Web Pages_old\proteomic_fractions_linear_files/Yang_linear_img/19527170.jpg","show blot")</f>
        <v>show blot</v>
      </c>
      <c r="G3723" t="s">
        <v>3586</v>
      </c>
      <c r="I3723" s="6">
        <v>5.375407333295569</v>
      </c>
      <c r="K3723" s="8"/>
    </row>
    <row r="3724" spans="1:11" ht="15" x14ac:dyDescent="0.25">
      <c r="A3724" s="3" t="str">
        <f>HYPERLINK("proteomic_fractions_linear_files/Yang_linear_img/13385318.jpg", "13385318")</f>
        <v>13385318</v>
      </c>
      <c r="C3724" s="3" t="str">
        <f>HYPERLINK("http://www.ncbi.nlm.nih.gov/protein/13385318","Kdelr2")</f>
        <v>Kdelr2</v>
      </c>
      <c r="E3724" t="str">
        <f>HYPERLINK("J:\Depot - mpkCCD Fractions\Main Web Page\Web Pages_old\proteomic_fractions_linear_files/Yang_linear_img/13385318.jpg","show blot")</f>
        <v>show blot</v>
      </c>
      <c r="G3724" t="s">
        <v>3587</v>
      </c>
      <c r="I3724" s="6">
        <v>5.375407333295569</v>
      </c>
      <c r="K3724" s="8"/>
    </row>
    <row r="3725" spans="1:11" ht="15" x14ac:dyDescent="0.25">
      <c r="A3725" s="3" t="str">
        <f>HYPERLINK("proteomic_fractions_linear_files/Yang_linear_img/224994233.jpg", "224994233")</f>
        <v>224994233</v>
      </c>
      <c r="C3725" s="3" t="str">
        <f>HYPERLINK("http://www.ncbi.nlm.nih.gov/protein/224994233","Kdm1a")</f>
        <v>Kdm1a</v>
      </c>
      <c r="E3725" t="str">
        <f>HYPERLINK("J:\Depot - mpkCCD Fractions\Main Web Page\Web Pages_old\proteomic_fractions_linear_files/Yang_linear_img/224994233.jpg","show blot")</f>
        <v>show blot</v>
      </c>
      <c r="G3725" t="s">
        <v>3588</v>
      </c>
      <c r="I3725" s="6">
        <v>4.745397337304488</v>
      </c>
      <c r="K3725" s="8"/>
    </row>
    <row r="3726" spans="1:11" ht="15" x14ac:dyDescent="0.25">
      <c r="A3726" s="3" t="str">
        <f>HYPERLINK("proteomic_fractions_linear_files/Yang_linear_img/26986559.jpg", "26986559")</f>
        <v>26986559</v>
      </c>
      <c r="C3726" s="3" t="str">
        <f>HYPERLINK("http://www.ncbi.nlm.nih.gov/protein/26986559","Kdm1b")</f>
        <v>Kdm1b</v>
      </c>
      <c r="E3726" t="str">
        <f>HYPERLINK("J:\Depot - mpkCCD Fractions\Main Web Page\Web Pages_old\proteomic_fractions_linear_files/Yang_linear_img/26986559.jpg","show blot")</f>
        <v>show blot</v>
      </c>
      <c r="G3726" t="s">
        <v>3589</v>
      </c>
      <c r="I3726" s="6">
        <v>1.1121435383678706</v>
      </c>
      <c r="K3726" s="8"/>
    </row>
    <row r="3727" spans="1:11" ht="15" x14ac:dyDescent="0.25">
      <c r="A3727" s="3" t="str">
        <f>HYPERLINK("proteomic_fractions_linear_files/Yang_linear_img/124486935.jpg", "124486935")</f>
        <v>124486935</v>
      </c>
      <c r="C3727" s="3" t="str">
        <f>HYPERLINK("http://www.ncbi.nlm.nih.gov/protein/124486935","Kdm3b")</f>
        <v>Kdm3b</v>
      </c>
      <c r="E3727" t="str">
        <f>HYPERLINK("J:\Depot - mpkCCD Fractions\Main Web Page\Web Pages_old\proteomic_fractions_linear_files/Yang_linear_img/124486935.jpg","show blot")</f>
        <v>show blot</v>
      </c>
      <c r="G3727" t="s">
        <v>3590</v>
      </c>
      <c r="I3727" s="6">
        <v>3.1181617516423166</v>
      </c>
      <c r="K3727" s="8"/>
    </row>
    <row r="3728" spans="1:11" ht="15" x14ac:dyDescent="0.25">
      <c r="A3728" s="3" t="str">
        <f>HYPERLINK("proteomic_fractions_linear_files/Yang_linear_img/165905607.jpg", "165905607")</f>
        <v>165905607</v>
      </c>
      <c r="C3728" s="3" t="str">
        <f>HYPERLINK("http://www.ncbi.nlm.nih.gov/protein/165905607","Kdm5c")</f>
        <v>Kdm5c</v>
      </c>
      <c r="E3728" t="str">
        <f>HYPERLINK("J:\Depot - mpkCCD Fractions\Main Web Page\Web Pages_old\proteomic_fractions_linear_files/Yang_linear_img/165905607.jpg","show blot")</f>
        <v>show blot</v>
      </c>
      <c r="G3728" t="s">
        <v>3591</v>
      </c>
      <c r="I3728" s="6">
        <v>3.5115782018731649</v>
      </c>
      <c r="K3728" s="8"/>
    </row>
    <row r="3729" spans="1:11" ht="15" x14ac:dyDescent="0.25">
      <c r="A3729" s="3" t="str">
        <f>HYPERLINK("proteomic_fractions_linear_files/Yang_linear_img/27777648.jpg", "27777648")</f>
        <v>27777648</v>
      </c>
      <c r="C3729" s="3" t="str">
        <f>HYPERLINK("http://www.ncbi.nlm.nih.gov/protein/27777648","Kdr")</f>
        <v>Kdr</v>
      </c>
      <c r="E3729" t="str">
        <f>HYPERLINK("J:\Depot - mpkCCD Fractions\Main Web Page\Web Pages_old\proteomic_fractions_linear_files/Yang_linear_img/27777648.jpg","show blot")</f>
        <v>show blot</v>
      </c>
      <c r="G3729" t="s">
        <v>3592</v>
      </c>
      <c r="I3729" s="6">
        <v>5.2084726593073407</v>
      </c>
      <c r="K3729" s="8"/>
    </row>
    <row r="3730" spans="1:11" ht="15" x14ac:dyDescent="0.25">
      <c r="A3730" s="3" t="str">
        <f>HYPERLINK("proteomic_fractions_linear_files/Yang_linear_img/110625780.jpg", "110625780")</f>
        <v>110625780</v>
      </c>
      <c r="C3730" s="3" t="str">
        <f>HYPERLINK("http://www.ncbi.nlm.nih.gov/protein/110625780","Kdsr")</f>
        <v>Kdsr</v>
      </c>
      <c r="E3730" t="str">
        <f>HYPERLINK("J:\Depot - mpkCCD Fractions\Main Web Page\Web Pages_old\proteomic_fractions_linear_files/Yang_linear_img/110625780.jpg","show blot")</f>
        <v>show blot</v>
      </c>
      <c r="G3730" t="s">
        <v>3593</v>
      </c>
      <c r="I3730" s="6">
        <v>4.2334406718174398</v>
      </c>
      <c r="K3730" s="8"/>
    </row>
    <row r="3731" spans="1:11" ht="15" x14ac:dyDescent="0.25">
      <c r="A3731" s="3" t="str">
        <f>HYPERLINK("proteomic_fractions_linear_files/Yang_linear_img/160333659;7710044.jpg", "160333659;7710044")</f>
        <v>160333659;7710044</v>
      </c>
      <c r="C3731" s="3" t="str">
        <f>HYPERLINK("http://www.ncbi.nlm.nih.gov/protein/160333659;7710044","Keap1")</f>
        <v>Keap1</v>
      </c>
      <c r="E3731" t="str">
        <f>HYPERLINK("J:\Depot - mpkCCD Fractions\Main Web Page\Web Pages_old\proteomic_fractions_linear_files/Yang_linear_img/160333659;7710044.jpg","show blot")</f>
        <v>show blot</v>
      </c>
      <c r="G3731" t="s">
        <v>3594</v>
      </c>
      <c r="I3731" s="6">
        <v>4.098868961744663</v>
      </c>
      <c r="K3731" s="8"/>
    </row>
    <row r="3732" spans="1:11" ht="15" x14ac:dyDescent="0.25">
      <c r="A3732" s="3" t="str">
        <f>HYPERLINK("proteomic_fractions_linear_files/Yang_linear_img/7710044.jpg", "7710044")</f>
        <v>7710044</v>
      </c>
      <c r="C3732" s="3" t="str">
        <f>HYPERLINK("http://www.ncbi.nlm.nih.gov/protein/7710044","Keap1")</f>
        <v>Keap1</v>
      </c>
      <c r="E3732" t="str">
        <f>HYPERLINK("J:\Depot - mpkCCD Fractions\Main Web Page\Web Pages_old\proteomic_fractions_linear_files/Yang_linear_img/7710044.jpg","show blot")</f>
        <v>show blot</v>
      </c>
      <c r="G3732" t="s">
        <v>3594</v>
      </c>
      <c r="I3732" s="6">
        <v>4.098868961744663</v>
      </c>
      <c r="K3732" s="8"/>
    </row>
    <row r="3733" spans="1:11" ht="15" x14ac:dyDescent="0.25">
      <c r="A3733" s="3" t="str">
        <f>HYPERLINK("proteomic_fractions_linear_files/Yang_linear_img/110626031.jpg", "110626031")</f>
        <v>110626031</v>
      </c>
      <c r="C3733" s="3" t="str">
        <f>HYPERLINK("http://www.ncbi.nlm.nih.gov/protein/110626031","Khdrbs1")</f>
        <v>Khdrbs1</v>
      </c>
      <c r="E3733" t="str">
        <f>HYPERLINK("J:\Depot - mpkCCD Fractions\Main Web Page\Web Pages_old\proteomic_fractions_linear_files/Yang_linear_img/110626031.jpg","show blot")</f>
        <v>show blot</v>
      </c>
      <c r="G3733" t="s">
        <v>3595</v>
      </c>
      <c r="I3733" s="6">
        <v>5.4605147746418714</v>
      </c>
      <c r="K3733" s="8"/>
    </row>
    <row r="3734" spans="1:11" ht="15" x14ac:dyDescent="0.25">
      <c r="A3734" s="3" t="str">
        <f>HYPERLINK("proteomic_fractions_linear_files/Yang_linear_img/18875400.jpg", "18875400")</f>
        <v>18875400</v>
      </c>
      <c r="C3734" s="3" t="str">
        <f>HYPERLINK("http://www.ncbi.nlm.nih.gov/protein/18875400","Khdrbs2")</f>
        <v>Khdrbs2</v>
      </c>
      <c r="E3734" t="str">
        <f>HYPERLINK("J:\Depot - mpkCCD Fractions\Main Web Page\Web Pages_old\proteomic_fractions_linear_files/Yang_linear_img/18875400.jpg","show blot")</f>
        <v>show blot</v>
      </c>
      <c r="G3734" t="s">
        <v>3596</v>
      </c>
      <c r="I3734" s="6">
        <v>5.1617735187826321</v>
      </c>
      <c r="K3734" s="8"/>
    </row>
    <row r="3735" spans="1:11" ht="15" x14ac:dyDescent="0.25">
      <c r="A3735" s="3" t="str">
        <f>HYPERLINK("proteomic_fractions_linear_files/Yang_linear_img/117647236.jpg", "117647236")</f>
        <v>117647236</v>
      </c>
      <c r="C3735" s="3" t="str">
        <f>HYPERLINK("http://www.ncbi.nlm.nih.gov/protein/117647236","Khdrbs3")</f>
        <v>Khdrbs3</v>
      </c>
      <c r="E3735" t="str">
        <f>HYPERLINK("J:\Depot - mpkCCD Fractions\Main Web Page\Web Pages_old\proteomic_fractions_linear_files/Yang_linear_img/117647236.jpg","show blot")</f>
        <v>show blot</v>
      </c>
      <c r="G3735" t="s">
        <v>3597</v>
      </c>
      <c r="I3735" s="6">
        <v>5.1617735187826321</v>
      </c>
      <c r="K3735" s="8"/>
    </row>
    <row r="3736" spans="1:11" ht="15" x14ac:dyDescent="0.25">
      <c r="A3736" s="3" t="str">
        <f>HYPERLINK("proteomic_fractions_linear_files/Yang_linear_img/31982229.jpg", "31982229")</f>
        <v>31982229</v>
      </c>
      <c r="C3736" s="3" t="str">
        <f>HYPERLINK("http://www.ncbi.nlm.nih.gov/protein/31982229","Khk")</f>
        <v>Khk</v>
      </c>
      <c r="E3736" t="str">
        <f>HYPERLINK("J:\Depot - mpkCCD Fractions\Main Web Page\Web Pages_old\proteomic_fractions_linear_files/Yang_linear_img/31982229.jpg","show blot")</f>
        <v>show blot</v>
      </c>
      <c r="G3736" t="s">
        <v>3598</v>
      </c>
      <c r="I3736" s="6">
        <v>3.4872404363999161</v>
      </c>
      <c r="K3736" s="8"/>
    </row>
    <row r="3737" spans="1:11" ht="15" x14ac:dyDescent="0.25">
      <c r="A3737" s="3" t="str">
        <f>HYPERLINK("proteomic_fractions_linear_files/Yang_linear_img/163954948.jpg", "163954948")</f>
        <v>163954948</v>
      </c>
      <c r="C3737" s="3" t="str">
        <f>HYPERLINK("http://www.ncbi.nlm.nih.gov/protein/163954948","Khsrp")</f>
        <v>Khsrp</v>
      </c>
      <c r="E3737" t="str">
        <f>HYPERLINK("J:\Depot - mpkCCD Fractions\Main Web Page\Web Pages_old\proteomic_fractions_linear_files/Yang_linear_img/163954948.jpg","show blot")</f>
        <v>show blot</v>
      </c>
      <c r="G3737" t="s">
        <v>3599</v>
      </c>
      <c r="I3737" s="6">
        <v>5.9014817799728041</v>
      </c>
      <c r="K3737" s="8"/>
    </row>
    <row r="3738" spans="1:11" ht="15" x14ac:dyDescent="0.25">
      <c r="A3738" s="3" t="str">
        <f>HYPERLINK("proteomic_fractions_linear_files/Yang_linear_img/124487039.jpg", "124487039")</f>
        <v>124487039</v>
      </c>
      <c r="C3738" s="3" t="str">
        <f>HYPERLINK("http://www.ncbi.nlm.nih.gov/protein/124487039","Kidins220")</f>
        <v>Kidins220</v>
      </c>
      <c r="E3738" t="str">
        <f>HYPERLINK("J:\Depot - mpkCCD Fractions\Main Web Page\Web Pages_old\proteomic_fractions_linear_files/Yang_linear_img/124487039.jpg","show blot")</f>
        <v>show blot</v>
      </c>
      <c r="G3738" t="s">
        <v>3600</v>
      </c>
      <c r="I3738" s="6">
        <v>3.1933145729528745</v>
      </c>
      <c r="K3738" s="8"/>
    </row>
    <row r="3739" spans="1:11" ht="15" x14ac:dyDescent="0.25">
      <c r="A3739" s="3" t="str">
        <f>HYPERLINK("proteomic_fractions_linear_files/Yang_linear_img/45476577.jpg", "45476577")</f>
        <v>45476577</v>
      </c>
      <c r="C3739" s="3" t="str">
        <f>HYPERLINK("http://www.ncbi.nlm.nih.gov/protein/45476577","Kif11")</f>
        <v>Kif11</v>
      </c>
      <c r="E3739" t="str">
        <f>HYPERLINK("J:\Depot - mpkCCD Fractions\Main Web Page\Web Pages_old\proteomic_fractions_linear_files/Yang_linear_img/45476577.jpg","show blot")</f>
        <v>show blot</v>
      </c>
      <c r="G3739" t="s">
        <v>3601</v>
      </c>
      <c r="I3739" s="6">
        <v>3.7939647266432672</v>
      </c>
      <c r="K3739" s="8"/>
    </row>
    <row r="3740" spans="1:11" ht="15" x14ac:dyDescent="0.25">
      <c r="A3740" s="3" t="str">
        <f>HYPERLINK("proteomic_fractions_linear_files/Yang_linear_img/120300944.jpg", "120300944")</f>
        <v>120300944</v>
      </c>
      <c r="C3740" s="3" t="str">
        <f>HYPERLINK("http://www.ncbi.nlm.nih.gov/protein/120300944","Kif13a")</f>
        <v>Kif13a</v>
      </c>
      <c r="E3740" t="str">
        <f>HYPERLINK("J:\Depot - mpkCCD Fractions\Main Web Page\Web Pages_old\proteomic_fractions_linear_files/Yang_linear_img/120300944.jpg","show blot")</f>
        <v>show blot</v>
      </c>
      <c r="G3740" t="s">
        <v>3602</v>
      </c>
      <c r="I3740" s="6">
        <v>3.8921427291773441</v>
      </c>
      <c r="K3740" s="8"/>
    </row>
    <row r="3741" spans="1:11" ht="15" x14ac:dyDescent="0.25">
      <c r="A3741" s="3" t="str">
        <f>HYPERLINK("proteomic_fractions_linear_files/Yang_linear_img/124487163.jpg", "124487163")</f>
        <v>124487163</v>
      </c>
      <c r="C3741" s="3" t="str">
        <f>HYPERLINK("http://www.ncbi.nlm.nih.gov/protein/124487163","Kif13b")</f>
        <v>Kif13b</v>
      </c>
      <c r="E3741" t="str">
        <f>HYPERLINK("J:\Depot - mpkCCD Fractions\Main Web Page\Web Pages_old\proteomic_fractions_linear_files/Yang_linear_img/124487163.jpg","show blot")</f>
        <v>show blot</v>
      </c>
      <c r="G3741" t="s">
        <v>3603</v>
      </c>
      <c r="I3741" s="6">
        <v>5.3473743011460124</v>
      </c>
      <c r="K3741" s="8"/>
    </row>
    <row r="3742" spans="1:11" ht="15" x14ac:dyDescent="0.25">
      <c r="A3742" s="3" t="str">
        <f>HYPERLINK("proteomic_fractions_linear_files/Yang_linear_img/124486927.jpg", "124486927")</f>
        <v>124486927</v>
      </c>
      <c r="C3742" s="3" t="str">
        <f>HYPERLINK("http://www.ncbi.nlm.nih.gov/protein/124486927","Kif14")</f>
        <v>Kif14</v>
      </c>
      <c r="E3742" t="str">
        <f>HYPERLINK("J:\Depot - mpkCCD Fractions\Main Web Page\Web Pages_old\proteomic_fractions_linear_files/Yang_linear_img/124486927.jpg","show blot")</f>
        <v>show blot</v>
      </c>
      <c r="G3742" t="s">
        <v>3604</v>
      </c>
      <c r="I3742" s="6">
        <v>3.4224714978083672</v>
      </c>
      <c r="K3742" s="8"/>
    </row>
    <row r="3743" spans="1:11" ht="15" x14ac:dyDescent="0.25">
      <c r="A3743" s="3" t="str">
        <f>HYPERLINK("proteomic_fractions_linear_files/Yang_linear_img/39930325.jpg", "39930325")</f>
        <v>39930325</v>
      </c>
      <c r="C3743" s="3" t="str">
        <f>HYPERLINK("http://www.ncbi.nlm.nih.gov/protein/39930325","Kif15")</f>
        <v>Kif15</v>
      </c>
      <c r="E3743" t="str">
        <f>HYPERLINK("J:\Depot - mpkCCD Fractions\Main Web Page\Web Pages_old\proteomic_fractions_linear_files/Yang_linear_img/39930325.jpg","show blot")</f>
        <v>show blot</v>
      </c>
      <c r="G3743" t="s">
        <v>3605</v>
      </c>
      <c r="I3743" s="6">
        <v>2.7070782860072997</v>
      </c>
      <c r="K3743" s="8"/>
    </row>
    <row r="3744" spans="1:11" ht="15" x14ac:dyDescent="0.25">
      <c r="A3744" s="3" t="str">
        <f>HYPERLINK("proteomic_fractions_linear_files/Yang_linear_img/124487287.jpg", "124487287")</f>
        <v>124487287</v>
      </c>
      <c r="C3744" s="3" t="str">
        <f>HYPERLINK("http://www.ncbi.nlm.nih.gov/protein/124487287","Kif16b")</f>
        <v>Kif16b</v>
      </c>
      <c r="E3744" t="str">
        <f>HYPERLINK("J:\Depot - mpkCCD Fractions\Main Web Page\Web Pages_old\proteomic_fractions_linear_files/Yang_linear_img/124487287.jpg","show blot")</f>
        <v>show blot</v>
      </c>
      <c r="G3744" t="s">
        <v>3606</v>
      </c>
      <c r="I3744" s="6">
        <v>3.1995408793114817</v>
      </c>
      <c r="K3744" s="8"/>
    </row>
    <row r="3745" spans="1:11" ht="15" x14ac:dyDescent="0.25">
      <c r="A3745" s="3" t="str">
        <f>HYPERLINK("proteomic_fractions_linear_files/Yang_linear_img/13487898.jpg", "13487898")</f>
        <v>13487898</v>
      </c>
      <c r="C3745" s="3" t="str">
        <f>HYPERLINK("http://www.ncbi.nlm.nih.gov/protein/13487898","Kif17")</f>
        <v>Kif17</v>
      </c>
      <c r="E3745" t="str">
        <f>HYPERLINK("J:\Depot - mpkCCD Fractions\Main Web Page\Web Pages_old\proteomic_fractions_linear_files/Yang_linear_img/13487898.jpg","show blot")</f>
        <v>show blot</v>
      </c>
      <c r="G3745" t="s">
        <v>3607</v>
      </c>
      <c r="I3745" s="6">
        <v>3.7770600856856085</v>
      </c>
      <c r="K3745" s="8"/>
    </row>
    <row r="3746" spans="1:11" ht="15" x14ac:dyDescent="0.25">
      <c r="A3746" s="3" t="str">
        <f>HYPERLINK("proteomic_fractions_linear_files/Yang_linear_img/300795177.jpg", "300795177")</f>
        <v>300795177</v>
      </c>
      <c r="C3746" s="3" t="str">
        <f>HYPERLINK("http://www.ncbi.nlm.nih.gov/protein/300795177","Kif17")</f>
        <v>Kif17</v>
      </c>
      <c r="E3746" t="str">
        <f>HYPERLINK("J:\Depot - mpkCCD Fractions\Main Web Page\Web Pages_old\proteomic_fractions_linear_files/Yang_linear_img/300795177.jpg","show blot")</f>
        <v>show blot</v>
      </c>
      <c r="G3746" t="s">
        <v>3608</v>
      </c>
      <c r="I3746" s="6">
        <v>3.7770600856856085</v>
      </c>
      <c r="K3746" s="8"/>
    </row>
    <row r="3747" spans="1:11" ht="15" x14ac:dyDescent="0.25">
      <c r="A3747" s="3" t="str">
        <f>HYPERLINK("proteomic_fractions_linear_files/Yang_linear_img/160333877.jpg", "160333877")</f>
        <v>160333877</v>
      </c>
      <c r="C3747" s="3" t="str">
        <f>HYPERLINK("http://www.ncbi.nlm.nih.gov/protein/160333877","Kif1a")</f>
        <v>Kif1a</v>
      </c>
      <c r="E3747" t="str">
        <f>HYPERLINK("J:\Depot - mpkCCD Fractions\Main Web Page\Web Pages_old\proteomic_fractions_linear_files/Yang_linear_img/160333877.jpg","show blot")</f>
        <v>show blot</v>
      </c>
      <c r="G3747" t="s">
        <v>3609</v>
      </c>
      <c r="I3747" s="6">
        <v>4.2032298948062632</v>
      </c>
      <c r="K3747" s="8"/>
    </row>
    <row r="3748" spans="1:11" ht="15" x14ac:dyDescent="0.25">
      <c r="A3748" s="3" t="str">
        <f>HYPERLINK("proteomic_fractions_linear_files/Yang_linear_img/160708010.jpg", "160708010")</f>
        <v>160708010</v>
      </c>
      <c r="C3748" s="3" t="str">
        <f>HYPERLINK("http://www.ncbi.nlm.nih.gov/protein/160708010","Kif1a")</f>
        <v>Kif1a</v>
      </c>
      <c r="E3748" t="str">
        <f>HYPERLINK("J:\Depot - mpkCCD Fractions\Main Web Page\Web Pages_old\proteomic_fractions_linear_files/Yang_linear_img/160708010.jpg","show blot")</f>
        <v>show blot</v>
      </c>
      <c r="G3748" t="s">
        <v>3610</v>
      </c>
      <c r="I3748" s="6">
        <v>4.2032298948062632</v>
      </c>
      <c r="K3748" s="8"/>
    </row>
    <row r="3749" spans="1:11" ht="15" x14ac:dyDescent="0.25">
      <c r="A3749" s="3" t="str">
        <f>HYPERLINK("proteomic_fractions_linear_files/Yang_linear_img/86990458.jpg", "86990458")</f>
        <v>86990458</v>
      </c>
      <c r="C3749" s="3" t="str">
        <f>HYPERLINK("http://www.ncbi.nlm.nih.gov/protein/86990458","Kif1b")</f>
        <v>Kif1b</v>
      </c>
      <c r="E3749" t="str">
        <f>HYPERLINK("J:\Depot - mpkCCD Fractions\Main Web Page\Web Pages_old\proteomic_fractions_linear_files/Yang_linear_img/86990458.jpg","show blot")</f>
        <v>show blot</v>
      </c>
      <c r="G3749" t="s">
        <v>3611</v>
      </c>
      <c r="I3749" s="6">
        <v>4.3814491821860688</v>
      </c>
      <c r="K3749" s="8"/>
    </row>
    <row r="3750" spans="1:11" ht="15" x14ac:dyDescent="0.25">
      <c r="A3750" s="3" t="str">
        <f>HYPERLINK("proteomic_fractions_linear_files/Yang_linear_img/86990460.jpg", "86990460")</f>
        <v>86990460</v>
      </c>
      <c r="C3750" s="3" t="str">
        <f>HYPERLINK("http://www.ncbi.nlm.nih.gov/protein/86990460","Kif1b")</f>
        <v>Kif1b</v>
      </c>
      <c r="E3750" t="str">
        <f>HYPERLINK("J:\Depot - mpkCCD Fractions\Main Web Page\Web Pages_old\proteomic_fractions_linear_files/Yang_linear_img/86990460.jpg","show blot")</f>
        <v>show blot</v>
      </c>
      <c r="G3750" t="s">
        <v>3612</v>
      </c>
      <c r="I3750" s="6">
        <v>4.3814491821860688</v>
      </c>
      <c r="K3750" s="8"/>
    </row>
    <row r="3751" spans="1:11" ht="15" x14ac:dyDescent="0.25">
      <c r="A3751" s="3" t="str">
        <f>HYPERLINK("proteomic_fractions_linear_files/Yang_linear_img/145966744.jpg", "145966744")</f>
        <v>145966744</v>
      </c>
      <c r="C3751" s="3" t="str">
        <f>HYPERLINK("http://www.ncbi.nlm.nih.gov/protein/145966744","Kif1c")</f>
        <v>Kif1c</v>
      </c>
      <c r="E3751" t="str">
        <f>HYPERLINK("J:\Depot - mpkCCD Fractions\Main Web Page\Web Pages_old\proteomic_fractions_linear_files/Yang_linear_img/145966744.jpg","show blot")</f>
        <v>show blot</v>
      </c>
      <c r="G3751" t="s">
        <v>3613</v>
      </c>
      <c r="I3751" s="6">
        <v>4.4518776514533567</v>
      </c>
      <c r="K3751" s="8"/>
    </row>
    <row r="3752" spans="1:11" ht="15" x14ac:dyDescent="0.25">
      <c r="A3752" s="3" t="str">
        <f>HYPERLINK("proteomic_fractions_linear_files/Yang_linear_img/157823695.jpg", "157823695")</f>
        <v>157823695</v>
      </c>
      <c r="C3752" s="3" t="str">
        <f>HYPERLINK("http://www.ncbi.nlm.nih.gov/protein/157823695","Kif21a")</f>
        <v>Kif21a</v>
      </c>
      <c r="E3752" t="str">
        <f>HYPERLINK("J:\Depot - mpkCCD Fractions\Main Web Page\Web Pages_old\proteomic_fractions_linear_files/Yang_linear_img/157823695.jpg","show blot")</f>
        <v>show blot</v>
      </c>
      <c r="G3752" t="s">
        <v>3614</v>
      </c>
      <c r="I3752" s="6">
        <v>2.6058855454257763</v>
      </c>
      <c r="K3752" s="8"/>
    </row>
    <row r="3753" spans="1:11" ht="15" x14ac:dyDescent="0.25">
      <c r="A3753" s="3" t="str">
        <f>HYPERLINK("proteomic_fractions_linear_files/Yang_linear_img/157823731.jpg", "157823731")</f>
        <v>157823731</v>
      </c>
      <c r="C3753" s="3" t="str">
        <f>HYPERLINK("http://www.ncbi.nlm.nih.gov/protein/157823731","Kif21a")</f>
        <v>Kif21a</v>
      </c>
      <c r="E3753" t="str">
        <f>HYPERLINK("J:\Depot - mpkCCD Fractions\Main Web Page\Web Pages_old\proteomic_fractions_linear_files/Yang_linear_img/157823731.jpg","show blot")</f>
        <v>show blot</v>
      </c>
      <c r="G3753" t="s">
        <v>3615</v>
      </c>
      <c r="I3753" s="6">
        <v>2.6058855454257763</v>
      </c>
      <c r="K3753" s="8"/>
    </row>
    <row r="3754" spans="1:11" ht="15" x14ac:dyDescent="0.25">
      <c r="A3754" s="3" t="str">
        <f>HYPERLINK("proteomic_fractions_linear_files/Yang_linear_img/157823761.jpg", "157823761")</f>
        <v>157823761</v>
      </c>
      <c r="C3754" s="3" t="str">
        <f>HYPERLINK("http://www.ncbi.nlm.nih.gov/protein/157823761","Kif21a")</f>
        <v>Kif21a</v>
      </c>
      <c r="E3754" t="str">
        <f>HYPERLINK("J:\Depot - mpkCCD Fractions\Main Web Page\Web Pages_old\proteomic_fractions_linear_files/Yang_linear_img/157823761.jpg","show blot")</f>
        <v>show blot</v>
      </c>
      <c r="G3754" t="s">
        <v>3616</v>
      </c>
      <c r="I3754" s="6">
        <v>2.6058855454257763</v>
      </c>
      <c r="K3754" s="8"/>
    </row>
    <row r="3755" spans="1:11" ht="15" x14ac:dyDescent="0.25">
      <c r="A3755" s="3" t="str">
        <f>HYPERLINK("proteomic_fractions_linear_files/Yang_linear_img/157823795.jpg", "157823795")</f>
        <v>157823795</v>
      </c>
      <c r="C3755" s="3" t="str">
        <f>HYPERLINK("http://www.ncbi.nlm.nih.gov/protein/157823795","Kif21a")</f>
        <v>Kif21a</v>
      </c>
      <c r="E3755" t="str">
        <f>HYPERLINK("J:\Depot - mpkCCD Fractions\Main Web Page\Web Pages_old\proteomic_fractions_linear_files/Yang_linear_img/157823795.jpg","show blot")</f>
        <v>show blot</v>
      </c>
      <c r="G3755" t="s">
        <v>3617</v>
      </c>
      <c r="I3755" s="6">
        <v>2.6058855454257763</v>
      </c>
      <c r="K3755" s="8"/>
    </row>
    <row r="3756" spans="1:11" ht="15" x14ac:dyDescent="0.25">
      <c r="A3756" s="3" t="str">
        <f>HYPERLINK("proteomic_fractions_linear_files/Yang_linear_img/21704182.jpg", "21704182")</f>
        <v>21704182</v>
      </c>
      <c r="C3756" s="3" t="str">
        <f>HYPERLINK("http://www.ncbi.nlm.nih.gov/protein/21704182","Kif22")</f>
        <v>Kif22</v>
      </c>
      <c r="E3756" t="str">
        <f>HYPERLINK("J:\Depot - mpkCCD Fractions\Main Web Page\Web Pages_old\proteomic_fractions_linear_files/Yang_linear_img/21704182.jpg","show blot")</f>
        <v>show blot</v>
      </c>
      <c r="G3756" t="s">
        <v>3618</v>
      </c>
      <c r="I3756" s="6">
        <v>3.7440050462824503</v>
      </c>
      <c r="K3756" s="8"/>
    </row>
    <row r="3757" spans="1:11" ht="15" x14ac:dyDescent="0.25">
      <c r="A3757" s="3" t="str">
        <f>HYPERLINK("proteomic_fractions_linear_files/Yang_linear_img/32401469.jpg", "32401469")</f>
        <v>32401469</v>
      </c>
      <c r="C3757" s="3" t="str">
        <f>HYPERLINK("http://www.ncbi.nlm.nih.gov/protein/32401469","Kif27")</f>
        <v>Kif27</v>
      </c>
      <c r="E3757" t="str">
        <f>HYPERLINK("J:\Depot - mpkCCD Fractions\Main Web Page\Web Pages_old\proteomic_fractions_linear_files/Yang_linear_img/32401469.jpg","show blot")</f>
        <v>show blot</v>
      </c>
      <c r="G3757" t="s">
        <v>3619</v>
      </c>
      <c r="I3757" s="6">
        <v>2.6627756448717039</v>
      </c>
      <c r="K3757" s="8"/>
    </row>
    <row r="3758" spans="1:11" ht="15" x14ac:dyDescent="0.25">
      <c r="A3758" s="3" t="str">
        <f>HYPERLINK("proteomic_fractions_linear_files/Yang_linear_img/224809371.jpg", "224809371")</f>
        <v>224809371</v>
      </c>
      <c r="C3758" s="3" t="str">
        <f>HYPERLINK("http://www.ncbi.nlm.nih.gov/protein/224809371","Kif2a")</f>
        <v>Kif2a</v>
      </c>
      <c r="E3758" t="str">
        <f>HYPERLINK("J:\Depot - mpkCCD Fractions\Main Web Page\Web Pages_old\proteomic_fractions_linear_files/Yang_linear_img/224809371.jpg","show blot")</f>
        <v>show blot</v>
      </c>
      <c r="G3758" t="s">
        <v>3620</v>
      </c>
      <c r="I3758" s="6">
        <v>4.1474707794779295</v>
      </c>
      <c r="K3758" s="8"/>
    </row>
    <row r="3759" spans="1:11" ht="15" x14ac:dyDescent="0.25">
      <c r="A3759" s="3" t="str">
        <f>HYPERLINK("proteomic_fractions_linear_files/Yang_linear_img/224809373.jpg", "224809373")</f>
        <v>224809373</v>
      </c>
      <c r="C3759" s="3" t="str">
        <f>HYPERLINK("http://www.ncbi.nlm.nih.gov/protein/224809373","Kif2a")</f>
        <v>Kif2a</v>
      </c>
      <c r="E3759" t="str">
        <f>HYPERLINK("J:\Depot - mpkCCD Fractions\Main Web Page\Web Pages_old\proteomic_fractions_linear_files/Yang_linear_img/224809373.jpg","show blot")</f>
        <v>show blot</v>
      </c>
      <c r="G3759" t="s">
        <v>3621</v>
      </c>
      <c r="I3759" s="6">
        <v>4.1474707794779295</v>
      </c>
      <c r="K3759" s="8"/>
    </row>
    <row r="3760" spans="1:11" ht="15" x14ac:dyDescent="0.25">
      <c r="A3760" s="3" t="str">
        <f>HYPERLINK("proteomic_fractions_linear_files/Yang_linear_img/110625946.jpg", "110625946")</f>
        <v>110625946</v>
      </c>
      <c r="C3760" s="3" t="str">
        <f>HYPERLINK("http://www.ncbi.nlm.nih.gov/protein/110625946","Kif2b")</f>
        <v>Kif2b</v>
      </c>
      <c r="E3760" t="str">
        <f>HYPERLINK("J:\Depot - mpkCCD Fractions\Main Web Page\Web Pages_old\proteomic_fractions_linear_files/Yang_linear_img/110625946.jpg","show blot")</f>
        <v>show blot</v>
      </c>
      <c r="G3760" t="s">
        <v>3622</v>
      </c>
      <c r="I3760" s="6">
        <v>3.4550182001681105</v>
      </c>
      <c r="K3760" s="8"/>
    </row>
    <row r="3761" spans="1:11" ht="15" x14ac:dyDescent="0.25">
      <c r="A3761" s="3" t="str">
        <f>HYPERLINK("proteomic_fractions_linear_files/Yang_linear_img/34328138.jpg", "34328138")</f>
        <v>34328138</v>
      </c>
      <c r="C3761" s="3" t="str">
        <f>HYPERLINK("http://www.ncbi.nlm.nih.gov/protein/34328138","Kif3a")</f>
        <v>Kif3a</v>
      </c>
      <c r="E3761" t="str">
        <f>HYPERLINK("J:\Depot - mpkCCD Fractions\Main Web Page\Web Pages_old\proteomic_fractions_linear_files/Yang_linear_img/34328138.jpg","show blot")</f>
        <v>show blot</v>
      </c>
      <c r="G3761" t="s">
        <v>3623</v>
      </c>
      <c r="I3761" s="6">
        <v>3.870968526211584</v>
      </c>
      <c r="K3761" s="8"/>
    </row>
    <row r="3762" spans="1:11" ht="15" x14ac:dyDescent="0.25">
      <c r="A3762" s="3" t="str">
        <f>HYPERLINK("proteomic_fractions_linear_files/Yang_linear_img/227908861.jpg", "227908861")</f>
        <v>227908861</v>
      </c>
      <c r="C3762" s="3" t="str">
        <f>HYPERLINK("http://www.ncbi.nlm.nih.gov/protein/227908861","Kif3b")</f>
        <v>Kif3b</v>
      </c>
      <c r="E3762" t="str">
        <f>HYPERLINK("J:\Depot - mpkCCD Fractions\Main Web Page\Web Pages_old\proteomic_fractions_linear_files/Yang_linear_img/227908861.jpg","show blot")</f>
        <v>show blot</v>
      </c>
      <c r="G3762" t="s">
        <v>3624</v>
      </c>
      <c r="I3762" s="6">
        <v>3.8518777377515905</v>
      </c>
      <c r="K3762" s="8"/>
    </row>
    <row r="3763" spans="1:11" ht="15" x14ac:dyDescent="0.25">
      <c r="A3763" s="3" t="str">
        <f>HYPERLINK("proteomic_fractions_linear_files/Yang_linear_img/84781817.jpg", "84781817")</f>
        <v>84781817</v>
      </c>
      <c r="C3763" s="3" t="str">
        <f>HYPERLINK("http://www.ncbi.nlm.nih.gov/protein/84781817","Kif3c")</f>
        <v>Kif3c</v>
      </c>
      <c r="E3763" t="str">
        <f>HYPERLINK("J:\Depot - mpkCCD Fractions\Main Web Page\Web Pages_old\proteomic_fractions_linear_files/Yang_linear_img/84781817.jpg","show blot")</f>
        <v>show blot</v>
      </c>
      <c r="G3763" t="s">
        <v>3625</v>
      </c>
      <c r="I3763" s="6">
        <v>3.7327809537541152</v>
      </c>
      <c r="K3763" s="8"/>
    </row>
    <row r="3764" spans="1:11" ht="15" x14ac:dyDescent="0.25">
      <c r="A3764" s="3" t="str">
        <f>HYPERLINK("proteomic_fractions_linear_files/Yang_linear_img/84781727;40254635.jpg", "84781727;40254635")</f>
        <v>84781727;40254635</v>
      </c>
      <c r="C3764" s="3" t="str">
        <f>HYPERLINK("http://www.ncbi.nlm.nih.gov/protein/84781727;40254635","Kif5a")</f>
        <v>Kif5a</v>
      </c>
      <c r="E3764" t="str">
        <f>HYPERLINK("J:\Depot - mpkCCD Fractions\Main Web Page\Web Pages_old\proteomic_fractions_linear_files/Yang_linear_img/84781727;40254635.jpg","show blot")</f>
        <v>show blot</v>
      </c>
      <c r="G3764" t="s">
        <v>3626</v>
      </c>
      <c r="I3764" s="6">
        <v>5.3076266959131289</v>
      </c>
      <c r="K3764" s="8"/>
    </row>
    <row r="3765" spans="1:11" ht="15" x14ac:dyDescent="0.25">
      <c r="A3765" s="3" t="str">
        <f>HYPERLINK("proteomic_fractions_linear_files/Yang_linear_img/40254635;84781727.jpg", "40254635;84781727")</f>
        <v>40254635;84781727</v>
      </c>
      <c r="C3765" s="3" t="str">
        <f>HYPERLINK("http://www.ncbi.nlm.nih.gov/protein/40254635;84781727","Kif5a")</f>
        <v>Kif5a</v>
      </c>
      <c r="E3765" t="str">
        <f>HYPERLINK("J:\Depot - mpkCCD Fractions\Main Web Page\Web Pages_old\proteomic_fractions_linear_files/Yang_linear_img/40254635;84781727.jpg","show blot")</f>
        <v>show blot</v>
      </c>
      <c r="G3765" t="s">
        <v>3626</v>
      </c>
      <c r="I3765" s="6">
        <v>5.3076266959131289</v>
      </c>
      <c r="K3765" s="8"/>
    </row>
    <row r="3766" spans="1:11" ht="15" x14ac:dyDescent="0.25">
      <c r="A3766" s="3" t="str">
        <f>HYPERLINK("proteomic_fractions_linear_files/Yang_linear_img/61657921.jpg", "61657921")</f>
        <v>61657921</v>
      </c>
      <c r="C3766" s="3" t="str">
        <f>HYPERLINK("http://www.ncbi.nlm.nih.gov/protein/61657921","Kif5b")</f>
        <v>Kif5b</v>
      </c>
      <c r="E3766" t="str">
        <f>HYPERLINK("J:\Depot - mpkCCD Fractions\Main Web Page\Web Pages_old\proteomic_fractions_linear_files/Yang_linear_img/61657921.jpg","show blot")</f>
        <v>show blot</v>
      </c>
      <c r="G3766" t="s">
        <v>3627</v>
      </c>
      <c r="I3766" s="6">
        <v>5.8152829110905282</v>
      </c>
      <c r="K3766" s="8"/>
    </row>
    <row r="3767" spans="1:11" ht="15" x14ac:dyDescent="0.25">
      <c r="A3767" s="3" t="str">
        <f>HYPERLINK("proteomic_fractions_linear_files/Yang_linear_img/45433560.jpg", "45433560")</f>
        <v>45433560</v>
      </c>
      <c r="C3767" s="3" t="str">
        <f>HYPERLINK("http://www.ncbi.nlm.nih.gov/protein/45433560","Kif5c")</f>
        <v>Kif5c</v>
      </c>
      <c r="E3767" t="str">
        <f>HYPERLINK("J:\Depot - mpkCCD Fractions\Main Web Page\Web Pages_old\proteomic_fractions_linear_files/Yang_linear_img/45433560.jpg","show blot")</f>
        <v>show blot</v>
      </c>
      <c r="G3767" t="s">
        <v>3628</v>
      </c>
      <c r="I3767" s="6">
        <v>5.3651360661261673</v>
      </c>
      <c r="K3767" s="8"/>
    </row>
    <row r="3768" spans="1:11" ht="15" x14ac:dyDescent="0.25">
      <c r="A3768" s="3" t="str">
        <f>HYPERLINK("proteomic_fractions_linear_files/Yang_linear_img/254675236.jpg", "254675236")</f>
        <v>254675236</v>
      </c>
      <c r="C3768" s="3" t="str">
        <f>HYPERLINK("http://www.ncbi.nlm.nih.gov/protein/254675236","Kif9")</f>
        <v>Kif9</v>
      </c>
      <c r="E3768" t="str">
        <f>HYPERLINK("J:\Depot - mpkCCD Fractions\Main Web Page\Web Pages_old\proteomic_fractions_linear_files/Yang_linear_img/254675236.jpg","show blot")</f>
        <v>show blot</v>
      </c>
      <c r="G3768" t="s">
        <v>3629</v>
      </c>
      <c r="I3768" s="6">
        <v>3.725907563238227</v>
      </c>
      <c r="K3768" s="8"/>
    </row>
    <row r="3769" spans="1:11" ht="15" x14ac:dyDescent="0.25">
      <c r="A3769" s="3" t="str">
        <f>HYPERLINK("proteomic_fractions_linear_files/Yang_linear_img/254675238.jpg", "254675238")</f>
        <v>254675238</v>
      </c>
      <c r="C3769" s="3" t="str">
        <f>HYPERLINK("http://www.ncbi.nlm.nih.gov/protein/254675238","Kif9")</f>
        <v>Kif9</v>
      </c>
      <c r="E3769" t="str">
        <f>HYPERLINK("J:\Depot - mpkCCD Fractions\Main Web Page\Web Pages_old\proteomic_fractions_linear_files/Yang_linear_img/254675238.jpg","show blot")</f>
        <v>show blot</v>
      </c>
      <c r="G3769" t="s">
        <v>3630</v>
      </c>
      <c r="I3769" s="6">
        <v>3.725907563238227</v>
      </c>
      <c r="K3769" s="8"/>
    </row>
    <row r="3770" spans="1:11" ht="15" x14ac:dyDescent="0.25">
      <c r="A3770" s="3" t="str">
        <f>HYPERLINK("proteomic_fractions_linear_files/Yang_linear_img/224967071.jpg", "224967071")</f>
        <v>224967071</v>
      </c>
      <c r="C3770" s="3" t="str">
        <f>HYPERLINK("http://www.ncbi.nlm.nih.gov/protein/224967071","Kifc3")</f>
        <v>Kifc3</v>
      </c>
      <c r="E3770" t="str">
        <f>HYPERLINK("J:\Depot - mpkCCD Fractions\Main Web Page\Web Pages_old\proteomic_fractions_linear_files/Yang_linear_img/224967071.jpg","show blot")</f>
        <v>show blot</v>
      </c>
      <c r="G3770" t="s">
        <v>3631</v>
      </c>
      <c r="I3770" s="6">
        <v>3.8400344087899265</v>
      </c>
      <c r="K3770" s="8"/>
    </row>
    <row r="3771" spans="1:11" ht="15" x14ac:dyDescent="0.25">
      <c r="A3771" s="3" t="str">
        <f>HYPERLINK("proteomic_fractions_linear_files/Yang_linear_img/224967073.jpg", "224967073")</f>
        <v>224967073</v>
      </c>
      <c r="C3771" s="3" t="str">
        <f>HYPERLINK("http://www.ncbi.nlm.nih.gov/protein/224967073","Kifc3")</f>
        <v>Kifc3</v>
      </c>
      <c r="E3771" t="str">
        <f>HYPERLINK("J:\Depot - mpkCCD Fractions\Main Web Page\Web Pages_old\proteomic_fractions_linear_files/Yang_linear_img/224967073.jpg","show blot")</f>
        <v>show blot</v>
      </c>
      <c r="G3771" t="s">
        <v>3632</v>
      </c>
      <c r="I3771" s="6">
        <v>3.8400344087899265</v>
      </c>
      <c r="K3771" s="8"/>
    </row>
    <row r="3772" spans="1:11" ht="15" x14ac:dyDescent="0.25">
      <c r="A3772" s="3" t="str">
        <f>HYPERLINK("proteomic_fractions_linear_files/Yang_linear_img/224967075.jpg", "224967075")</f>
        <v>224967075</v>
      </c>
      <c r="C3772" s="3" t="str">
        <f>HYPERLINK("http://www.ncbi.nlm.nih.gov/protein/224967075","Kifc3")</f>
        <v>Kifc3</v>
      </c>
      <c r="E3772" t="str">
        <f>HYPERLINK("J:\Depot - mpkCCD Fractions\Main Web Page\Web Pages_old\proteomic_fractions_linear_files/Yang_linear_img/224967075.jpg","show blot")</f>
        <v>show blot</v>
      </c>
      <c r="G3772" t="s">
        <v>3633</v>
      </c>
      <c r="I3772" s="6">
        <v>3.8400344087899265</v>
      </c>
      <c r="K3772" s="8"/>
    </row>
    <row r="3773" spans="1:11" ht="15" x14ac:dyDescent="0.25">
      <c r="A3773" s="3" t="str">
        <f>HYPERLINK("proteomic_fractions_linear_files/Yang_linear_img/33859684.jpg", "33859684")</f>
        <v>33859684</v>
      </c>
      <c r="C3773" s="3" t="str">
        <f>HYPERLINK("http://www.ncbi.nlm.nih.gov/protein/33859684","Kin")</f>
        <v>Kin</v>
      </c>
      <c r="E3773" t="str">
        <f>HYPERLINK("J:\Depot - mpkCCD Fractions\Main Web Page\Web Pages_old\proteomic_fractions_linear_files/Yang_linear_img/33859684.jpg","show blot")</f>
        <v>show blot</v>
      </c>
      <c r="G3773" t="s">
        <v>3634</v>
      </c>
      <c r="I3773" s="6">
        <v>3.1851894641583876</v>
      </c>
      <c r="K3773" s="8"/>
    </row>
    <row r="3774" spans="1:11" ht="15" x14ac:dyDescent="0.25">
      <c r="A3774" s="3" t="str">
        <f>HYPERLINK("proteomic_fractions_linear_files/Yang_linear_img/70608146.jpg", "70608146")</f>
        <v>70608146</v>
      </c>
      <c r="C3774" s="3" t="str">
        <f>HYPERLINK("http://www.ncbi.nlm.nih.gov/protein/70608146","Kirrel")</f>
        <v>Kirrel</v>
      </c>
      <c r="E3774" t="str">
        <f>HYPERLINK("J:\Depot - mpkCCD Fractions\Main Web Page\Web Pages_old\proteomic_fractions_linear_files/Yang_linear_img/70608146.jpg","show blot")</f>
        <v>show blot</v>
      </c>
      <c r="G3774" t="s">
        <v>3635</v>
      </c>
      <c r="I3774" s="6">
        <v>2.4992510944536943</v>
      </c>
      <c r="K3774" s="8"/>
    </row>
    <row r="3775" spans="1:11" ht="15" x14ac:dyDescent="0.25">
      <c r="A3775" s="3" t="str">
        <f>HYPERLINK("proteomic_fractions_linear_files/Yang_linear_img/170650719.jpg", "170650719")</f>
        <v>170650719</v>
      </c>
      <c r="C3775" s="3" t="str">
        <f>HYPERLINK("http://www.ncbi.nlm.nih.gov/protein/170650719","Kit")</f>
        <v>Kit</v>
      </c>
      <c r="E3775" t="str">
        <f>HYPERLINK("J:\Depot - mpkCCD Fractions\Main Web Page\Web Pages_old\proteomic_fractions_linear_files/Yang_linear_img/170650719.jpg","show blot")</f>
        <v>show blot</v>
      </c>
      <c r="G3775" t="s">
        <v>3636</v>
      </c>
      <c r="I3775" s="6">
        <v>5.3534285094375278</v>
      </c>
      <c r="K3775" s="8"/>
    </row>
    <row r="3776" spans="1:11" ht="15" x14ac:dyDescent="0.25">
      <c r="A3776" s="3" t="str">
        <f>HYPERLINK("proteomic_fractions_linear_files/Yang_linear_img/170650721.jpg", "170650721")</f>
        <v>170650721</v>
      </c>
      <c r="C3776" s="3" t="str">
        <f>HYPERLINK("http://www.ncbi.nlm.nih.gov/protein/170650721","Kit")</f>
        <v>Kit</v>
      </c>
      <c r="E3776" t="str">
        <f>HYPERLINK("J:\Depot - mpkCCD Fractions\Main Web Page\Web Pages_old\proteomic_fractions_linear_files/Yang_linear_img/170650721.jpg","show blot")</f>
        <v>show blot</v>
      </c>
      <c r="G3776" t="s">
        <v>3637</v>
      </c>
      <c r="I3776" s="6">
        <v>5.3534285094375278</v>
      </c>
      <c r="K3776" s="8"/>
    </row>
    <row r="3777" spans="1:11" ht="15" x14ac:dyDescent="0.25">
      <c r="A3777" s="3" t="str">
        <f>HYPERLINK("proteomic_fractions_linear_files/Yang_linear_img/227330584.jpg", "227330584")</f>
        <v>227330584</v>
      </c>
      <c r="C3777" s="3" t="str">
        <f>HYPERLINK("http://www.ncbi.nlm.nih.gov/protein/227330584","Kl")</f>
        <v>Kl</v>
      </c>
      <c r="E3777" t="str">
        <f>HYPERLINK("J:\Depot - mpkCCD Fractions\Main Web Page\Web Pages_old\proteomic_fractions_linear_files/Yang_linear_img/227330584.jpg","show blot")</f>
        <v>show blot</v>
      </c>
      <c r="G3777" t="s">
        <v>3638</v>
      </c>
      <c r="I3777" s="6">
        <v>5.4065255931982295</v>
      </c>
      <c r="K3777" s="8"/>
    </row>
    <row r="3778" spans="1:11" ht="15" x14ac:dyDescent="0.25">
      <c r="A3778" s="3" t="str">
        <f>HYPERLINK("proteomic_fractions_linear_files/Yang_linear_img/131412178.jpg", "131412178")</f>
        <v>131412178</v>
      </c>
      <c r="C3778" s="3" t="str">
        <f>HYPERLINK("http://www.ncbi.nlm.nih.gov/protein/131412178","Klc1")</f>
        <v>Klc1</v>
      </c>
      <c r="E3778" t="str">
        <f>HYPERLINK("J:\Depot - mpkCCD Fractions\Main Web Page\Web Pages_old\proteomic_fractions_linear_files/Yang_linear_img/131412178.jpg","show blot")</f>
        <v>show blot</v>
      </c>
      <c r="G3778" t="s">
        <v>3639</v>
      </c>
      <c r="I3778" s="6">
        <v>4.2026012222294851</v>
      </c>
      <c r="K3778" s="8"/>
    </row>
    <row r="3779" spans="1:11" ht="15" x14ac:dyDescent="0.25">
      <c r="A3779" s="3" t="str">
        <f>HYPERLINK("proteomic_fractions_linear_files/Yang_linear_img/131412198.jpg", "131412198")</f>
        <v>131412198</v>
      </c>
      <c r="C3779" s="3" t="str">
        <f>HYPERLINK("http://www.ncbi.nlm.nih.gov/protein/131412198","Klc1")</f>
        <v>Klc1</v>
      </c>
      <c r="E3779" t="str">
        <f>HYPERLINK("J:\Depot - mpkCCD Fractions\Main Web Page\Web Pages_old\proteomic_fractions_linear_files/Yang_linear_img/131412198.jpg","show blot")</f>
        <v>show blot</v>
      </c>
      <c r="G3779" t="s">
        <v>3640</v>
      </c>
      <c r="I3779" s="6">
        <v>4.2026012222294851</v>
      </c>
      <c r="K3779" s="8"/>
    </row>
    <row r="3780" spans="1:11" ht="15" x14ac:dyDescent="0.25">
      <c r="A3780" s="3" t="str">
        <f>HYPERLINK("proteomic_fractions_linear_files/Yang_linear_img/131412207.jpg", "131412207")</f>
        <v>131412207</v>
      </c>
      <c r="C3780" s="3" t="str">
        <f>HYPERLINK("http://www.ncbi.nlm.nih.gov/protein/131412207","Klc1")</f>
        <v>Klc1</v>
      </c>
      <c r="E3780" t="str">
        <f>HYPERLINK("J:\Depot - mpkCCD Fractions\Main Web Page\Web Pages_old\proteomic_fractions_linear_files/Yang_linear_img/131412207.jpg","show blot")</f>
        <v>show blot</v>
      </c>
      <c r="G3780" t="s">
        <v>3641</v>
      </c>
      <c r="I3780" s="6">
        <v>4.2026012222294851</v>
      </c>
      <c r="K3780" s="8"/>
    </row>
    <row r="3781" spans="1:11" ht="15" x14ac:dyDescent="0.25">
      <c r="A3781" s="3" t="str">
        <f>HYPERLINK("proteomic_fractions_linear_files/Yang_linear_img/133778983.jpg", "133778983")</f>
        <v>133778983</v>
      </c>
      <c r="C3781" s="3" t="str">
        <f>HYPERLINK("http://www.ncbi.nlm.nih.gov/protein/133778983","Klc2")</f>
        <v>Klc2</v>
      </c>
      <c r="E3781" t="str">
        <f>HYPERLINK("J:\Depot - mpkCCD Fractions\Main Web Page\Web Pages_old\proteomic_fractions_linear_files/Yang_linear_img/133778983.jpg","show blot")</f>
        <v>show blot</v>
      </c>
      <c r="G3781" t="s">
        <v>3642</v>
      </c>
      <c r="I3781" s="6">
        <v>4.7217559734159158</v>
      </c>
      <c r="K3781" s="8"/>
    </row>
    <row r="3782" spans="1:11" ht="15" x14ac:dyDescent="0.25">
      <c r="A3782" s="3" t="str">
        <f>HYPERLINK("proteomic_fractions_linear_files/Yang_linear_img/22122725.jpg", "22122725")</f>
        <v>22122725</v>
      </c>
      <c r="C3782" s="3" t="str">
        <f>HYPERLINK("http://www.ncbi.nlm.nih.gov/protein/22122725","Klc3")</f>
        <v>Klc3</v>
      </c>
      <c r="E3782" t="str">
        <f>HYPERLINK("J:\Depot - mpkCCD Fractions\Main Web Page\Web Pages_old\proteomic_fractions_linear_files/Yang_linear_img/22122725.jpg","show blot")</f>
        <v>show blot</v>
      </c>
      <c r="G3782" t="s">
        <v>3643</v>
      </c>
      <c r="I3782" s="6">
        <v>4.2745612942511393</v>
      </c>
      <c r="K3782" s="8"/>
    </row>
    <row r="3783" spans="1:11" ht="15" x14ac:dyDescent="0.25">
      <c r="A3783" s="3" t="str">
        <f>HYPERLINK("proteomic_fractions_linear_files/Yang_linear_img/13386370.jpg", "13386370")</f>
        <v>13386370</v>
      </c>
      <c r="C3783" s="3" t="str">
        <f>HYPERLINK("http://www.ncbi.nlm.nih.gov/protein/13386370","Klc4")</f>
        <v>Klc4</v>
      </c>
      <c r="E3783" t="str">
        <f>HYPERLINK("J:\Depot - mpkCCD Fractions\Main Web Page\Web Pages_old\proteomic_fractions_linear_files/Yang_linear_img/13386370.jpg","show blot")</f>
        <v>show blot</v>
      </c>
      <c r="G3783" t="s">
        <v>3644</v>
      </c>
      <c r="I3783" s="6">
        <v>4.6933517084254905</v>
      </c>
      <c r="K3783" s="8"/>
    </row>
    <row r="3784" spans="1:11" ht="15" x14ac:dyDescent="0.25">
      <c r="A3784" s="3" t="str">
        <f>HYPERLINK("proteomic_fractions_linear_files/Yang_linear_img/58037463.jpg", "58037463")</f>
        <v>58037463</v>
      </c>
      <c r="C3784" s="3" t="str">
        <f>HYPERLINK("http://www.ncbi.nlm.nih.gov/protein/58037463","Klhdc10")</f>
        <v>Klhdc10</v>
      </c>
      <c r="E3784" t="str">
        <f>HYPERLINK("J:\Depot - mpkCCD Fractions\Main Web Page\Web Pages_old\proteomic_fractions_linear_files/Yang_linear_img/58037463.jpg","show blot")</f>
        <v>show blot</v>
      </c>
      <c r="G3784" t="s">
        <v>3645</v>
      </c>
      <c r="I3784" s="6">
        <v>3.7478473762221682</v>
      </c>
      <c r="K3784" s="8"/>
    </row>
    <row r="3785" spans="1:11" ht="15" x14ac:dyDescent="0.25">
      <c r="A3785" s="3" t="str">
        <f>HYPERLINK("proteomic_fractions_linear_files/Yang_linear_img/226246638.jpg", "226246638")</f>
        <v>226246638</v>
      </c>
      <c r="C3785" s="3" t="str">
        <f>HYPERLINK("http://www.ncbi.nlm.nih.gov/protein/226246638","Klhdc2")</f>
        <v>Klhdc2</v>
      </c>
      <c r="E3785" t="str">
        <f>HYPERLINK("J:\Depot - mpkCCD Fractions\Main Web Page\Web Pages_old\proteomic_fractions_linear_files/Yang_linear_img/226246638.jpg","show blot")</f>
        <v>show blot</v>
      </c>
      <c r="G3785" t="s">
        <v>3646</v>
      </c>
      <c r="I3785" s="6">
        <v>3.2117176299569103</v>
      </c>
      <c r="K3785" s="8"/>
    </row>
    <row r="3786" spans="1:11" ht="15" x14ac:dyDescent="0.25">
      <c r="A3786" s="3" t="str">
        <f>HYPERLINK("proteomic_fractions_linear_files/Yang_linear_img/255683384.jpg", "255683384")</f>
        <v>255683384</v>
      </c>
      <c r="C3786" s="3" t="str">
        <f>HYPERLINK("http://www.ncbi.nlm.nih.gov/protein/255683384","Klhdc4")</f>
        <v>Klhdc4</v>
      </c>
      <c r="E3786" t="str">
        <f>HYPERLINK("J:\Depot - mpkCCD Fractions\Main Web Page\Web Pages_old\proteomic_fractions_linear_files/Yang_linear_img/255683384.jpg","show blot")</f>
        <v>show blot</v>
      </c>
      <c r="G3786" t="s">
        <v>3647</v>
      </c>
      <c r="I3786" s="6">
        <v>3.3278205418960889</v>
      </c>
      <c r="K3786" s="8"/>
    </row>
    <row r="3787" spans="1:11" ht="15" x14ac:dyDescent="0.25">
      <c r="A3787" s="3" t="str">
        <f>HYPERLINK("proteomic_fractions_linear_files/Yang_linear_img/237513007.jpg", "237513007")</f>
        <v>237513007</v>
      </c>
      <c r="C3787" s="3" t="str">
        <f>HYPERLINK("http://www.ncbi.nlm.nih.gov/protein/237513007","Klhdc7b")</f>
        <v>Klhdc7b</v>
      </c>
      <c r="E3787" t="str">
        <f>HYPERLINK("J:\Depot - mpkCCD Fractions\Main Web Page\Web Pages_old\proteomic_fractions_linear_files/Yang_linear_img/237513007.jpg","show blot")</f>
        <v>show blot</v>
      </c>
      <c r="G3787" t="s">
        <v>3648</v>
      </c>
      <c r="I3787" s="6">
        <v>4.0101657490787304</v>
      </c>
      <c r="K3787" s="8"/>
    </row>
    <row r="3788" spans="1:11" ht="15" x14ac:dyDescent="0.25">
      <c r="A3788" s="3" t="str">
        <f>HYPERLINK("proteomic_fractions_linear_files/Yang_linear_img/84794655.jpg", "84794655")</f>
        <v>84794655</v>
      </c>
      <c r="C3788" s="3" t="str">
        <f>HYPERLINK("http://www.ncbi.nlm.nih.gov/protein/84794655","Klhl15")</f>
        <v>Klhl15</v>
      </c>
      <c r="E3788" t="str">
        <f>HYPERLINK("J:\Depot - mpkCCD Fractions\Main Web Page\Web Pages_old\proteomic_fractions_linear_files/Yang_linear_img/84794655.jpg","show blot")</f>
        <v>show blot</v>
      </c>
      <c r="G3788" t="s">
        <v>3649</v>
      </c>
      <c r="I3788" s="6">
        <v>1.9556877503135059</v>
      </c>
      <c r="K3788" s="8"/>
    </row>
    <row r="3789" spans="1:11" ht="15" x14ac:dyDescent="0.25">
      <c r="A3789" s="3" t="str">
        <f>HYPERLINK("proteomic_fractions_linear_files/Yang_linear_img/159032012.jpg", "159032012")</f>
        <v>159032012</v>
      </c>
      <c r="C3789" s="3" t="str">
        <f>HYPERLINK("http://www.ncbi.nlm.nih.gov/protein/159032012","Klhl22")</f>
        <v>Klhl22</v>
      </c>
      <c r="E3789" t="str">
        <f>HYPERLINK("J:\Depot - mpkCCD Fractions\Main Web Page\Web Pages_old\proteomic_fractions_linear_files/Yang_linear_img/159032012.jpg","show blot")</f>
        <v>show blot</v>
      </c>
      <c r="G3789" t="s">
        <v>3650</v>
      </c>
      <c r="I3789" s="6">
        <v>3.5536189627217873</v>
      </c>
      <c r="K3789" s="8"/>
    </row>
    <row r="3790" spans="1:11" ht="15" x14ac:dyDescent="0.25">
      <c r="A3790" s="3" t="str">
        <f>HYPERLINK("proteomic_fractions_linear_files/Yang_linear_img/109288014.jpg", "109288014")</f>
        <v>109288014</v>
      </c>
      <c r="C3790" s="3" t="str">
        <f>HYPERLINK("http://www.ncbi.nlm.nih.gov/protein/109288014","Kntc1")</f>
        <v>Kntc1</v>
      </c>
      <c r="E3790" t="str">
        <f>HYPERLINK("J:\Depot - mpkCCD Fractions\Main Web Page\Web Pages_old\proteomic_fractions_linear_files/Yang_linear_img/109288014.jpg","show blot")</f>
        <v>show blot</v>
      </c>
      <c r="G3790" t="s">
        <v>3651</v>
      </c>
      <c r="I3790" s="6">
        <v>3.4136219076611156</v>
      </c>
      <c r="K3790" s="8"/>
    </row>
    <row r="3791" spans="1:11" ht="15" x14ac:dyDescent="0.25">
      <c r="A3791" s="3" t="str">
        <f>HYPERLINK("proteomic_fractions_linear_files/Yang_linear_img/31543047.jpg", "31543047")</f>
        <v>31543047</v>
      </c>
      <c r="C3791" s="3" t="str">
        <f>HYPERLINK("http://www.ncbi.nlm.nih.gov/protein/31543047","Kpna1")</f>
        <v>Kpna1</v>
      </c>
      <c r="E3791" t="str">
        <f>HYPERLINK("J:\Depot - mpkCCD Fractions\Main Web Page\Web Pages_old\proteomic_fractions_linear_files/Yang_linear_img/31543047.jpg","show blot")</f>
        <v>show blot</v>
      </c>
      <c r="G3791" t="s">
        <v>3652</v>
      </c>
      <c r="I3791" s="6">
        <v>2.8857003330964939</v>
      </c>
      <c r="K3791" s="8"/>
    </row>
    <row r="3792" spans="1:11" ht="15" x14ac:dyDescent="0.25">
      <c r="A3792" s="3" t="str">
        <f>HYPERLINK("proteomic_fractions_linear_files/Yang_linear_img/6754474.jpg", "6754474")</f>
        <v>6754474</v>
      </c>
      <c r="C3792" s="3" t="str">
        <f>HYPERLINK("http://www.ncbi.nlm.nih.gov/protein/6754474","Kpna2")</f>
        <v>Kpna2</v>
      </c>
      <c r="E3792" t="str">
        <f>HYPERLINK("J:\Depot - mpkCCD Fractions\Main Web Page\Web Pages_old\proteomic_fractions_linear_files/Yang_linear_img/6754474.jpg","show blot")</f>
        <v>show blot</v>
      </c>
      <c r="G3792" t="s">
        <v>3652</v>
      </c>
      <c r="I3792" s="6">
        <v>5.3182562084895197</v>
      </c>
      <c r="K3792" s="8"/>
    </row>
    <row r="3793" spans="1:11" ht="15" x14ac:dyDescent="0.25">
      <c r="A3793" s="3" t="str">
        <f>HYPERLINK("proteomic_fractions_linear_files/Yang_linear_img/6680596.jpg", "6680596")</f>
        <v>6680596</v>
      </c>
      <c r="C3793" s="3" t="str">
        <f>HYPERLINK("http://www.ncbi.nlm.nih.gov/protein/6680596","Kpna3")</f>
        <v>Kpna3</v>
      </c>
      <c r="E3793" t="str">
        <f>HYPERLINK("J:\Depot - mpkCCD Fractions\Main Web Page\Web Pages_old\proteomic_fractions_linear_files/Yang_linear_img/6680596.jpg","show blot")</f>
        <v>show blot</v>
      </c>
      <c r="G3793" t="s">
        <v>3653</v>
      </c>
      <c r="I3793" s="6">
        <v>4.8448389959168408</v>
      </c>
      <c r="K3793" s="8"/>
    </row>
    <row r="3794" spans="1:11" ht="15" x14ac:dyDescent="0.25">
      <c r="A3794" s="3" t="str">
        <f>HYPERLINK("proteomic_fractions_linear_files/Yang_linear_img/6680598.jpg", "6680598")</f>
        <v>6680598</v>
      </c>
      <c r="C3794" s="3" t="str">
        <f>HYPERLINK("http://www.ncbi.nlm.nih.gov/protein/6680598","Kpna4")</f>
        <v>Kpna4</v>
      </c>
      <c r="E3794" t="str">
        <f>HYPERLINK("J:\Depot - mpkCCD Fractions\Main Web Page\Web Pages_old\proteomic_fractions_linear_files/Yang_linear_img/6680598.jpg","show blot")</f>
        <v>show blot</v>
      </c>
      <c r="G3794" t="s">
        <v>3653</v>
      </c>
      <c r="I3794" s="6">
        <v>4.9524777895167986</v>
      </c>
      <c r="K3794" s="8"/>
    </row>
    <row r="3795" spans="1:11" ht="15" x14ac:dyDescent="0.25">
      <c r="A3795" s="3" t="str">
        <f>HYPERLINK("proteomic_fractions_linear_files/Yang_linear_img/227116300.jpg", "227116300")</f>
        <v>227116300</v>
      </c>
      <c r="C3795" s="3" t="str">
        <f>HYPERLINK("http://www.ncbi.nlm.nih.gov/protein/227116300","Kpna6")</f>
        <v>Kpna6</v>
      </c>
      <c r="E3795" t="str">
        <f>HYPERLINK("J:\Depot - mpkCCD Fractions\Main Web Page\Web Pages_old\proteomic_fractions_linear_files/Yang_linear_img/227116300.jpg","show blot")</f>
        <v>show blot</v>
      </c>
      <c r="G3795" t="s">
        <v>3654</v>
      </c>
      <c r="I3795" s="6">
        <v>3.364890209303935</v>
      </c>
      <c r="K3795" s="8"/>
    </row>
    <row r="3796" spans="1:11" ht="15" x14ac:dyDescent="0.25">
      <c r="A3796" s="3" t="str">
        <f>HYPERLINK("proteomic_fractions_linear_files/Yang_linear_img/88014720.jpg", "88014720")</f>
        <v>88014720</v>
      </c>
      <c r="C3796" s="3" t="str">
        <f>HYPERLINK("http://www.ncbi.nlm.nih.gov/protein/88014720","Kpnb1")</f>
        <v>Kpnb1</v>
      </c>
      <c r="E3796" t="str">
        <f>HYPERLINK("J:\Depot - mpkCCD Fractions\Main Web Page\Web Pages_old\proteomic_fractions_linear_files/Yang_linear_img/88014720.jpg","show blot")</f>
        <v>show blot</v>
      </c>
      <c r="G3796" t="s">
        <v>3655</v>
      </c>
      <c r="I3796" s="6">
        <v>6.0868096342064435</v>
      </c>
      <c r="K3796" s="8"/>
    </row>
    <row r="3797" spans="1:11" ht="15" x14ac:dyDescent="0.25">
      <c r="A3797" s="3" t="str">
        <f>HYPERLINK("proteomic_fractions_linear_files/Yang_linear_img/228480267.jpg", "228480267")</f>
        <v>228480267</v>
      </c>
      <c r="C3797" s="3" t="str">
        <f>HYPERLINK("http://www.ncbi.nlm.nih.gov/protein/228480267","Kptn")</f>
        <v>Kptn</v>
      </c>
      <c r="E3797" t="str">
        <f>HYPERLINK("J:\Depot - mpkCCD Fractions\Main Web Page\Web Pages_old\proteomic_fractions_linear_files/Yang_linear_img/228480267.jpg","show blot")</f>
        <v>show blot</v>
      </c>
      <c r="G3797" t="s">
        <v>3656</v>
      </c>
      <c r="I3797" s="6">
        <v>4.3512342000750754</v>
      </c>
      <c r="K3797" s="8"/>
    </row>
    <row r="3798" spans="1:11" ht="15" x14ac:dyDescent="0.25">
      <c r="A3798" s="3" t="str">
        <f>HYPERLINK("proteomic_fractions_linear_files/Yang_linear_img/266458391.jpg", "266458391")</f>
        <v>266458391</v>
      </c>
      <c r="C3798" s="3" t="str">
        <f>HYPERLINK("http://www.ncbi.nlm.nih.gov/protein/266458391","Kras")</f>
        <v>Kras</v>
      </c>
      <c r="E3798" t="str">
        <f>HYPERLINK("J:\Depot - mpkCCD Fractions\Main Web Page\Web Pages_old\proteomic_fractions_linear_files/Yang_linear_img/266458391.jpg","show blot")</f>
        <v>show blot</v>
      </c>
      <c r="G3798" t="s">
        <v>3657</v>
      </c>
      <c r="I3798" s="6">
        <v>5.8362474849950843</v>
      </c>
      <c r="K3798" s="8"/>
    </row>
    <row r="3799" spans="1:11" ht="15" x14ac:dyDescent="0.25">
      <c r="A3799" s="3" t="str">
        <f>HYPERLINK("proteomic_fractions_linear_files/Yang_linear_img/282847448.jpg", "282847448")</f>
        <v>282847448</v>
      </c>
      <c r="C3799" s="3" t="str">
        <f>HYPERLINK("http://www.ncbi.nlm.nih.gov/protein/282847448","Krit1")</f>
        <v>Krit1</v>
      </c>
      <c r="E3799" t="str">
        <f>HYPERLINK("J:\Depot - mpkCCD Fractions\Main Web Page\Web Pages_old\proteomic_fractions_linear_files/Yang_linear_img/282847448.jpg","show blot")</f>
        <v>show blot</v>
      </c>
      <c r="G3799" t="s">
        <v>3658</v>
      </c>
      <c r="I3799" s="6">
        <v>2.9805107706575256</v>
      </c>
      <c r="K3799" s="8"/>
    </row>
    <row r="3800" spans="1:11" ht="15" x14ac:dyDescent="0.25">
      <c r="A3800" s="3" t="str">
        <f>HYPERLINK("proteomic_fractions_linear_files/Yang_linear_img/282847450.jpg", "282847450")</f>
        <v>282847450</v>
      </c>
      <c r="C3800" s="3" t="str">
        <f>HYPERLINK("http://www.ncbi.nlm.nih.gov/protein/282847450","Krit1")</f>
        <v>Krit1</v>
      </c>
      <c r="E3800" t="str">
        <f>HYPERLINK("J:\Depot - mpkCCD Fractions\Main Web Page\Web Pages_old\proteomic_fractions_linear_files/Yang_linear_img/282847450.jpg","show blot")</f>
        <v>show blot</v>
      </c>
      <c r="G3800" t="s">
        <v>3659</v>
      </c>
      <c r="I3800" s="6">
        <v>2.9805107706575256</v>
      </c>
      <c r="K3800" s="8"/>
    </row>
    <row r="3801" spans="1:11" ht="15" x14ac:dyDescent="0.25">
      <c r="A3801" s="3" t="str">
        <f>HYPERLINK("proteomic_fractions_linear_files/Yang_linear_img/226442952.jpg", "226442952")</f>
        <v>226442952</v>
      </c>
      <c r="C3801" s="3" t="str">
        <f>HYPERLINK("http://www.ncbi.nlm.nih.gov/protein/226442952","Krr1")</f>
        <v>Krr1</v>
      </c>
      <c r="E3801" t="str">
        <f>HYPERLINK("J:\Depot - mpkCCD Fractions\Main Web Page\Web Pages_old\proteomic_fractions_linear_files/Yang_linear_img/226442952.jpg","show blot")</f>
        <v>show blot</v>
      </c>
      <c r="G3801" t="s">
        <v>3660</v>
      </c>
      <c r="I3801" s="6">
        <v>4.2216456347320515</v>
      </c>
      <c r="K3801" s="8"/>
    </row>
    <row r="3802" spans="1:11" ht="15" x14ac:dyDescent="0.25">
      <c r="A3802" s="3" t="str">
        <f>HYPERLINK("proteomic_fractions_linear_files/Yang_linear_img/20270210.jpg", "20270210")</f>
        <v>20270210</v>
      </c>
      <c r="C3802" s="3" t="str">
        <f>HYPERLINK("http://www.ncbi.nlm.nih.gov/protein/20270210","Kti12")</f>
        <v>Kti12</v>
      </c>
      <c r="E3802" t="str">
        <f>HYPERLINK("J:\Depot - mpkCCD Fractions\Main Web Page\Web Pages_old\proteomic_fractions_linear_files/Yang_linear_img/20270210.jpg","show blot")</f>
        <v>show blot</v>
      </c>
      <c r="G3802" t="s">
        <v>3661</v>
      </c>
      <c r="I3802" s="7" t="s">
        <v>8360</v>
      </c>
      <c r="K3802" s="8"/>
    </row>
    <row r="3803" spans="1:11" ht="15" x14ac:dyDescent="0.25">
      <c r="A3803" s="3" t="str">
        <f>HYPERLINK("proteomic_fractions_linear_files/Yang_linear_img/144922638.jpg", "144922638")</f>
        <v>144922638</v>
      </c>
      <c r="C3803" s="3" t="str">
        <f>HYPERLINK("http://www.ncbi.nlm.nih.gov/protein/144922638","Ktn1")</f>
        <v>Ktn1</v>
      </c>
      <c r="E3803" t="str">
        <f>HYPERLINK("J:\Depot - mpkCCD Fractions\Main Web Page\Web Pages_old\proteomic_fractions_linear_files/Yang_linear_img/144922638.jpg","show blot")</f>
        <v>show blot</v>
      </c>
      <c r="G3803" t="s">
        <v>3662</v>
      </c>
      <c r="I3803" s="6">
        <v>4.8023980624980105</v>
      </c>
      <c r="K3803" s="8"/>
    </row>
    <row r="3804" spans="1:11" ht="15" x14ac:dyDescent="0.25">
      <c r="A3804" s="3" t="str">
        <f>HYPERLINK("proteomic_fractions_linear_files/Yang_linear_img/112293279.jpg", "112293279")</f>
        <v>112293279</v>
      </c>
      <c r="C3804" s="3" t="str">
        <f>HYPERLINK("http://www.ncbi.nlm.nih.gov/protein/112293279","L1cam")</f>
        <v>L1cam</v>
      </c>
      <c r="E3804" t="str">
        <f>HYPERLINK("J:\Depot - mpkCCD Fractions\Main Web Page\Web Pages_old\proteomic_fractions_linear_files/Yang_linear_img/112293279.jpg","show blot")</f>
        <v>show blot</v>
      </c>
      <c r="G3804" t="s">
        <v>3663</v>
      </c>
      <c r="I3804" s="6">
        <v>3.6114751428031342</v>
      </c>
      <c r="K3804" s="8"/>
    </row>
    <row r="3805" spans="1:11" ht="15" x14ac:dyDescent="0.25">
      <c r="A3805" s="3" t="str">
        <f>HYPERLINK("proteomic_fractions_linear_files/Yang_linear_img/21703884.jpg", "21703884")</f>
        <v>21703884</v>
      </c>
      <c r="C3805" s="3" t="str">
        <f>HYPERLINK("http://www.ncbi.nlm.nih.gov/protein/21703884","L2hgdh")</f>
        <v>L2hgdh</v>
      </c>
      <c r="E3805" t="str">
        <f>HYPERLINK("J:\Depot - mpkCCD Fractions\Main Web Page\Web Pages_old\proteomic_fractions_linear_files/Yang_linear_img/21703884.jpg","show blot")</f>
        <v>show blot</v>
      </c>
      <c r="G3805" t="s">
        <v>3664</v>
      </c>
      <c r="I3805" s="6">
        <v>4.2056271992200314</v>
      </c>
      <c r="K3805" s="8"/>
    </row>
    <row r="3806" spans="1:11" ht="15" x14ac:dyDescent="0.25">
      <c r="A3806" s="3" t="str">
        <f>HYPERLINK("proteomic_fractions_linear_files/Yang_linear_img/13399318.jpg", "13399318")</f>
        <v>13399318</v>
      </c>
      <c r="C3806" s="3" t="str">
        <f>HYPERLINK("http://www.ncbi.nlm.nih.gov/protein/13399318","l7Rn6")</f>
        <v>l7Rn6</v>
      </c>
      <c r="E3806" t="str">
        <f>HYPERLINK("J:\Depot - mpkCCD Fractions\Main Web Page\Web Pages_old\proteomic_fractions_linear_files/Yang_linear_img/13399318.jpg","show blot")</f>
        <v>show blot</v>
      </c>
      <c r="G3806" t="s">
        <v>3665</v>
      </c>
      <c r="I3806" s="6">
        <v>4.0735197987508514</v>
      </c>
      <c r="K3806" s="8"/>
    </row>
    <row r="3807" spans="1:11" ht="15" x14ac:dyDescent="0.25">
      <c r="A3807" s="3" t="str">
        <f>HYPERLINK("proteomic_fractions_linear_files/Yang_linear_img/144922663.jpg", "144922663")</f>
        <v>144922663</v>
      </c>
      <c r="C3807" s="3" t="str">
        <f>HYPERLINK("http://www.ncbi.nlm.nih.gov/protein/144922663","Lace1")</f>
        <v>Lace1</v>
      </c>
      <c r="E3807" t="str">
        <f>HYPERLINK("J:\Depot - mpkCCD Fractions\Main Web Page\Web Pages_old\proteomic_fractions_linear_files/Yang_linear_img/144922663.jpg","show blot")</f>
        <v>show blot</v>
      </c>
      <c r="G3807" t="s">
        <v>3666</v>
      </c>
      <c r="I3807" s="6">
        <v>2.6328565839940561</v>
      </c>
      <c r="K3807" s="8"/>
    </row>
    <row r="3808" spans="1:11" ht="15" x14ac:dyDescent="0.25">
      <c r="A3808" s="3" t="str">
        <f>HYPERLINK("proteomic_fractions_linear_files/Yang_linear_img/13507666.jpg", "13507666")</f>
        <v>13507666</v>
      </c>
      <c r="C3808" s="3" t="str">
        <f>HYPERLINK("http://www.ncbi.nlm.nih.gov/protein/13507666","Lactb")</f>
        <v>Lactb</v>
      </c>
      <c r="E3808" t="str">
        <f>HYPERLINK("J:\Depot - mpkCCD Fractions\Main Web Page\Web Pages_old\proteomic_fractions_linear_files/Yang_linear_img/13507666.jpg","show blot")</f>
        <v>show blot</v>
      </c>
      <c r="G3808" t="s">
        <v>3667</v>
      </c>
      <c r="I3808" s="6">
        <v>4.1578915892215838</v>
      </c>
      <c r="K3808" s="8"/>
    </row>
    <row r="3809" spans="1:11" ht="15" x14ac:dyDescent="0.25">
      <c r="A3809" s="3" t="str">
        <f>HYPERLINK("proteomic_fractions_linear_files/Yang_linear_img/21703764.jpg", "21703764")</f>
        <v>21703764</v>
      </c>
      <c r="C3809" s="3" t="str">
        <f>HYPERLINK("http://www.ncbi.nlm.nih.gov/protein/21703764","Lactb2")</f>
        <v>Lactb2</v>
      </c>
      <c r="E3809" t="str">
        <f>HYPERLINK("J:\Depot - mpkCCD Fractions\Main Web Page\Web Pages_old\proteomic_fractions_linear_files/Yang_linear_img/21703764.jpg","show blot")</f>
        <v>show blot</v>
      </c>
      <c r="G3809" t="s">
        <v>3668</v>
      </c>
      <c r="I3809" s="6">
        <v>4.3891486689704315</v>
      </c>
      <c r="K3809" s="8"/>
    </row>
    <row r="3810" spans="1:11" ht="15" x14ac:dyDescent="0.25">
      <c r="A3810" s="3" t="str">
        <f>HYPERLINK("proteomic_fractions_linear_files/Yang_linear_img/31981555.jpg", "31981555")</f>
        <v>31981555</v>
      </c>
      <c r="C3810" s="3" t="str">
        <f>HYPERLINK("http://www.ncbi.nlm.nih.gov/protein/31981555","Lad1")</f>
        <v>Lad1</v>
      </c>
      <c r="E3810" t="str">
        <f>HYPERLINK("J:\Depot - mpkCCD Fractions\Main Web Page\Web Pages_old\proteomic_fractions_linear_files/Yang_linear_img/31981555.jpg","show blot")</f>
        <v>show blot</v>
      </c>
      <c r="G3810" t="s">
        <v>3669</v>
      </c>
      <c r="I3810" s="6">
        <v>5.5179662465367043</v>
      </c>
      <c r="K3810" s="8"/>
    </row>
    <row r="3811" spans="1:11" ht="15" x14ac:dyDescent="0.25">
      <c r="A3811" s="3" t="str">
        <f>HYPERLINK("proteomic_fractions_linear_files/Yang_linear_img/13384798.jpg", "13384798")</f>
        <v>13384798</v>
      </c>
      <c r="C3811" s="3" t="str">
        <f>HYPERLINK("http://www.ncbi.nlm.nih.gov/protein/13384798","Lage3")</f>
        <v>Lage3</v>
      </c>
      <c r="E3811" t="str">
        <f>HYPERLINK("J:\Depot - mpkCCD Fractions\Main Web Page\Web Pages_old\proteomic_fractions_linear_files/Yang_linear_img/13384798.jpg","show blot")</f>
        <v>show blot</v>
      </c>
      <c r="G3811" t="s">
        <v>3670</v>
      </c>
      <c r="I3811" s="6">
        <v>4.0817928913828858</v>
      </c>
      <c r="K3811" s="8"/>
    </row>
    <row r="3812" spans="1:11" ht="15" x14ac:dyDescent="0.25">
      <c r="A3812" s="3" t="str">
        <f>HYPERLINK("proteomic_fractions_linear_files/Yang_linear_img/124487155.jpg", "124487155")</f>
        <v>124487155</v>
      </c>
      <c r="C3812" s="3" t="str">
        <f>HYPERLINK("http://www.ncbi.nlm.nih.gov/protein/124487155","Lama5")</f>
        <v>Lama5</v>
      </c>
      <c r="E3812" t="str">
        <f>HYPERLINK("J:\Depot - mpkCCD Fractions\Main Web Page\Web Pages_old\proteomic_fractions_linear_files/Yang_linear_img/124487155.jpg","show blot")</f>
        <v>show blot</v>
      </c>
      <c r="G3812" t="s">
        <v>3671</v>
      </c>
      <c r="I3812" s="6">
        <v>2.4754195324237496</v>
      </c>
      <c r="K3812" s="8"/>
    </row>
    <row r="3813" spans="1:11" ht="15" x14ac:dyDescent="0.25">
      <c r="A3813" s="3" t="str">
        <f>HYPERLINK("proteomic_fractions_linear_files/Yang_linear_img/114326497.jpg", "114326497")</f>
        <v>114326497</v>
      </c>
      <c r="C3813" s="3" t="str">
        <f>HYPERLINK("http://www.ncbi.nlm.nih.gov/protein/114326497","Lamb1")</f>
        <v>Lamb1</v>
      </c>
      <c r="E3813" t="str">
        <f>HYPERLINK("J:\Depot - mpkCCD Fractions\Main Web Page\Web Pages_old\proteomic_fractions_linear_files/Yang_linear_img/114326497.jpg","show blot")</f>
        <v>show blot</v>
      </c>
      <c r="G3813" t="s">
        <v>3672</v>
      </c>
      <c r="I3813" s="6">
        <v>4.1867042120373652</v>
      </c>
      <c r="K3813" s="8"/>
    </row>
    <row r="3814" spans="1:11" ht="15" x14ac:dyDescent="0.25">
      <c r="A3814" s="3" t="str">
        <f>HYPERLINK("proteomic_fractions_linear_files/Yang_linear_img/31982223.jpg", "31982223")</f>
        <v>31982223</v>
      </c>
      <c r="C3814" s="3" t="str">
        <f>HYPERLINK("http://www.ncbi.nlm.nih.gov/protein/31982223","Lamb2")</f>
        <v>Lamb2</v>
      </c>
      <c r="E3814" t="str">
        <f>HYPERLINK("J:\Depot - mpkCCD Fractions\Main Web Page\Web Pages_old\proteomic_fractions_linear_files/Yang_linear_img/31982223.jpg","show blot")</f>
        <v>show blot</v>
      </c>
      <c r="G3814" t="s">
        <v>3673</v>
      </c>
      <c r="I3814" s="6">
        <v>2.9156431091198818</v>
      </c>
      <c r="K3814" s="8"/>
    </row>
    <row r="3815" spans="1:11" ht="15" x14ac:dyDescent="0.25">
      <c r="A3815" s="3" t="str">
        <f>HYPERLINK("proteomic_fractions_linear_files/Yang_linear_img/153791270.jpg", "153791270")</f>
        <v>153791270</v>
      </c>
      <c r="C3815" s="3" t="str">
        <f>HYPERLINK("http://www.ncbi.nlm.nih.gov/protein/153791270","Lamc1")</f>
        <v>Lamc1</v>
      </c>
      <c r="E3815" t="str">
        <f>HYPERLINK("J:\Depot - mpkCCD Fractions\Main Web Page\Web Pages_old\proteomic_fractions_linear_files/Yang_linear_img/153791270.jpg","show blot")</f>
        <v>show blot</v>
      </c>
      <c r="G3815" t="s">
        <v>3674</v>
      </c>
      <c r="I3815" s="6">
        <v>2.0879445290209371</v>
      </c>
      <c r="K3815" s="8"/>
    </row>
    <row r="3816" spans="1:11" ht="15" x14ac:dyDescent="0.25">
      <c r="A3816" s="3" t="str">
        <f>HYPERLINK("proteomic_fractions_linear_files/Yang_linear_img/110624798.jpg", "110624798")</f>
        <v>110624798</v>
      </c>
      <c r="C3816" s="3" t="str">
        <f>HYPERLINK("http://www.ncbi.nlm.nih.gov/protein/110624798","Lamc2")</f>
        <v>Lamc2</v>
      </c>
      <c r="E3816" t="str">
        <f>HYPERLINK("J:\Depot - mpkCCD Fractions\Main Web Page\Web Pages_old\proteomic_fractions_linear_files/Yang_linear_img/110624798.jpg","show blot")</f>
        <v>show blot</v>
      </c>
      <c r="G3816" t="s">
        <v>3675</v>
      </c>
      <c r="I3816" s="6">
        <v>2.6837878214300988</v>
      </c>
      <c r="K3816" s="8"/>
    </row>
    <row r="3817" spans="1:11" ht="15" x14ac:dyDescent="0.25">
      <c r="A3817" s="3" t="str">
        <f>HYPERLINK("proteomic_fractions_linear_files/Yang_linear_img/113195678.jpg", "113195678")</f>
        <v>113195678</v>
      </c>
      <c r="C3817" s="3" t="str">
        <f>HYPERLINK("http://www.ncbi.nlm.nih.gov/protein/113195678","Lamp1")</f>
        <v>Lamp1</v>
      </c>
      <c r="E3817" t="str">
        <f>HYPERLINK("J:\Depot - mpkCCD Fractions\Main Web Page\Web Pages_old\proteomic_fractions_linear_files/Yang_linear_img/113195678.jpg","show blot")</f>
        <v>show blot</v>
      </c>
      <c r="G3817" t="s">
        <v>3676</v>
      </c>
      <c r="I3817" s="6">
        <v>6.0795669073360044</v>
      </c>
      <c r="K3817" s="8"/>
    </row>
    <row r="3818" spans="1:11" ht="15" x14ac:dyDescent="0.25">
      <c r="A3818" s="3" t="str">
        <f>HYPERLINK("proteomic_fractions_linear_files/Yang_linear_img/31543108.jpg", "31543108")</f>
        <v>31543108</v>
      </c>
      <c r="C3818" s="3" t="str">
        <f>HYPERLINK("http://www.ncbi.nlm.nih.gov/protein/31543108","Lamp2")</f>
        <v>Lamp2</v>
      </c>
      <c r="E3818" t="str">
        <f>HYPERLINK("J:\Depot - mpkCCD Fractions\Main Web Page\Web Pages_old\proteomic_fractions_linear_files/Yang_linear_img/31543108.jpg","show blot")</f>
        <v>show blot</v>
      </c>
      <c r="G3818" t="s">
        <v>3677</v>
      </c>
      <c r="I3818" s="6">
        <v>5.7572100623090261</v>
      </c>
      <c r="K3818" s="8"/>
    </row>
    <row r="3819" spans="1:11" ht="15" x14ac:dyDescent="0.25">
      <c r="A3819" s="3" t="str">
        <f>HYPERLINK("proteomic_fractions_linear_files/Yang_linear_img/63054837.jpg", "63054837")</f>
        <v>63054837</v>
      </c>
      <c r="C3819" s="3" t="str">
        <f>HYPERLINK("http://www.ncbi.nlm.nih.gov/protein/63054837","Lamp2")</f>
        <v>Lamp2</v>
      </c>
      <c r="E3819" t="str">
        <f>HYPERLINK("J:\Depot - mpkCCD Fractions\Main Web Page\Web Pages_old\proteomic_fractions_linear_files/Yang_linear_img/63054837.jpg","show blot")</f>
        <v>show blot</v>
      </c>
      <c r="G3819" t="s">
        <v>3678</v>
      </c>
      <c r="I3819" s="6">
        <v>5.7572100623090261</v>
      </c>
      <c r="K3819" s="8"/>
    </row>
    <row r="3820" spans="1:11" ht="15" x14ac:dyDescent="0.25">
      <c r="A3820" s="3" t="str">
        <f>HYPERLINK("proteomic_fractions_linear_files/Yang_linear_img/242332593.jpg", "242332593")</f>
        <v>242332593</v>
      </c>
      <c r="C3820" s="3" t="str">
        <f>HYPERLINK("http://www.ncbi.nlm.nih.gov/protein/242332593","Lamtor1")</f>
        <v>Lamtor1</v>
      </c>
      <c r="E3820" t="str">
        <f>HYPERLINK("J:\Depot - mpkCCD Fractions\Main Web Page\Web Pages_old\proteomic_fractions_linear_files/Yang_linear_img/242332593.jpg","show blot")</f>
        <v>show blot</v>
      </c>
      <c r="G3820" t="s">
        <v>3679</v>
      </c>
      <c r="I3820" s="6">
        <v>5.5226401197597541</v>
      </c>
      <c r="K3820" s="8"/>
    </row>
    <row r="3821" spans="1:11" ht="15" x14ac:dyDescent="0.25">
      <c r="A3821" s="3" t="str">
        <f>HYPERLINK("proteomic_fractions_linear_files/Yang_linear_img/13752573.jpg", "13752573")</f>
        <v>13752573</v>
      </c>
      <c r="C3821" s="3" t="str">
        <f>HYPERLINK("http://www.ncbi.nlm.nih.gov/protein/13752573","Lamtor2")</f>
        <v>Lamtor2</v>
      </c>
      <c r="E3821" t="str">
        <f>HYPERLINK("J:\Depot - mpkCCD Fractions\Main Web Page\Web Pages_old\proteomic_fractions_linear_files/Yang_linear_img/13752573.jpg","show blot")</f>
        <v>show blot</v>
      </c>
      <c r="G3821" t="s">
        <v>3680</v>
      </c>
      <c r="I3821" s="6">
        <v>5.3477912660705087</v>
      </c>
      <c r="K3821" s="8"/>
    </row>
    <row r="3822" spans="1:11" ht="15" x14ac:dyDescent="0.25">
      <c r="A3822" s="3" t="str">
        <f>HYPERLINK("proteomic_fractions_linear_files/Yang_linear_img/9910452.jpg", "9910452")</f>
        <v>9910452</v>
      </c>
      <c r="C3822" s="3" t="str">
        <f>HYPERLINK("http://www.ncbi.nlm.nih.gov/protein/9910452","Lamtor3")</f>
        <v>Lamtor3</v>
      </c>
      <c r="E3822" t="str">
        <f>HYPERLINK("J:\Depot - mpkCCD Fractions\Main Web Page\Web Pages_old\proteomic_fractions_linear_files/Yang_linear_img/9910452.jpg","show blot")</f>
        <v>show blot</v>
      </c>
      <c r="G3822" t="s">
        <v>3681</v>
      </c>
      <c r="I3822" s="6">
        <v>4.4823410192732505</v>
      </c>
      <c r="K3822" s="8"/>
    </row>
    <row r="3823" spans="1:11" ht="15" x14ac:dyDescent="0.25">
      <c r="A3823" s="3" t="str">
        <f>HYPERLINK("proteomic_fractions_linear_files/Yang_linear_img/237820655.jpg", "237820655")</f>
        <v>237820655</v>
      </c>
      <c r="C3823" s="3" t="str">
        <f>HYPERLINK("http://www.ncbi.nlm.nih.gov/protein/237820655","Lamtor5")</f>
        <v>Lamtor5</v>
      </c>
      <c r="E3823" t="str">
        <f>HYPERLINK("J:\Depot - mpkCCD Fractions\Main Web Page\Web Pages_old\proteomic_fractions_linear_files/Yang_linear_img/237820655.jpg","show blot")</f>
        <v>show blot</v>
      </c>
      <c r="G3823" t="s">
        <v>3682</v>
      </c>
      <c r="I3823" s="6">
        <v>4.076133686468606</v>
      </c>
      <c r="K3823" s="8"/>
    </row>
    <row r="3824" spans="1:11" ht="15" x14ac:dyDescent="0.25">
      <c r="A3824" s="3" t="str">
        <f>HYPERLINK("proteomic_fractions_linear_files/Yang_linear_img/300795817.jpg", "300795817")</f>
        <v>300795817</v>
      </c>
      <c r="C3824" s="3" t="str">
        <f>HYPERLINK("http://www.ncbi.nlm.nih.gov/protein/300795817","Lancl1")</f>
        <v>Lancl1</v>
      </c>
      <c r="E3824" t="str">
        <f>HYPERLINK("J:\Depot - mpkCCD Fractions\Main Web Page\Web Pages_old\proteomic_fractions_linear_files/Yang_linear_img/300795817.jpg","show blot")</f>
        <v>show blot</v>
      </c>
      <c r="G3824" t="s">
        <v>3683</v>
      </c>
      <c r="I3824" s="6">
        <v>4.9913123226161895</v>
      </c>
      <c r="K3824" s="8"/>
    </row>
    <row r="3825" spans="1:11" ht="15" x14ac:dyDescent="0.25">
      <c r="A3825" s="3" t="str">
        <f>HYPERLINK("proteomic_fractions_linear_files/Yang_linear_img/19526936.jpg", "19526936")</f>
        <v>19526936</v>
      </c>
      <c r="C3825" s="3" t="str">
        <f>HYPERLINK("http://www.ncbi.nlm.nih.gov/protein/19526936","Lancl2")</f>
        <v>Lancl2</v>
      </c>
      <c r="E3825" t="str">
        <f>HYPERLINK("J:\Depot - mpkCCD Fractions\Main Web Page\Web Pages_old\proteomic_fractions_linear_files/Yang_linear_img/19526936.jpg","show blot")</f>
        <v>show blot</v>
      </c>
      <c r="G3825" t="s">
        <v>3684</v>
      </c>
      <c r="I3825" s="6">
        <v>4.9019541954901351</v>
      </c>
      <c r="K3825" s="8"/>
    </row>
    <row r="3826" spans="1:11" ht="15" x14ac:dyDescent="0.25">
      <c r="A3826" s="3" t="str">
        <f>HYPERLINK("proteomic_fractions_linear_files/Yang_linear_img/255069715.jpg", "255069715")</f>
        <v>255069715</v>
      </c>
      <c r="C3826" s="3" t="str">
        <f>HYPERLINK("http://www.ncbi.nlm.nih.gov/protein/255069715","Lap3")</f>
        <v>Lap3</v>
      </c>
      <c r="E3826" t="str">
        <f>HYPERLINK("J:\Depot - mpkCCD Fractions\Main Web Page\Web Pages_old\proteomic_fractions_linear_files/Yang_linear_img/255069715.jpg","show blot")</f>
        <v>show blot</v>
      </c>
      <c r="G3826" t="s">
        <v>3685</v>
      </c>
      <c r="I3826" s="6">
        <v>5.5180237327248483</v>
      </c>
      <c r="K3826" s="8"/>
    </row>
    <row r="3827" spans="1:11" ht="15" x14ac:dyDescent="0.25">
      <c r="A3827" s="3" t="str">
        <f>HYPERLINK("proteomic_fractions_linear_files/Yang_linear_img/109689716.jpg", "109689716")</f>
        <v>109689716</v>
      </c>
      <c r="C3827" s="3" t="str">
        <f>HYPERLINK("http://www.ncbi.nlm.nih.gov/protein/109689716","Laptm4a")</f>
        <v>Laptm4a</v>
      </c>
      <c r="E3827" t="str">
        <f>HYPERLINK("J:\Depot - mpkCCD Fractions\Main Web Page\Web Pages_old\proteomic_fractions_linear_files/Yang_linear_img/109689716.jpg","show blot")</f>
        <v>show blot</v>
      </c>
      <c r="G3827" t="s">
        <v>3686</v>
      </c>
      <c r="I3827" s="6">
        <v>3.9288946341005384</v>
      </c>
      <c r="K3827" s="8"/>
    </row>
    <row r="3828" spans="1:11" ht="15" x14ac:dyDescent="0.25">
      <c r="A3828" s="3" t="str">
        <f>HYPERLINK("proteomic_fractions_linear_files/Yang_linear_img/226442901.jpg", "226442901")</f>
        <v>226442901</v>
      </c>
      <c r="C3828" s="3" t="str">
        <f>HYPERLINK("http://www.ncbi.nlm.nih.gov/protein/226442901","Larp1")</f>
        <v>Larp1</v>
      </c>
      <c r="E3828" t="str">
        <f>HYPERLINK("J:\Depot - mpkCCD Fractions\Main Web Page\Web Pages_old\proteomic_fractions_linear_files/Yang_linear_img/226442901.jpg","show blot")</f>
        <v>show blot</v>
      </c>
      <c r="G3828" t="s">
        <v>3687</v>
      </c>
      <c r="I3828" s="6">
        <v>4.4271121697061906</v>
      </c>
      <c r="K3828" s="8"/>
    </row>
    <row r="3829" spans="1:11" ht="15" x14ac:dyDescent="0.25">
      <c r="A3829" s="3" t="str">
        <f>HYPERLINK("proteomic_fractions_linear_files/Yang_linear_img/124358932.jpg", "124358932")</f>
        <v>124358932</v>
      </c>
      <c r="C3829" s="3" t="str">
        <f>HYPERLINK("http://www.ncbi.nlm.nih.gov/protein/124358932","Larp4")</f>
        <v>Larp4</v>
      </c>
      <c r="E3829" t="str">
        <f>HYPERLINK("J:\Depot - mpkCCD Fractions\Main Web Page\Web Pages_old\proteomic_fractions_linear_files/Yang_linear_img/124358932.jpg","show blot")</f>
        <v>show blot</v>
      </c>
      <c r="G3829" t="s">
        <v>3688</v>
      </c>
      <c r="I3829" s="6">
        <v>4.4758090492149778</v>
      </c>
      <c r="K3829" s="8"/>
    </row>
    <row r="3830" spans="1:11" ht="15" x14ac:dyDescent="0.25">
      <c r="A3830" s="3" t="str">
        <f>HYPERLINK("proteomic_fractions_linear_files/Yang_linear_img/124358934.jpg", "124358934")</f>
        <v>124358934</v>
      </c>
      <c r="C3830" s="3" t="str">
        <f>HYPERLINK("http://www.ncbi.nlm.nih.gov/protein/124358934","Larp4")</f>
        <v>Larp4</v>
      </c>
      <c r="E3830" t="str">
        <f>HYPERLINK("J:\Depot - mpkCCD Fractions\Main Web Page\Web Pages_old\proteomic_fractions_linear_files/Yang_linear_img/124358934.jpg","show blot")</f>
        <v>show blot</v>
      </c>
      <c r="G3830" t="s">
        <v>3689</v>
      </c>
      <c r="I3830" s="6">
        <v>4.4758090492149778</v>
      </c>
      <c r="K3830" s="8"/>
    </row>
    <row r="3831" spans="1:11" ht="15" x14ac:dyDescent="0.25">
      <c r="A3831" s="3" t="str">
        <f>HYPERLINK("proteomic_fractions_linear_files/Yang_linear_img/27369836.jpg", "27369836")</f>
        <v>27369836</v>
      </c>
      <c r="C3831" s="3" t="str">
        <f>HYPERLINK("http://www.ncbi.nlm.nih.gov/protein/27369836","Larp4b")</f>
        <v>Larp4b</v>
      </c>
      <c r="E3831" t="str">
        <f>HYPERLINK("J:\Depot - mpkCCD Fractions\Main Web Page\Web Pages_old\proteomic_fractions_linear_files/Yang_linear_img/27369836.jpg","show blot")</f>
        <v>show blot</v>
      </c>
      <c r="G3831" t="s">
        <v>3690</v>
      </c>
      <c r="I3831" s="6">
        <v>4.8515541128218684</v>
      </c>
      <c r="K3831" s="8"/>
    </row>
    <row r="3832" spans="1:11" ht="15" x14ac:dyDescent="0.25">
      <c r="A3832" s="3" t="str">
        <f>HYPERLINK("proteomic_fractions_linear_files/Yang_linear_img/110665742.jpg", "110665742")</f>
        <v>110665742</v>
      </c>
      <c r="C3832" s="3" t="str">
        <f>HYPERLINK("http://www.ncbi.nlm.nih.gov/protein/110665742","Larp7")</f>
        <v>Larp7</v>
      </c>
      <c r="E3832" t="str">
        <f>HYPERLINK("J:\Depot - mpkCCD Fractions\Main Web Page\Web Pages_old\proteomic_fractions_linear_files/Yang_linear_img/110665742.jpg","show blot")</f>
        <v>show blot</v>
      </c>
      <c r="G3832" t="s">
        <v>3691</v>
      </c>
      <c r="I3832" s="6">
        <v>5.4644668080266054</v>
      </c>
      <c r="K3832" s="8"/>
    </row>
    <row r="3833" spans="1:11" ht="15" x14ac:dyDescent="0.25">
      <c r="A3833" s="3" t="str">
        <f>HYPERLINK("proteomic_fractions_linear_files/Yang_linear_img/120537241.jpg", "120537241")</f>
        <v>120537241</v>
      </c>
      <c r="C3833" s="3" t="str">
        <f>HYPERLINK("http://www.ncbi.nlm.nih.gov/protein/120537241","Lars")</f>
        <v>Lars</v>
      </c>
      <c r="E3833" t="str">
        <f>HYPERLINK("J:\Depot - mpkCCD Fractions\Main Web Page\Web Pages_old\proteomic_fractions_linear_files/Yang_linear_img/120537241.jpg","show blot")</f>
        <v>show blot</v>
      </c>
      <c r="G3833" t="s">
        <v>3692</v>
      </c>
      <c r="I3833" s="6">
        <v>5.6998050606584139</v>
      </c>
      <c r="K3833" s="8"/>
    </row>
    <row r="3834" spans="1:11" ht="15" x14ac:dyDescent="0.25">
      <c r="A3834" s="3" t="str">
        <f>HYPERLINK("proteomic_fractions_linear_files/Yang_linear_img/23346617.jpg", "23346617")</f>
        <v>23346617</v>
      </c>
      <c r="C3834" s="3" t="str">
        <f>HYPERLINK("http://www.ncbi.nlm.nih.gov/protein/23346617","Lars2")</f>
        <v>Lars2</v>
      </c>
      <c r="E3834" t="str">
        <f>HYPERLINK("J:\Depot - mpkCCD Fractions\Main Web Page\Web Pages_old\proteomic_fractions_linear_files/Yang_linear_img/23346617.jpg","show blot")</f>
        <v>show blot</v>
      </c>
      <c r="G3834" t="s">
        <v>3693</v>
      </c>
      <c r="I3834" s="6">
        <v>2.4797935589304889</v>
      </c>
      <c r="K3834" s="8"/>
    </row>
    <row r="3835" spans="1:11" ht="15" x14ac:dyDescent="0.25">
      <c r="A3835" s="3" t="str">
        <f>HYPERLINK("proteomic_fractions_linear_files/Yang_linear_img/407262453.jpg", "407262453")</f>
        <v>407262453</v>
      </c>
      <c r="C3835" s="3" t="str">
        <f>HYPERLINK("http://www.ncbi.nlm.nih.gov/protein/407262453","Las1l")</f>
        <v>Las1l</v>
      </c>
      <c r="E3835" t="str">
        <f>HYPERLINK("J:\Depot - mpkCCD Fractions\Main Web Page\Web Pages_old\proteomic_fractions_linear_files/Yang_linear_img/407262453.jpg","show blot")</f>
        <v>show blot</v>
      </c>
      <c r="G3835" t="s">
        <v>3694</v>
      </c>
      <c r="I3835" s="6">
        <v>2.8251014115980033</v>
      </c>
      <c r="K3835" s="8"/>
    </row>
    <row r="3836" spans="1:11" ht="15" x14ac:dyDescent="0.25">
      <c r="A3836" s="3" t="str">
        <f>HYPERLINK("proteomic_fractions_linear_files/Yang_linear_img/71979675.jpg", "71979675")</f>
        <v>71979675</v>
      </c>
      <c r="C3836" s="3" t="str">
        <f>HYPERLINK("http://www.ncbi.nlm.nih.gov/protein/71979675","Las1l")</f>
        <v>Las1l</v>
      </c>
      <c r="E3836" t="str">
        <f>HYPERLINK("J:\Depot - mpkCCD Fractions\Main Web Page\Web Pages_old\proteomic_fractions_linear_files/Yang_linear_img/71979675.jpg","show blot")</f>
        <v>show blot</v>
      </c>
      <c r="G3836" t="s">
        <v>3695</v>
      </c>
      <c r="I3836" s="6">
        <v>2.8251014115980033</v>
      </c>
      <c r="K3836" s="8"/>
    </row>
    <row r="3837" spans="1:11" ht="15" x14ac:dyDescent="0.25">
      <c r="A3837" s="3" t="str">
        <f>HYPERLINK("proteomic_fractions_linear_files/Yang_linear_img/6754508.jpg", "6754508")</f>
        <v>6754508</v>
      </c>
      <c r="C3837" s="3" t="str">
        <f>HYPERLINK("http://www.ncbi.nlm.nih.gov/protein/6754508","Lasp1")</f>
        <v>Lasp1</v>
      </c>
      <c r="E3837" t="str">
        <f>HYPERLINK("J:\Depot - mpkCCD Fractions\Main Web Page\Web Pages_old\proteomic_fractions_linear_files/Yang_linear_img/6754508.jpg","show blot")</f>
        <v>show blot</v>
      </c>
      <c r="G3837" t="s">
        <v>3696</v>
      </c>
      <c r="I3837" s="6">
        <v>6.221382981752722</v>
      </c>
      <c r="K3837" s="8"/>
    </row>
    <row r="3838" spans="1:11" ht="15" x14ac:dyDescent="0.25">
      <c r="A3838" s="3" t="str">
        <f>HYPERLINK("proteomic_fractions_linear_files/Yang_linear_img/229608895.jpg", "229608895")</f>
        <v>229608895</v>
      </c>
      <c r="C3838" s="3" t="str">
        <f>HYPERLINK("http://www.ncbi.nlm.nih.gov/protein/229608895","Lbr")</f>
        <v>Lbr</v>
      </c>
      <c r="E3838" t="str">
        <f>HYPERLINK("J:\Depot - mpkCCD Fractions\Main Web Page\Web Pages_old\proteomic_fractions_linear_files/Yang_linear_img/229608895.jpg","show blot")</f>
        <v>show blot</v>
      </c>
      <c r="G3838" t="s">
        <v>3697</v>
      </c>
      <c r="I3838" s="6">
        <v>5.1581983733764165</v>
      </c>
      <c r="K3838" s="8"/>
    </row>
    <row r="3839" spans="1:11" ht="15" x14ac:dyDescent="0.25">
      <c r="A3839" s="3" t="str">
        <f>HYPERLINK("proteomic_fractions_linear_files/Yang_linear_img/244791455.jpg", "244791455")</f>
        <v>244791455</v>
      </c>
      <c r="C3839" s="3" t="str">
        <f>HYPERLINK("http://www.ncbi.nlm.nih.gov/protein/244791455","Lck")</f>
        <v>Lck</v>
      </c>
      <c r="E3839" t="str">
        <f>HYPERLINK("J:\Depot - mpkCCD Fractions\Main Web Page\Web Pages_old\proteomic_fractions_linear_files/Yang_linear_img/244791455.jpg","show blot")</f>
        <v>show blot</v>
      </c>
      <c r="G3839" t="s">
        <v>3698</v>
      </c>
      <c r="I3839" s="6">
        <v>5.360216560041934</v>
      </c>
      <c r="K3839" s="8"/>
    </row>
    <row r="3840" spans="1:11" ht="15" x14ac:dyDescent="0.25">
      <c r="A3840" s="3" t="str">
        <f>HYPERLINK("proteomic_fractions_linear_files/Yang_linear_img/33859570.jpg", "33859570")</f>
        <v>33859570</v>
      </c>
      <c r="C3840" s="3" t="str">
        <f>HYPERLINK("http://www.ncbi.nlm.nih.gov/protein/33859570","Lck")</f>
        <v>Lck</v>
      </c>
      <c r="E3840" t="str">
        <f>HYPERLINK("J:\Depot - mpkCCD Fractions\Main Web Page\Web Pages_old\proteomic_fractions_linear_files/Yang_linear_img/33859570.jpg","show blot")</f>
        <v>show blot</v>
      </c>
      <c r="G3840" t="s">
        <v>3699</v>
      </c>
      <c r="I3840" s="6">
        <v>5.360216560041934</v>
      </c>
      <c r="K3840" s="8"/>
    </row>
    <row r="3841" spans="1:11" ht="15" x14ac:dyDescent="0.25">
      <c r="A3841" s="3" t="str">
        <f>HYPERLINK("proteomic_fractions_linear_files/Yang_linear_img/295789100;295789098.jpg", "295789100;295789098")</f>
        <v>295789100;295789098</v>
      </c>
      <c r="C3841" s="3" t="str">
        <f>HYPERLINK("http://www.ncbi.nlm.nih.gov/protein/295789100;295789098","Lclat1")</f>
        <v>Lclat1</v>
      </c>
      <c r="E3841" t="str">
        <f>HYPERLINK("J:\Depot - mpkCCD Fractions\Main Web Page\Web Pages_old\proteomic_fractions_linear_files/Yang_linear_img/295789100;295789098.jpg","show blot")</f>
        <v>show blot</v>
      </c>
      <c r="G3841" t="s">
        <v>3700</v>
      </c>
      <c r="I3841" s="6">
        <v>3.1386230201632488</v>
      </c>
      <c r="K3841" s="8"/>
    </row>
    <row r="3842" spans="1:11" ht="15" x14ac:dyDescent="0.25">
      <c r="A3842" s="3" t="str">
        <f>HYPERLINK("proteomic_fractions_linear_files/Yang_linear_img/42794773.jpg", "42794773")</f>
        <v>42794773</v>
      </c>
      <c r="C3842" s="3" t="str">
        <f>HYPERLINK("http://www.ncbi.nlm.nih.gov/protein/42794773","Lcmt1")</f>
        <v>Lcmt1</v>
      </c>
      <c r="E3842" t="str">
        <f>HYPERLINK("J:\Depot - mpkCCD Fractions\Main Web Page\Web Pages_old\proteomic_fractions_linear_files/Yang_linear_img/42794773.jpg","show blot")</f>
        <v>show blot</v>
      </c>
      <c r="G3842" t="s">
        <v>3701</v>
      </c>
      <c r="I3842" s="6">
        <v>5.6867928272684196</v>
      </c>
      <c r="K3842" s="8"/>
    </row>
    <row r="3843" spans="1:11" ht="15" x14ac:dyDescent="0.25">
      <c r="A3843" s="3" t="str">
        <f>HYPERLINK("proteomic_fractions_linear_files/Yang_linear_img/34328049.jpg", "34328049")</f>
        <v>34328049</v>
      </c>
      <c r="C3843" s="3" t="str">
        <f>HYPERLINK("http://www.ncbi.nlm.nih.gov/protein/34328049","Lcn2")</f>
        <v>Lcn2</v>
      </c>
      <c r="E3843" t="str">
        <f>HYPERLINK("J:\Depot - mpkCCD Fractions\Main Web Page\Web Pages_old\proteomic_fractions_linear_files/Yang_linear_img/34328049.jpg","show blot")</f>
        <v>show blot</v>
      </c>
      <c r="G3843" t="s">
        <v>3702</v>
      </c>
      <c r="I3843" s="6">
        <v>4.1064878326121814</v>
      </c>
      <c r="K3843" s="8"/>
    </row>
    <row r="3844" spans="1:11" ht="15" x14ac:dyDescent="0.25">
      <c r="A3844" s="3" t="str">
        <f>HYPERLINK("proteomic_fractions_linear_files/Yang_linear_img/31543113;350606354.jpg", "31543113;350606354")</f>
        <v>31543113;350606354</v>
      </c>
      <c r="C3844" s="3" t="str">
        <f>HYPERLINK("http://www.ncbi.nlm.nih.gov/protein/31543113;350606354","Lcp1")</f>
        <v>Lcp1</v>
      </c>
      <c r="E3844" t="str">
        <f>HYPERLINK("J:\Depot - mpkCCD Fractions\Main Web Page\Web Pages_old\proteomic_fractions_linear_files/Yang_linear_img/31543113;350606354.jpg","show blot")</f>
        <v>show blot</v>
      </c>
      <c r="G3844" t="s">
        <v>3703</v>
      </c>
      <c r="I3844" s="6">
        <v>5.247699525515344</v>
      </c>
      <c r="K3844" s="8"/>
    </row>
    <row r="3845" spans="1:11" ht="15" x14ac:dyDescent="0.25">
      <c r="A3845" s="3" t="str">
        <f>HYPERLINK("proteomic_fractions_linear_files/Yang_linear_img/257743039.jpg", "257743039")</f>
        <v>257743039</v>
      </c>
      <c r="C3845" s="3" t="str">
        <f>HYPERLINK("http://www.ncbi.nlm.nih.gov/protein/257743039","Ldha")</f>
        <v>Ldha</v>
      </c>
      <c r="E3845" t="str">
        <f>HYPERLINK("J:\Depot - mpkCCD Fractions\Main Web Page\Web Pages_old\proteomic_fractions_linear_files/Yang_linear_img/257743039.jpg","show blot")</f>
        <v>show blot</v>
      </c>
      <c r="G3845" t="s">
        <v>3704</v>
      </c>
      <c r="I3845" s="6">
        <v>7.2471967060982578</v>
      </c>
      <c r="K3845" s="8"/>
    </row>
    <row r="3846" spans="1:11" ht="15" x14ac:dyDescent="0.25">
      <c r="A3846" s="3" t="str">
        <f>HYPERLINK("proteomic_fractions_linear_files/Yang_linear_img/6754524.jpg", "6754524")</f>
        <v>6754524</v>
      </c>
      <c r="C3846" s="3" t="str">
        <f>HYPERLINK("http://www.ncbi.nlm.nih.gov/protein/6754524","Ldha")</f>
        <v>Ldha</v>
      </c>
      <c r="E3846" t="str">
        <f>HYPERLINK("J:\Depot - mpkCCD Fractions\Main Web Page\Web Pages_old\proteomic_fractions_linear_files/Yang_linear_img/6754524.jpg","show blot")</f>
        <v>show blot</v>
      </c>
      <c r="G3846" t="s">
        <v>3705</v>
      </c>
      <c r="I3846" s="6">
        <v>7.2471967060982578</v>
      </c>
      <c r="K3846" s="8"/>
    </row>
    <row r="3847" spans="1:11" ht="15" x14ac:dyDescent="0.25">
      <c r="A3847" s="3" t="str">
        <f>HYPERLINK("proteomic_fractions_linear_files/Yang_linear_img/30425048.jpg", "30425048")</f>
        <v>30425048</v>
      </c>
      <c r="C3847" s="3" t="str">
        <f>HYPERLINK("http://www.ncbi.nlm.nih.gov/protein/30425048","Ldhal6b")</f>
        <v>Ldhal6b</v>
      </c>
      <c r="E3847" t="str">
        <f>HYPERLINK("J:\Depot - mpkCCD Fractions\Main Web Page\Web Pages_old\proteomic_fractions_linear_files/Yang_linear_img/30425048.jpg","show blot")</f>
        <v>show blot</v>
      </c>
      <c r="G3847" t="s">
        <v>3706</v>
      </c>
      <c r="I3847" s="6">
        <v>5.7182172596160905</v>
      </c>
      <c r="K3847" s="8"/>
    </row>
    <row r="3848" spans="1:11" ht="15" x14ac:dyDescent="0.25">
      <c r="A3848" s="3" t="str">
        <f>HYPERLINK("proteomic_fractions_linear_files/Yang_linear_img/6678674.jpg", "6678674")</f>
        <v>6678674</v>
      </c>
      <c r="C3848" s="3" t="str">
        <f>HYPERLINK("http://www.ncbi.nlm.nih.gov/protein/6678674","Ldhb")</f>
        <v>Ldhb</v>
      </c>
      <c r="E3848" t="str">
        <f>HYPERLINK("J:\Depot - mpkCCD Fractions\Main Web Page\Web Pages_old\proteomic_fractions_linear_files/Yang_linear_img/6678674.jpg","show blot")</f>
        <v>show blot</v>
      </c>
      <c r="G3848" t="s">
        <v>3707</v>
      </c>
      <c r="I3848" s="6">
        <v>6.644298454906405</v>
      </c>
      <c r="K3848" s="8"/>
    </row>
    <row r="3849" spans="1:11" ht="15" x14ac:dyDescent="0.25">
      <c r="A3849" s="3" t="str">
        <f>HYPERLINK("proteomic_fractions_linear_files/Yang_linear_img/7305229.jpg", "7305229")</f>
        <v>7305229</v>
      </c>
      <c r="C3849" s="3" t="str">
        <f>HYPERLINK("http://www.ncbi.nlm.nih.gov/protein/7305229","Ldhc")</f>
        <v>Ldhc</v>
      </c>
      <c r="E3849" t="str">
        <f>HYPERLINK("J:\Depot - mpkCCD Fractions\Main Web Page\Web Pages_old\proteomic_fractions_linear_files/Yang_linear_img/7305229.jpg","show blot")</f>
        <v>show blot</v>
      </c>
      <c r="G3849" t="s">
        <v>3708</v>
      </c>
      <c r="I3849" s="6">
        <v>6.7261976252484805</v>
      </c>
      <c r="K3849" s="8"/>
    </row>
    <row r="3850" spans="1:11" ht="15" x14ac:dyDescent="0.25">
      <c r="A3850" s="3" t="str">
        <f>HYPERLINK("proteomic_fractions_linear_files/Yang_linear_img/34328379.jpg", "34328379")</f>
        <v>34328379</v>
      </c>
      <c r="C3850" s="3" t="str">
        <f>HYPERLINK("http://www.ncbi.nlm.nih.gov/protein/34328379","Ldhd")</f>
        <v>Ldhd</v>
      </c>
      <c r="E3850" t="str">
        <f>HYPERLINK("J:\Depot - mpkCCD Fractions\Main Web Page\Web Pages_old\proteomic_fractions_linear_files/Yang_linear_img/34328379.jpg","show blot")</f>
        <v>show blot</v>
      </c>
      <c r="G3850" t="s">
        <v>3709</v>
      </c>
      <c r="I3850" s="6">
        <v>4.4527799817548264</v>
      </c>
      <c r="K3850" s="8"/>
    </row>
    <row r="3851" spans="1:11" ht="15" x14ac:dyDescent="0.25">
      <c r="A3851" s="3" t="str">
        <f>HYPERLINK("proteomic_fractions_linear_files/Yang_linear_img/113195700.jpg", "113195700")</f>
        <v>113195700</v>
      </c>
      <c r="C3851" s="3" t="str">
        <f>HYPERLINK("http://www.ncbi.nlm.nih.gov/protein/113195700","Ldlr")</f>
        <v>Ldlr</v>
      </c>
      <c r="E3851" t="str">
        <f>HYPERLINK("J:\Depot - mpkCCD Fractions\Main Web Page\Web Pages_old\proteomic_fractions_linear_files/Yang_linear_img/113195700.jpg","show blot")</f>
        <v>show blot</v>
      </c>
      <c r="G3851" t="s">
        <v>3710</v>
      </c>
      <c r="I3851" s="6">
        <v>2.1922597567505688</v>
      </c>
      <c r="K3851" s="8"/>
    </row>
    <row r="3852" spans="1:11" ht="15" x14ac:dyDescent="0.25">
      <c r="A3852" s="3" t="str">
        <f>HYPERLINK("proteomic_fractions_linear_files/Yang_linear_img/358030301.jpg", "358030301")</f>
        <v>358030301</v>
      </c>
      <c r="C3852" s="3" t="str">
        <f>HYPERLINK("http://www.ncbi.nlm.nih.gov/protein/358030301","Ldlr")</f>
        <v>Ldlr</v>
      </c>
      <c r="E3852" t="str">
        <f>HYPERLINK("J:\Depot - mpkCCD Fractions\Main Web Page\Web Pages_old\proteomic_fractions_linear_files/Yang_linear_img/358030301.jpg","show blot")</f>
        <v>show blot</v>
      </c>
      <c r="G3852" t="s">
        <v>3711</v>
      </c>
      <c r="I3852" s="6">
        <v>2.1922597567505688</v>
      </c>
      <c r="K3852" s="8"/>
    </row>
    <row r="3853" spans="1:11" ht="15" x14ac:dyDescent="0.25">
      <c r="A3853" s="3" t="str">
        <f>HYPERLINK("proteomic_fractions_linear_files/Yang_linear_img/358030304.jpg", "358030304")</f>
        <v>358030304</v>
      </c>
      <c r="C3853" s="3" t="str">
        <f>HYPERLINK("http://www.ncbi.nlm.nih.gov/protein/358030304","Ldlr")</f>
        <v>Ldlr</v>
      </c>
      <c r="E3853" t="str">
        <f>HYPERLINK("J:\Depot - mpkCCD Fractions\Main Web Page\Web Pages_old\proteomic_fractions_linear_files/Yang_linear_img/358030304.jpg","show blot")</f>
        <v>show blot</v>
      </c>
      <c r="G3853" t="s">
        <v>3712</v>
      </c>
      <c r="I3853" s="6">
        <v>2.1922597567505688</v>
      </c>
      <c r="K3853" s="8"/>
    </row>
    <row r="3854" spans="1:11" ht="15" x14ac:dyDescent="0.25">
      <c r="A3854" s="3" t="str">
        <f>HYPERLINK("proteomic_fractions_linear_files/Yang_linear_img/160333775.jpg", "160333775")</f>
        <v>160333775</v>
      </c>
      <c r="C3854" s="3" t="str">
        <f>HYPERLINK("http://www.ncbi.nlm.nih.gov/protein/160333775","Ldlrap1")</f>
        <v>Ldlrap1</v>
      </c>
      <c r="E3854" t="str">
        <f>HYPERLINK("J:\Depot - mpkCCD Fractions\Main Web Page\Web Pages_old\proteomic_fractions_linear_files/Yang_linear_img/160333775.jpg","show blot")</f>
        <v>show blot</v>
      </c>
      <c r="G3854" t="s">
        <v>3713</v>
      </c>
      <c r="I3854" s="6">
        <v>3.3927630772091812</v>
      </c>
      <c r="K3854" s="8"/>
    </row>
    <row r="3855" spans="1:11" ht="15" x14ac:dyDescent="0.25">
      <c r="A3855" s="3" t="str">
        <f>HYPERLINK("proteomic_fractions_linear_files/Yang_linear_img/170932462.jpg", "170932462")</f>
        <v>170932462</v>
      </c>
      <c r="C3855" s="3" t="str">
        <f>HYPERLINK("http://www.ncbi.nlm.nih.gov/protein/170932462","Lect1")</f>
        <v>Lect1</v>
      </c>
      <c r="E3855" t="str">
        <f>HYPERLINK("J:\Depot - mpkCCD Fractions\Main Web Page\Web Pages_old\proteomic_fractions_linear_files/Yang_linear_img/170932462.jpg","show blot")</f>
        <v>show blot</v>
      </c>
      <c r="G3855" t="s">
        <v>3714</v>
      </c>
      <c r="I3855" s="6">
        <v>4.145519791057283</v>
      </c>
      <c r="K3855" s="8"/>
    </row>
    <row r="3856" spans="1:11" ht="15" x14ac:dyDescent="0.25">
      <c r="A3856" s="3" t="str">
        <f>HYPERLINK("proteomic_fractions_linear_files/Yang_linear_img/145864461.jpg", "145864461")</f>
        <v>145864461</v>
      </c>
      <c r="C3856" s="3" t="str">
        <f>HYPERLINK("http://www.ncbi.nlm.nih.gov/protein/145864461","Lemd3")</f>
        <v>Lemd3</v>
      </c>
      <c r="E3856" t="str">
        <f>HYPERLINK("J:\Depot - mpkCCD Fractions\Main Web Page\Web Pages_old\proteomic_fractions_linear_files/Yang_linear_img/145864461.jpg","show blot")</f>
        <v>show blot</v>
      </c>
      <c r="G3856" t="s">
        <v>3715</v>
      </c>
      <c r="I3856" s="6">
        <v>3.0382189990018005</v>
      </c>
      <c r="K3856" s="8"/>
    </row>
    <row r="3857" spans="1:11" ht="15" x14ac:dyDescent="0.25">
      <c r="A3857" s="3" t="str">
        <f>HYPERLINK("proteomic_fractions_linear_files/Yang_linear_img/87299619.jpg", "87299619")</f>
        <v>87299619</v>
      </c>
      <c r="C3857" s="3" t="str">
        <f>HYPERLINK("http://www.ncbi.nlm.nih.gov/protein/87299619","Leo1")</f>
        <v>Leo1</v>
      </c>
      <c r="E3857" t="str">
        <f>HYPERLINK("J:\Depot - mpkCCD Fractions\Main Web Page\Web Pages_old\proteomic_fractions_linear_files/Yang_linear_img/87299619.jpg","show blot")</f>
        <v>show blot</v>
      </c>
      <c r="G3857" t="s">
        <v>3716</v>
      </c>
      <c r="I3857" s="6">
        <v>3.9179671228121977</v>
      </c>
      <c r="K3857" s="8"/>
    </row>
    <row r="3858" spans="1:11" ht="15" x14ac:dyDescent="0.25">
      <c r="A3858" s="3" t="str">
        <f>HYPERLINK("proteomic_fractions_linear_files/Yang_linear_img/28077089.jpg", "28077089")</f>
        <v>28077089</v>
      </c>
      <c r="C3858" s="3" t="str">
        <f>HYPERLINK("http://www.ncbi.nlm.nih.gov/protein/28077089","Leprot")</f>
        <v>Leprot</v>
      </c>
      <c r="E3858" t="str">
        <f>HYPERLINK("J:\Depot - mpkCCD Fractions\Main Web Page\Web Pages_old\proteomic_fractions_linear_files/Yang_linear_img/28077089.jpg","show blot")</f>
        <v>show blot</v>
      </c>
      <c r="G3858" t="s">
        <v>3717</v>
      </c>
      <c r="I3858" s="6">
        <v>3.974076730409569</v>
      </c>
      <c r="K3858" s="8"/>
    </row>
    <row r="3859" spans="1:11" ht="15" x14ac:dyDescent="0.25">
      <c r="A3859" s="3" t="str">
        <f>HYPERLINK("proteomic_fractions_linear_files/Yang_linear_img/13386094.jpg", "13386094")</f>
        <v>13386094</v>
      </c>
      <c r="C3859" s="3" t="str">
        <f>HYPERLINK("http://www.ncbi.nlm.nih.gov/protein/13386094","Leprotl1")</f>
        <v>Leprotl1</v>
      </c>
      <c r="E3859" t="str">
        <f>HYPERLINK("J:\Depot - mpkCCD Fractions\Main Web Page\Web Pages_old\proteomic_fractions_linear_files/Yang_linear_img/13386094.jpg","show blot")</f>
        <v>show blot</v>
      </c>
      <c r="G3859" t="s">
        <v>3718</v>
      </c>
      <c r="I3859" s="6">
        <v>3.7233735670189843</v>
      </c>
      <c r="K3859" s="8"/>
    </row>
    <row r="3860" spans="1:11" ht="15" x14ac:dyDescent="0.25">
      <c r="A3860" s="3" t="str">
        <f>HYPERLINK("proteomic_fractions_linear_files/Yang_linear_img/9789997.jpg", "9789997")</f>
        <v>9789997</v>
      </c>
      <c r="C3860" s="3" t="str">
        <f>HYPERLINK("http://www.ncbi.nlm.nih.gov/protein/9789997","Letm1")</f>
        <v>Letm1</v>
      </c>
      <c r="E3860" t="str">
        <f>HYPERLINK("J:\Depot - mpkCCD Fractions\Main Web Page\Web Pages_old\proteomic_fractions_linear_files/Yang_linear_img/9789997.jpg","show blot")</f>
        <v>show blot</v>
      </c>
      <c r="G3860" t="s">
        <v>3719</v>
      </c>
      <c r="I3860" s="6">
        <v>4.695597604966296</v>
      </c>
      <c r="K3860" s="8"/>
    </row>
    <row r="3861" spans="1:11" ht="15" x14ac:dyDescent="0.25">
      <c r="A3861" s="3" t="str">
        <f>HYPERLINK("proteomic_fractions_linear_files/Yang_linear_img/6678682.jpg", "6678682")</f>
        <v>6678682</v>
      </c>
      <c r="C3861" s="3" t="str">
        <f>HYPERLINK("http://www.ncbi.nlm.nih.gov/protein/6678682","Lgals1")</f>
        <v>Lgals1</v>
      </c>
      <c r="E3861" t="str">
        <f>HYPERLINK("J:\Depot - mpkCCD Fractions\Main Web Page\Web Pages_old\proteomic_fractions_linear_files/Yang_linear_img/6678682.jpg","show blot")</f>
        <v>show blot</v>
      </c>
      <c r="G3861" t="s">
        <v>3720</v>
      </c>
      <c r="I3861" s="6">
        <v>6.6762293216996724</v>
      </c>
      <c r="K3861" s="8"/>
    </row>
    <row r="3862" spans="1:11" ht="15" x14ac:dyDescent="0.25">
      <c r="A3862" s="3" t="str">
        <f>HYPERLINK("proteomic_fractions_linear_files/Yang_linear_img/9506757.jpg", "9506757")</f>
        <v>9506757</v>
      </c>
      <c r="C3862" s="3" t="str">
        <f>HYPERLINK("http://www.ncbi.nlm.nih.gov/protein/9506757","Lgals12")</f>
        <v>Lgals12</v>
      </c>
      <c r="E3862" t="str">
        <f>HYPERLINK("J:\Depot - mpkCCD Fractions\Main Web Page\Web Pages_old\proteomic_fractions_linear_files/Yang_linear_img/9506757.jpg","show blot")</f>
        <v>show blot</v>
      </c>
      <c r="G3862" t="s">
        <v>3721</v>
      </c>
      <c r="I3862" s="6">
        <v>1.9918785266357242</v>
      </c>
      <c r="K3862" s="8"/>
    </row>
    <row r="3863" spans="1:11" ht="15" x14ac:dyDescent="0.25">
      <c r="A3863" s="3" t="str">
        <f>HYPERLINK("proteomic_fractions_linear_files/Yang_linear_img/33859580;225543163.jpg", "33859580;225543163")</f>
        <v>33859580;225543163</v>
      </c>
      <c r="C3863" s="3" t="str">
        <f>HYPERLINK("http://www.ncbi.nlm.nih.gov/protein/33859580;225543163","Lgals3")</f>
        <v>Lgals3</v>
      </c>
      <c r="E3863" t="str">
        <f>HYPERLINK("J:\Depot - mpkCCD Fractions\Main Web Page\Web Pages_old\proteomic_fractions_linear_files/Yang_linear_img/33859580;225543163.jpg","show blot")</f>
        <v>show blot</v>
      </c>
      <c r="G3863" t="s">
        <v>3722</v>
      </c>
      <c r="I3863" s="6">
        <v>5.8273233303552816</v>
      </c>
      <c r="K3863" s="8"/>
    </row>
    <row r="3864" spans="1:11" ht="15" x14ac:dyDescent="0.25">
      <c r="A3864" s="3" t="str">
        <f>HYPERLINK("proteomic_fractions_linear_files/Yang_linear_img/225543163.jpg", "225543163")</f>
        <v>225543163</v>
      </c>
      <c r="C3864" s="3" t="str">
        <f>HYPERLINK("http://www.ncbi.nlm.nih.gov/protein/225543163","Lgals3")</f>
        <v>Lgals3</v>
      </c>
      <c r="E3864" t="str">
        <f>HYPERLINK("J:\Depot - mpkCCD Fractions\Main Web Page\Web Pages_old\proteomic_fractions_linear_files/Yang_linear_img/225543163.jpg","show blot")</f>
        <v>show blot</v>
      </c>
      <c r="G3864" t="s">
        <v>3722</v>
      </c>
      <c r="I3864" s="6">
        <v>5.8273233303552816</v>
      </c>
      <c r="K3864" s="8"/>
    </row>
    <row r="3865" spans="1:11" ht="15" x14ac:dyDescent="0.25">
      <c r="A3865" s="3" t="str">
        <f>HYPERLINK("proteomic_fractions_linear_files/Yang_linear_img/9256551.jpg", "9256551")</f>
        <v>9256551</v>
      </c>
      <c r="C3865" s="3" t="str">
        <f>HYPERLINK("http://www.ncbi.nlm.nih.gov/protein/9256551","Lgals8")</f>
        <v>Lgals8</v>
      </c>
      <c r="E3865" t="str">
        <f>HYPERLINK("J:\Depot - mpkCCD Fractions\Main Web Page\Web Pages_old\proteomic_fractions_linear_files/Yang_linear_img/9256551.jpg","show blot")</f>
        <v>show blot</v>
      </c>
      <c r="G3865" t="s">
        <v>3723</v>
      </c>
      <c r="I3865" s="6">
        <v>4.250439656264879</v>
      </c>
      <c r="K3865" s="8"/>
    </row>
    <row r="3866" spans="1:11" ht="15" x14ac:dyDescent="0.25">
      <c r="A3866" s="3" t="str">
        <f>HYPERLINK("proteomic_fractions_linear_files/Yang_linear_img/312261230;9256551.jpg", "312261230;9256551")</f>
        <v>312261230;9256551</v>
      </c>
      <c r="C3866" s="3" t="str">
        <f>HYPERLINK("http://www.ncbi.nlm.nih.gov/protein/312261230;9256551","Lgals8")</f>
        <v>Lgals8</v>
      </c>
      <c r="E3866" t="str">
        <f>HYPERLINK("J:\Depot - mpkCCD Fractions\Main Web Page\Web Pages_old\proteomic_fractions_linear_files/Yang_linear_img/312261230;9256551.jpg","show blot")</f>
        <v>show blot</v>
      </c>
      <c r="G3866" t="s">
        <v>3723</v>
      </c>
      <c r="I3866" s="6">
        <v>4.250439656264879</v>
      </c>
      <c r="K3866" s="8"/>
    </row>
    <row r="3867" spans="1:11" ht="15" x14ac:dyDescent="0.25">
      <c r="A3867" s="3" t="str">
        <f>HYPERLINK("proteomic_fractions_linear_files/Yang_linear_img/226531119.jpg", "226531119")</f>
        <v>226531119</v>
      </c>
      <c r="C3867" s="3" t="str">
        <f>HYPERLINK("http://www.ncbi.nlm.nih.gov/protein/226531119","Lgals9")</f>
        <v>Lgals9</v>
      </c>
      <c r="E3867" t="str">
        <f>HYPERLINK("J:\Depot - mpkCCD Fractions\Main Web Page\Web Pages_old\proteomic_fractions_linear_files/Yang_linear_img/226531119.jpg","show blot")</f>
        <v>show blot</v>
      </c>
      <c r="G3867" t="s">
        <v>3724</v>
      </c>
      <c r="I3867" s="6">
        <v>5.0816333442741515</v>
      </c>
      <c r="K3867" s="8"/>
    </row>
    <row r="3868" spans="1:11" ht="15" x14ac:dyDescent="0.25">
      <c r="A3868" s="3" t="str">
        <f>HYPERLINK("proteomic_fractions_linear_files/Yang_linear_img/226531139.jpg", "226531139")</f>
        <v>226531139</v>
      </c>
      <c r="C3868" s="3" t="str">
        <f>HYPERLINK("http://www.ncbi.nlm.nih.gov/protein/226531139","Lgals9")</f>
        <v>Lgals9</v>
      </c>
      <c r="E3868" t="str">
        <f>HYPERLINK("J:\Depot - mpkCCD Fractions\Main Web Page\Web Pages_old\proteomic_fractions_linear_files/Yang_linear_img/226531139.jpg","show blot")</f>
        <v>show blot</v>
      </c>
      <c r="G3868" t="s">
        <v>3725</v>
      </c>
      <c r="I3868" s="6">
        <v>5.0816333442741515</v>
      </c>
      <c r="K3868" s="8"/>
    </row>
    <row r="3869" spans="1:11" ht="15" x14ac:dyDescent="0.25">
      <c r="A3869" s="3" t="str">
        <f>HYPERLINK("proteomic_fractions_linear_files/Yang_linear_img/29611654.jpg", "29611654")</f>
        <v>29611654</v>
      </c>
      <c r="C3869" s="3" t="str">
        <f>HYPERLINK("http://www.ncbi.nlm.nih.gov/protein/29611654","Lgalsl")</f>
        <v>Lgalsl</v>
      </c>
      <c r="E3869" t="str">
        <f>HYPERLINK("J:\Depot - mpkCCD Fractions\Main Web Page\Web Pages_old\proteomic_fractions_linear_files/Yang_linear_img/29611654.jpg","show blot")</f>
        <v>show blot</v>
      </c>
      <c r="G3869" t="s">
        <v>3726</v>
      </c>
      <c r="I3869" s="6">
        <v>4.3802132891003183</v>
      </c>
      <c r="K3869" s="8"/>
    </row>
    <row r="3870" spans="1:11" ht="15" x14ac:dyDescent="0.25">
      <c r="A3870" s="3" t="str">
        <f>HYPERLINK("proteomic_fractions_linear_files/Yang_linear_img/7242187.jpg", "7242187")</f>
        <v>7242187</v>
      </c>
      <c r="C3870" s="3" t="str">
        <f>HYPERLINK("http://www.ncbi.nlm.nih.gov/protein/7242187","Lgmn")</f>
        <v>Lgmn</v>
      </c>
      <c r="E3870" t="str">
        <f>HYPERLINK("J:\Depot - mpkCCD Fractions\Main Web Page\Web Pages_old\proteomic_fractions_linear_files/Yang_linear_img/7242187.jpg","show blot")</f>
        <v>show blot</v>
      </c>
      <c r="G3870" t="s">
        <v>3727</v>
      </c>
      <c r="I3870" s="6">
        <v>5.6980342403351285</v>
      </c>
      <c r="K3870" s="8"/>
    </row>
    <row r="3871" spans="1:11" ht="15" x14ac:dyDescent="0.25">
      <c r="A3871" s="3" t="str">
        <f>HYPERLINK("proteomic_fractions_linear_files/Yang_linear_img/13277380.jpg", "13277380")</f>
        <v>13277380</v>
      </c>
      <c r="C3871" s="3" t="str">
        <f>HYPERLINK("http://www.ncbi.nlm.nih.gov/protein/13277380","Lias")</f>
        <v>Lias</v>
      </c>
      <c r="E3871" t="str">
        <f>HYPERLINK("J:\Depot - mpkCCD Fractions\Main Web Page\Web Pages_old\proteomic_fractions_linear_files/Yang_linear_img/13277380.jpg","show blot")</f>
        <v>show blot</v>
      </c>
      <c r="G3871" t="s">
        <v>3728</v>
      </c>
      <c r="I3871" s="6">
        <v>1.8199432273512006</v>
      </c>
      <c r="K3871" s="8"/>
    </row>
    <row r="3872" spans="1:11" ht="15" x14ac:dyDescent="0.25">
      <c r="A3872" s="3" t="str">
        <f>HYPERLINK("proteomic_fractions_linear_files/Yang_linear_img/313151236;133892266.jpg", "313151236;133892266")</f>
        <v>313151236;133892266</v>
      </c>
      <c r="C3872" s="3" t="str">
        <f>HYPERLINK("http://www.ncbi.nlm.nih.gov/protein/313151236;133892266","Lig1")</f>
        <v>Lig1</v>
      </c>
      <c r="E3872" t="str">
        <f>HYPERLINK("J:\Depot - mpkCCD Fractions\Main Web Page\Web Pages_old\proteomic_fractions_linear_files/Yang_linear_img/313151236;133892266.jpg","show blot")</f>
        <v>show blot</v>
      </c>
      <c r="G3872" t="s">
        <v>3729</v>
      </c>
      <c r="I3872" s="6">
        <v>5.3046196066375826</v>
      </c>
      <c r="K3872" s="8"/>
    </row>
    <row r="3873" spans="1:11" ht="15" x14ac:dyDescent="0.25">
      <c r="A3873" s="3" t="str">
        <f>HYPERLINK("proteomic_fractions_linear_files/Yang_linear_img/133892266.jpg", "133892266")</f>
        <v>133892266</v>
      </c>
      <c r="C3873" s="3" t="str">
        <f>HYPERLINK("http://www.ncbi.nlm.nih.gov/protein/133892266","Lig1")</f>
        <v>Lig1</v>
      </c>
      <c r="E3873" t="str">
        <f>HYPERLINK("J:\Depot - mpkCCD Fractions\Main Web Page\Web Pages_old\proteomic_fractions_linear_files/Yang_linear_img/133892266.jpg","show blot")</f>
        <v>show blot</v>
      </c>
      <c r="G3873" t="s">
        <v>3729</v>
      </c>
      <c r="I3873" s="6">
        <v>5.3046196066375826</v>
      </c>
      <c r="K3873" s="8"/>
    </row>
    <row r="3874" spans="1:11" ht="15" x14ac:dyDescent="0.25">
      <c r="A3874" s="3" t="str">
        <f>HYPERLINK("proteomic_fractions_linear_files/Yang_linear_img/158518433.jpg", "158518433")</f>
        <v>158518433</v>
      </c>
      <c r="C3874" s="3" t="str">
        <f>HYPERLINK("http://www.ncbi.nlm.nih.gov/protein/158518433","Lima1")</f>
        <v>Lima1</v>
      </c>
      <c r="E3874" t="str">
        <f>HYPERLINK("J:\Depot - mpkCCD Fractions\Main Web Page\Web Pages_old\proteomic_fractions_linear_files/Yang_linear_img/158518433.jpg","show blot")</f>
        <v>show blot</v>
      </c>
      <c r="G3874" t="s">
        <v>3730</v>
      </c>
      <c r="I3874" s="6">
        <v>4.9696629130326802</v>
      </c>
      <c r="K3874" s="8"/>
    </row>
    <row r="3875" spans="1:11" ht="15" x14ac:dyDescent="0.25">
      <c r="A3875" s="3" t="str">
        <f>HYPERLINK("proteomic_fractions_linear_files/Yang_linear_img/165905585.jpg", "165905585")</f>
        <v>165905585</v>
      </c>
      <c r="C3875" s="3" t="str">
        <f>HYPERLINK("http://www.ncbi.nlm.nih.gov/protein/165905585","Lima1")</f>
        <v>Lima1</v>
      </c>
      <c r="E3875" t="str">
        <f>HYPERLINK("J:\Depot - mpkCCD Fractions\Main Web Page\Web Pages_old\proteomic_fractions_linear_files/Yang_linear_img/165905585.jpg","show blot")</f>
        <v>show blot</v>
      </c>
      <c r="G3875" t="s">
        <v>3731</v>
      </c>
      <c r="I3875" s="6">
        <v>4.9696629130326802</v>
      </c>
      <c r="K3875" s="8"/>
    </row>
    <row r="3876" spans="1:11" ht="15" x14ac:dyDescent="0.25">
      <c r="A3876" s="3" t="str">
        <f>HYPERLINK("proteomic_fractions_linear_files/Yang_linear_img/224994267.jpg", "224994267")</f>
        <v>224994267</v>
      </c>
      <c r="C3876" s="3" t="str">
        <f>HYPERLINK("http://www.ncbi.nlm.nih.gov/protein/224994267","Limd1")</f>
        <v>Limd1</v>
      </c>
      <c r="E3876" t="str">
        <f>HYPERLINK("J:\Depot - mpkCCD Fractions\Main Web Page\Web Pages_old\proteomic_fractions_linear_files/Yang_linear_img/224994267.jpg","show blot")</f>
        <v>show blot</v>
      </c>
      <c r="G3876" t="s">
        <v>3732</v>
      </c>
      <c r="I3876" s="6">
        <v>2.9541361937761104</v>
      </c>
      <c r="K3876" s="8"/>
    </row>
    <row r="3877" spans="1:11" ht="15" x14ac:dyDescent="0.25">
      <c r="A3877" s="3" t="str">
        <f>HYPERLINK("proteomic_fractions_linear_files/Yang_linear_img/6754550.jpg", "6754550")</f>
        <v>6754550</v>
      </c>
      <c r="C3877" s="3" t="str">
        <f>HYPERLINK("http://www.ncbi.nlm.nih.gov/protein/6754550","Limk2")</f>
        <v>Limk2</v>
      </c>
      <c r="E3877" t="str">
        <f>HYPERLINK("J:\Depot - mpkCCD Fractions\Main Web Page\Web Pages_old\proteomic_fractions_linear_files/Yang_linear_img/6754550.jpg","show blot")</f>
        <v>show blot</v>
      </c>
      <c r="G3877" t="s">
        <v>3733</v>
      </c>
      <c r="I3877" s="6">
        <v>2.9792976912211517</v>
      </c>
      <c r="K3877" s="8"/>
    </row>
    <row r="3878" spans="1:11" ht="15" x14ac:dyDescent="0.25">
      <c r="A3878" s="3" t="str">
        <f>HYPERLINK("proteomic_fractions_linear_files/Yang_linear_img/76443701.jpg", "76443701")</f>
        <v>76443701</v>
      </c>
      <c r="C3878" s="3" t="str">
        <f>HYPERLINK("http://www.ncbi.nlm.nih.gov/protein/76443701","Limk2")</f>
        <v>Limk2</v>
      </c>
      <c r="E3878" t="str">
        <f>HYPERLINK("J:\Depot - mpkCCD Fractions\Main Web Page\Web Pages_old\proteomic_fractions_linear_files/Yang_linear_img/76443701.jpg","show blot")</f>
        <v>show blot</v>
      </c>
      <c r="G3878" t="s">
        <v>3734</v>
      </c>
      <c r="I3878" s="6">
        <v>2.9792976912211517</v>
      </c>
      <c r="K3878" s="8"/>
    </row>
    <row r="3879" spans="1:11" ht="15" x14ac:dyDescent="0.25">
      <c r="A3879" s="3" t="str">
        <f>HYPERLINK("proteomic_fractions_linear_files/Yang_linear_img/77404365.jpg", "77404365")</f>
        <v>77404365</v>
      </c>
      <c r="C3879" s="3" t="str">
        <f>HYPERLINK("http://www.ncbi.nlm.nih.gov/protein/77404365","Limk2")</f>
        <v>Limk2</v>
      </c>
      <c r="E3879" t="str">
        <f>HYPERLINK("J:\Depot - mpkCCD Fractions\Main Web Page\Web Pages_old\proteomic_fractions_linear_files/Yang_linear_img/77404365.jpg","show blot")</f>
        <v>show blot</v>
      </c>
      <c r="G3879" t="s">
        <v>3735</v>
      </c>
      <c r="I3879" s="6">
        <v>2.9792976912211517</v>
      </c>
      <c r="K3879" s="8"/>
    </row>
    <row r="3880" spans="1:11" ht="15" x14ac:dyDescent="0.25">
      <c r="A3880" s="3" t="str">
        <f>HYPERLINK("proteomic_fractions_linear_files/Yang_linear_img/300863087.jpg", "300863087")</f>
        <v>300863087</v>
      </c>
      <c r="C3880" s="3" t="str">
        <f>HYPERLINK("http://www.ncbi.nlm.nih.gov/protein/300863087","Lims1")</f>
        <v>Lims1</v>
      </c>
      <c r="E3880" t="str">
        <f>HYPERLINK("J:\Depot - mpkCCD Fractions\Main Web Page\Web Pages_old\proteomic_fractions_linear_files/Yang_linear_img/300863087.jpg","show blot")</f>
        <v>show blot</v>
      </c>
      <c r="G3880" t="s">
        <v>3736</v>
      </c>
      <c r="I3880" s="6">
        <v>5.274062351623102</v>
      </c>
      <c r="K3880" s="8"/>
    </row>
    <row r="3881" spans="1:11" ht="15" x14ac:dyDescent="0.25">
      <c r="A3881" s="3" t="str">
        <f>HYPERLINK("proteomic_fractions_linear_files/Yang_linear_img/300863089.jpg", "300863089")</f>
        <v>300863089</v>
      </c>
      <c r="C3881" s="3" t="str">
        <f>HYPERLINK("http://www.ncbi.nlm.nih.gov/protein/300863089","Lims1")</f>
        <v>Lims1</v>
      </c>
      <c r="E3881" t="str">
        <f>HYPERLINK("J:\Depot - mpkCCD Fractions\Main Web Page\Web Pages_old\proteomic_fractions_linear_files/Yang_linear_img/300863089.jpg","show blot")</f>
        <v>show blot</v>
      </c>
      <c r="G3881" t="s">
        <v>3737</v>
      </c>
      <c r="I3881" s="6">
        <v>5.274062351623102</v>
      </c>
      <c r="K3881" s="8"/>
    </row>
    <row r="3882" spans="1:11" ht="15" x14ac:dyDescent="0.25">
      <c r="A3882" s="3" t="str">
        <f>HYPERLINK("proteomic_fractions_linear_files/Yang_linear_img/84794647.jpg", "84794647")</f>
        <v>84794647</v>
      </c>
      <c r="C3882" s="3" t="str">
        <f>HYPERLINK("http://www.ncbi.nlm.nih.gov/protein/84794647","Lims1")</f>
        <v>Lims1</v>
      </c>
      <c r="E3882" t="str">
        <f>HYPERLINK("J:\Depot - mpkCCD Fractions\Main Web Page\Web Pages_old\proteomic_fractions_linear_files/Yang_linear_img/84794647.jpg","show blot")</f>
        <v>show blot</v>
      </c>
      <c r="G3882" t="s">
        <v>3738</v>
      </c>
      <c r="I3882" s="6">
        <v>5.274062351623102</v>
      </c>
      <c r="K3882" s="8"/>
    </row>
    <row r="3883" spans="1:11" ht="15" x14ac:dyDescent="0.25">
      <c r="A3883" s="3" t="str">
        <f>HYPERLINK("proteomic_fractions_linear_files/Yang_linear_img/21450085.jpg", "21450085")</f>
        <v>21450085</v>
      </c>
      <c r="C3883" s="3" t="str">
        <f>HYPERLINK("http://www.ncbi.nlm.nih.gov/protein/21450085","Lims2")</f>
        <v>Lims2</v>
      </c>
      <c r="E3883" t="str">
        <f>HYPERLINK("J:\Depot - mpkCCD Fractions\Main Web Page\Web Pages_old\proteomic_fractions_linear_files/Yang_linear_img/21450085.jpg","show blot")</f>
        <v>show blot</v>
      </c>
      <c r="G3883" t="s">
        <v>3739</v>
      </c>
      <c r="I3883" s="6">
        <v>3.6773706647207565</v>
      </c>
      <c r="K3883" s="8"/>
    </row>
    <row r="3884" spans="1:11" ht="15" x14ac:dyDescent="0.25">
      <c r="A3884" s="3" t="str">
        <f>HYPERLINK("proteomic_fractions_linear_files/Yang_linear_img/85701728.jpg", "85701728")</f>
        <v>85701728</v>
      </c>
      <c r="C3884" s="3" t="str">
        <f>HYPERLINK("http://www.ncbi.nlm.nih.gov/protein/85701728","Lin7a")</f>
        <v>Lin7a</v>
      </c>
      <c r="E3884" t="str">
        <f>HYPERLINK("J:\Depot - mpkCCD Fractions\Main Web Page\Web Pages_old\proteomic_fractions_linear_files/Yang_linear_img/85701728.jpg","show blot")</f>
        <v>show blot</v>
      </c>
      <c r="G3884" t="s">
        <v>3740</v>
      </c>
      <c r="I3884" s="6">
        <v>4.8658885703169767</v>
      </c>
      <c r="K3884" s="8"/>
    </row>
    <row r="3885" spans="1:11" ht="15" x14ac:dyDescent="0.25">
      <c r="A3885" s="3" t="str">
        <f>HYPERLINK("proteomic_fractions_linear_files/Yang_linear_img/86991442.jpg", "86991442")</f>
        <v>86991442</v>
      </c>
      <c r="C3885" s="3" t="str">
        <f>HYPERLINK("http://www.ncbi.nlm.nih.gov/protein/86991442","Lin7a")</f>
        <v>Lin7a</v>
      </c>
      <c r="E3885" t="str">
        <f>HYPERLINK("J:\Depot - mpkCCD Fractions\Main Web Page\Web Pages_old\proteomic_fractions_linear_files/Yang_linear_img/86991442.jpg","show blot")</f>
        <v>show blot</v>
      </c>
      <c r="G3885" t="s">
        <v>3741</v>
      </c>
      <c r="I3885" s="6">
        <v>4.8658885703169767</v>
      </c>
      <c r="K3885" s="8"/>
    </row>
    <row r="3886" spans="1:11" ht="15" x14ac:dyDescent="0.25">
      <c r="A3886" s="3" t="str">
        <f>HYPERLINK("proteomic_fractions_linear_files/Yang_linear_img/6755971.jpg", "6755971")</f>
        <v>6755971</v>
      </c>
      <c r="C3886" s="3" t="str">
        <f>HYPERLINK("http://www.ncbi.nlm.nih.gov/protein/6755971","Lin7b")</f>
        <v>Lin7b</v>
      </c>
      <c r="E3886" t="str">
        <f>HYPERLINK("J:\Depot - mpkCCD Fractions\Main Web Page\Web Pages_old\proteomic_fractions_linear_files/Yang_linear_img/6755971.jpg","show blot")</f>
        <v>show blot</v>
      </c>
      <c r="G3886" t="s">
        <v>3742</v>
      </c>
      <c r="I3886" s="6">
        <v>4.3461412892537101</v>
      </c>
      <c r="K3886" s="8"/>
    </row>
    <row r="3887" spans="1:11" ht="15" x14ac:dyDescent="0.25">
      <c r="A3887" s="3" t="str">
        <f>HYPERLINK("proteomic_fractions_linear_files/Yang_linear_img/6755973.jpg", "6755973")</f>
        <v>6755973</v>
      </c>
      <c r="C3887" s="3" t="str">
        <f>HYPERLINK("http://www.ncbi.nlm.nih.gov/protein/6755973","Lin7c")</f>
        <v>Lin7c</v>
      </c>
      <c r="E3887" t="str">
        <f>HYPERLINK("J:\Depot - mpkCCD Fractions\Main Web Page\Web Pages_old\proteomic_fractions_linear_files/Yang_linear_img/6755973.jpg","show blot")</f>
        <v>show blot</v>
      </c>
      <c r="G3887" t="s">
        <v>3743</v>
      </c>
      <c r="I3887" s="6">
        <v>5.491904509565205</v>
      </c>
      <c r="K3887" s="8"/>
    </row>
    <row r="3888" spans="1:11" ht="15" x14ac:dyDescent="0.25">
      <c r="A3888" s="3" t="str">
        <f>HYPERLINK("proteomic_fractions_linear_files/Yang_linear_img/161760651.jpg", "161760651")</f>
        <v>161760651</v>
      </c>
      <c r="C3888" s="3" t="str">
        <f>HYPERLINK("http://www.ncbi.nlm.nih.gov/protein/161760651","Lipa")</f>
        <v>Lipa</v>
      </c>
      <c r="E3888" t="str">
        <f>HYPERLINK("J:\Depot - mpkCCD Fractions\Main Web Page\Web Pages_old\proteomic_fractions_linear_files/Yang_linear_img/161760651.jpg","show blot")</f>
        <v>show blot</v>
      </c>
      <c r="G3888" t="s">
        <v>3744</v>
      </c>
      <c r="I3888" s="6">
        <v>3.8658379315372615</v>
      </c>
      <c r="K3888" s="8"/>
    </row>
    <row r="3889" spans="1:11" ht="15" x14ac:dyDescent="0.25">
      <c r="A3889" s="3" t="str">
        <f>HYPERLINK("proteomic_fractions_linear_files/Yang_linear_img/87239970.jpg", "87239970")</f>
        <v>87239970</v>
      </c>
      <c r="C3889" s="3" t="str">
        <f>HYPERLINK("http://www.ncbi.nlm.nih.gov/protein/87239970","Lipe")</f>
        <v>Lipe</v>
      </c>
      <c r="E3889" t="str">
        <f>HYPERLINK("J:\Depot - mpkCCD Fractions\Main Web Page\Web Pages_old\proteomic_fractions_linear_files/Yang_linear_img/87239970.jpg","show blot")</f>
        <v>show blot</v>
      </c>
      <c r="G3889" t="s">
        <v>3745</v>
      </c>
      <c r="I3889" s="6">
        <v>3.7598618924757807</v>
      </c>
      <c r="K3889" s="8"/>
    </row>
    <row r="3890" spans="1:11" ht="15" x14ac:dyDescent="0.25">
      <c r="A3890" s="3" t="str">
        <f>HYPERLINK("proteomic_fractions_linear_files/Yang_linear_img/87239972.jpg", "87239972")</f>
        <v>87239972</v>
      </c>
      <c r="C3890" s="3" t="str">
        <f>HYPERLINK("http://www.ncbi.nlm.nih.gov/protein/87239972","Lipe")</f>
        <v>Lipe</v>
      </c>
      <c r="E3890" t="str">
        <f>HYPERLINK("J:\Depot - mpkCCD Fractions\Main Web Page\Web Pages_old\proteomic_fractions_linear_files/Yang_linear_img/87239972.jpg","show blot")</f>
        <v>show blot</v>
      </c>
      <c r="G3890" t="s">
        <v>3746</v>
      </c>
      <c r="I3890" s="6">
        <v>3.7598618924757807</v>
      </c>
      <c r="K3890" s="8"/>
    </row>
    <row r="3891" spans="1:11" ht="15" x14ac:dyDescent="0.25">
      <c r="A3891" s="3" t="str">
        <f>HYPERLINK("proteomic_fractions_linear_files/Yang_linear_img/226874865.jpg", "226874865")</f>
        <v>226874865</v>
      </c>
      <c r="C3891" s="3" t="str">
        <f>HYPERLINK("http://www.ncbi.nlm.nih.gov/protein/226874865","Llgl1")</f>
        <v>Llgl1</v>
      </c>
      <c r="E3891" t="str">
        <f>HYPERLINK("J:\Depot - mpkCCD Fractions\Main Web Page\Web Pages_old\proteomic_fractions_linear_files/Yang_linear_img/226874865.jpg","show blot")</f>
        <v>show blot</v>
      </c>
      <c r="G3891" t="s">
        <v>3747</v>
      </c>
      <c r="I3891" s="6">
        <v>4.0300753677813006</v>
      </c>
      <c r="K3891" s="8"/>
    </row>
    <row r="3892" spans="1:11" ht="15" x14ac:dyDescent="0.25">
      <c r="A3892" s="3" t="str">
        <f>HYPERLINK("proteomic_fractions_linear_files/Yang_linear_img/226874867.jpg", "226874867")</f>
        <v>226874867</v>
      </c>
      <c r="C3892" s="3" t="str">
        <f>HYPERLINK("http://www.ncbi.nlm.nih.gov/protein/226874867","Llgl1")</f>
        <v>Llgl1</v>
      </c>
      <c r="E3892" t="str">
        <f>HYPERLINK("J:\Depot - mpkCCD Fractions\Main Web Page\Web Pages_old\proteomic_fractions_linear_files/Yang_linear_img/226874867.jpg","show blot")</f>
        <v>show blot</v>
      </c>
      <c r="G3892" t="s">
        <v>3748</v>
      </c>
      <c r="I3892" s="6">
        <v>4.0300753677813006</v>
      </c>
      <c r="K3892" s="8"/>
    </row>
    <row r="3893" spans="1:11" ht="15" x14ac:dyDescent="0.25">
      <c r="A3893" s="3" t="str">
        <f>HYPERLINK("proteomic_fractions_linear_files/Yang_linear_img/6678696.jpg", "6678696")</f>
        <v>6678696</v>
      </c>
      <c r="C3893" s="3" t="str">
        <f>HYPERLINK("http://www.ncbi.nlm.nih.gov/protein/6678696","Llgl1")</f>
        <v>Llgl1</v>
      </c>
      <c r="E3893" t="str">
        <f>HYPERLINK("J:\Depot - mpkCCD Fractions\Main Web Page\Web Pages_old\proteomic_fractions_linear_files/Yang_linear_img/6678696.jpg","show blot")</f>
        <v>show blot</v>
      </c>
      <c r="G3893" t="s">
        <v>3749</v>
      </c>
      <c r="I3893" s="6">
        <v>4.0300753677813006</v>
      </c>
      <c r="K3893" s="8"/>
    </row>
    <row r="3894" spans="1:11" ht="15" x14ac:dyDescent="0.25">
      <c r="A3894" s="3" t="str">
        <f>HYPERLINK("proteomic_fractions_linear_files/Yang_linear_img/144922656.jpg", "144922656")</f>
        <v>144922656</v>
      </c>
      <c r="C3894" s="3" t="str">
        <f>HYPERLINK("http://www.ncbi.nlm.nih.gov/protein/144922656","Llgl2")</f>
        <v>Llgl2</v>
      </c>
      <c r="E3894" t="str">
        <f>HYPERLINK("J:\Depot - mpkCCD Fractions\Main Web Page\Web Pages_old\proteomic_fractions_linear_files/Yang_linear_img/144922656.jpg","show blot")</f>
        <v>show blot</v>
      </c>
      <c r="G3894" t="s">
        <v>3750</v>
      </c>
      <c r="I3894" s="6">
        <v>5.1614708124806841</v>
      </c>
      <c r="K3894" s="8"/>
    </row>
    <row r="3895" spans="1:11" ht="15" x14ac:dyDescent="0.25">
      <c r="A3895" s="3" t="str">
        <f>HYPERLINK("proteomic_fractions_linear_files/Yang_linear_img/357527422.jpg", "357527422")</f>
        <v>357527422</v>
      </c>
      <c r="C3895" s="3" t="str">
        <f>HYPERLINK("http://www.ncbi.nlm.nih.gov/protein/357527422","Llgl2")</f>
        <v>Llgl2</v>
      </c>
      <c r="E3895" t="str">
        <f>HYPERLINK("J:\Depot - mpkCCD Fractions\Main Web Page\Web Pages_old\proteomic_fractions_linear_files/Yang_linear_img/357527422.jpg","show blot")</f>
        <v>show blot</v>
      </c>
      <c r="G3895" t="s">
        <v>3751</v>
      </c>
      <c r="I3895" s="6">
        <v>5.1614708124806841</v>
      </c>
      <c r="K3895" s="8"/>
    </row>
    <row r="3896" spans="1:11" ht="15" x14ac:dyDescent="0.25">
      <c r="A3896" s="3" t="str">
        <f>HYPERLINK("proteomic_fractions_linear_files/Yang_linear_img/21313566.jpg", "21313566")</f>
        <v>21313566</v>
      </c>
      <c r="C3896" s="3" t="str">
        <f>HYPERLINK("http://www.ncbi.nlm.nih.gov/protein/21313566","Llph")</f>
        <v>Llph</v>
      </c>
      <c r="E3896" t="str">
        <f>HYPERLINK("J:\Depot - mpkCCD Fractions\Main Web Page\Web Pages_old\proteomic_fractions_linear_files/Yang_linear_img/21313566.jpg","show blot")</f>
        <v>show blot</v>
      </c>
      <c r="G3896" t="s">
        <v>3752</v>
      </c>
      <c r="I3896" s="6">
        <v>4.2882305866769679</v>
      </c>
      <c r="K3896" s="8"/>
    </row>
    <row r="3897" spans="1:11" ht="15" x14ac:dyDescent="0.25">
      <c r="A3897" s="3" t="str">
        <f>HYPERLINK("proteomic_fractions_linear_files/Yang_linear_img/149270995.jpg", "149270995")</f>
        <v>149270995</v>
      </c>
      <c r="C3897" s="3" t="str">
        <f>HYPERLINK("http://www.ncbi.nlm.nih.gov/protein/149270995","Llph-ps2")</f>
        <v>Llph-ps2</v>
      </c>
      <c r="E3897" t="str">
        <f>HYPERLINK("J:\Depot - mpkCCD Fractions\Main Web Page\Web Pages_old\proteomic_fractions_linear_files/Yang_linear_img/149270995.jpg","show blot")</f>
        <v>show blot</v>
      </c>
      <c r="G3897" t="s">
        <v>2751</v>
      </c>
      <c r="I3897" s="6">
        <v>4.2882305866769679</v>
      </c>
      <c r="K3897" s="8"/>
    </row>
    <row r="3898" spans="1:11" ht="15" x14ac:dyDescent="0.25">
      <c r="A3898" s="3" t="str">
        <f>HYPERLINK("proteomic_fractions_linear_files/Yang_linear_img/21312570.jpg", "21312570")</f>
        <v>21312570</v>
      </c>
      <c r="C3898" s="3" t="str">
        <f>HYPERLINK("http://www.ncbi.nlm.nih.gov/protein/21312570","Lman1")</f>
        <v>Lman1</v>
      </c>
      <c r="E3898" t="str">
        <f>HYPERLINK("J:\Depot - mpkCCD Fractions\Main Web Page\Web Pages_old\proteomic_fractions_linear_files/Yang_linear_img/21312570.jpg","show blot")</f>
        <v>show blot</v>
      </c>
      <c r="G3898" t="s">
        <v>3753</v>
      </c>
      <c r="I3898" s="6">
        <v>4.6802108589652329</v>
      </c>
      <c r="K3898" s="8"/>
    </row>
    <row r="3899" spans="1:11" ht="15" x14ac:dyDescent="0.25">
      <c r="A3899" s="3" t="str">
        <f>HYPERLINK("proteomic_fractions_linear_files/Yang_linear_img/34328278.jpg", "34328278")</f>
        <v>34328278</v>
      </c>
      <c r="C3899" s="3" t="str">
        <f>HYPERLINK("http://www.ncbi.nlm.nih.gov/protein/34328278","Lman2")</f>
        <v>Lman2</v>
      </c>
      <c r="E3899" t="str">
        <f>HYPERLINK("J:\Depot - mpkCCD Fractions\Main Web Page\Web Pages_old\proteomic_fractions_linear_files/Yang_linear_img/34328278.jpg","show blot")</f>
        <v>show blot</v>
      </c>
      <c r="G3899" t="s">
        <v>3754</v>
      </c>
      <c r="I3899" s="6">
        <v>5.5197188944600706</v>
      </c>
      <c r="K3899" s="8"/>
    </row>
    <row r="3900" spans="1:11" ht="15" x14ac:dyDescent="0.25">
      <c r="A3900" s="3" t="str">
        <f>HYPERLINK("proteomic_fractions_linear_files/Yang_linear_img/61656186.jpg", "61656186")</f>
        <v>61656186</v>
      </c>
      <c r="C3900" s="3" t="str">
        <f>HYPERLINK("http://www.ncbi.nlm.nih.gov/protein/61656186","Lman2l")</f>
        <v>Lman2l</v>
      </c>
      <c r="E3900" t="str">
        <f>HYPERLINK("J:\Depot - mpkCCD Fractions\Main Web Page\Web Pages_old\proteomic_fractions_linear_files/Yang_linear_img/61656186.jpg","show blot")</f>
        <v>show blot</v>
      </c>
      <c r="G3900" t="s">
        <v>3755</v>
      </c>
      <c r="I3900" s="6">
        <v>4.0249858752016081</v>
      </c>
      <c r="K3900" s="8"/>
    </row>
    <row r="3901" spans="1:11" ht="15" x14ac:dyDescent="0.25">
      <c r="A3901" s="3" t="str">
        <f>HYPERLINK("proteomic_fractions_linear_files/Yang_linear_img/123701962.jpg", "123701962")</f>
        <v>123701962</v>
      </c>
      <c r="C3901" s="3" t="str">
        <f>HYPERLINK("http://www.ncbi.nlm.nih.gov/protein/123701962","Lmbrd1")</f>
        <v>Lmbrd1</v>
      </c>
      <c r="E3901" t="str">
        <f>HYPERLINK("J:\Depot - mpkCCD Fractions\Main Web Page\Web Pages_old\proteomic_fractions_linear_files/Yang_linear_img/123701962.jpg","show blot")</f>
        <v>show blot</v>
      </c>
      <c r="G3901" t="s">
        <v>3756</v>
      </c>
      <c r="I3901" s="6">
        <v>2.6034016046557809</v>
      </c>
      <c r="K3901" s="8"/>
    </row>
    <row r="3902" spans="1:11" ht="15" x14ac:dyDescent="0.25">
      <c r="A3902" s="3" t="str">
        <f>HYPERLINK("proteomic_fractions_linear_files/Yang_linear_img/254939582.jpg", "254939582")</f>
        <v>254939582</v>
      </c>
      <c r="C3902" s="3" t="str">
        <f>HYPERLINK("http://www.ncbi.nlm.nih.gov/protein/254939582","Lmf1")</f>
        <v>Lmf1</v>
      </c>
      <c r="E3902" t="str">
        <f>HYPERLINK("J:\Depot - mpkCCD Fractions\Main Web Page\Web Pages_old\proteomic_fractions_linear_files/Yang_linear_img/254939582.jpg","show blot")</f>
        <v>show blot</v>
      </c>
      <c r="G3902" t="s">
        <v>3757</v>
      </c>
      <c r="I3902" s="6">
        <v>5.6361996803265422</v>
      </c>
      <c r="K3902" s="8"/>
    </row>
    <row r="3903" spans="1:11" ht="15" x14ac:dyDescent="0.25">
      <c r="A3903" s="3" t="str">
        <f>HYPERLINK("proteomic_fractions_linear_files/Yang_linear_img/30725786.jpg", "30725786")</f>
        <v>30725786</v>
      </c>
      <c r="C3903" s="3" t="str">
        <f>HYPERLINK("http://www.ncbi.nlm.nih.gov/protein/30725786","Lmf2")</f>
        <v>Lmf2</v>
      </c>
      <c r="E3903" t="str">
        <f>HYPERLINK("J:\Depot - mpkCCD Fractions\Main Web Page\Web Pages_old\proteomic_fractions_linear_files/Yang_linear_img/30725786.jpg","show blot")</f>
        <v>show blot</v>
      </c>
      <c r="G3903" t="s">
        <v>3758</v>
      </c>
      <c r="I3903" s="6">
        <v>4.0216933175928125</v>
      </c>
      <c r="K3903" s="8"/>
    </row>
    <row r="3904" spans="1:11" ht="15" x14ac:dyDescent="0.25">
      <c r="A3904" s="3" t="str">
        <f>HYPERLINK("proteomic_fractions_linear_files/Yang_linear_img/9506843.jpg", "9506843")</f>
        <v>9506843</v>
      </c>
      <c r="C3904" s="3" t="str">
        <f>HYPERLINK("http://www.ncbi.nlm.nih.gov/protein/9506843","Lmna")</f>
        <v>Lmna</v>
      </c>
      <c r="E3904" t="str">
        <f>HYPERLINK("J:\Depot - mpkCCD Fractions\Main Web Page\Web Pages_old\proteomic_fractions_linear_files/Yang_linear_img/9506843.jpg","show blot")</f>
        <v>show blot</v>
      </c>
      <c r="G3904" t="s">
        <v>3759</v>
      </c>
      <c r="I3904" s="6">
        <v>6.9399800974681174</v>
      </c>
      <c r="K3904" s="8"/>
    </row>
    <row r="3905" spans="1:11" ht="15" x14ac:dyDescent="0.25">
      <c r="A3905" s="3" t="str">
        <f>HYPERLINK("proteomic_fractions_linear_files/Yang_linear_img/161760667.jpg", "161760667")</f>
        <v>161760667</v>
      </c>
      <c r="C3905" s="3" t="str">
        <f>HYPERLINK("http://www.ncbi.nlm.nih.gov/protein/161760667","Lmna")</f>
        <v>Lmna</v>
      </c>
      <c r="E3905" t="str">
        <f>HYPERLINK("J:\Depot - mpkCCD Fractions\Main Web Page\Web Pages_old\proteomic_fractions_linear_files/Yang_linear_img/161760667.jpg","show blot")</f>
        <v>show blot</v>
      </c>
      <c r="G3905" t="s">
        <v>3760</v>
      </c>
      <c r="I3905" s="6">
        <v>6.9399800974681174</v>
      </c>
      <c r="K3905" s="8"/>
    </row>
    <row r="3906" spans="1:11" ht="15" x14ac:dyDescent="0.25">
      <c r="A3906" s="3" t="str">
        <f>HYPERLINK("proteomic_fractions_linear_files/Yang_linear_img/162287370.jpg", "162287370")</f>
        <v>162287370</v>
      </c>
      <c r="C3906" s="3" t="str">
        <f>HYPERLINK("http://www.ncbi.nlm.nih.gov/protein/162287370","Lmna")</f>
        <v>Lmna</v>
      </c>
      <c r="E3906" t="str">
        <f>HYPERLINK("J:\Depot - mpkCCD Fractions\Main Web Page\Web Pages_old\proteomic_fractions_linear_files/Yang_linear_img/162287370.jpg","show blot")</f>
        <v>show blot</v>
      </c>
      <c r="G3906" t="s">
        <v>3761</v>
      </c>
      <c r="I3906" s="6">
        <v>6.9399800974681174</v>
      </c>
      <c r="K3906" s="8"/>
    </row>
    <row r="3907" spans="1:11" ht="15" x14ac:dyDescent="0.25">
      <c r="A3907" s="3" t="str">
        <f>HYPERLINK("proteomic_fractions_linear_files/Yang_linear_img/188219589.jpg", "188219589")</f>
        <v>188219589</v>
      </c>
      <c r="C3907" s="3" t="str">
        <f>HYPERLINK("http://www.ncbi.nlm.nih.gov/protein/188219589","Lmnb1")</f>
        <v>Lmnb1</v>
      </c>
      <c r="E3907" t="str">
        <f>HYPERLINK("J:\Depot - mpkCCD Fractions\Main Web Page\Web Pages_old\proteomic_fractions_linear_files/Yang_linear_img/188219589.jpg","show blot")</f>
        <v>show blot</v>
      </c>
      <c r="G3907" t="s">
        <v>3762</v>
      </c>
      <c r="I3907" s="6">
        <v>6.3072300173428806</v>
      </c>
      <c r="K3907" s="8"/>
    </row>
    <row r="3908" spans="1:11" ht="15" x14ac:dyDescent="0.25">
      <c r="A3908" s="3" t="str">
        <f>HYPERLINK("proteomic_fractions_linear_files/Yang_linear_img/113195686.jpg", "113195686")</f>
        <v>113195686</v>
      </c>
      <c r="C3908" s="3" t="str">
        <f>HYPERLINK("http://www.ncbi.nlm.nih.gov/protein/113195686","Lmnb2")</f>
        <v>Lmnb2</v>
      </c>
      <c r="E3908" t="str">
        <f>HYPERLINK("J:\Depot - mpkCCD Fractions\Main Web Page\Web Pages_old\proteomic_fractions_linear_files/Yang_linear_img/113195686.jpg","show blot")</f>
        <v>show blot</v>
      </c>
      <c r="G3908" t="s">
        <v>3763</v>
      </c>
      <c r="I3908" s="6">
        <v>5.8574986971421801</v>
      </c>
      <c r="K3908" s="8"/>
    </row>
    <row r="3909" spans="1:11" ht="15" x14ac:dyDescent="0.25">
      <c r="A3909" s="3" t="str">
        <f>HYPERLINK("proteomic_fractions_linear_files/Yang_linear_img/157311641.jpg", "157311641")</f>
        <v>157311641</v>
      </c>
      <c r="C3909" s="3" t="str">
        <f>HYPERLINK("http://www.ncbi.nlm.nih.gov/protein/157311641","Lmo7")</f>
        <v>Lmo7</v>
      </c>
      <c r="E3909" t="str">
        <f>HYPERLINK("J:\Depot - mpkCCD Fractions\Main Web Page\Web Pages_old\proteomic_fractions_linear_files/Yang_linear_img/157311641.jpg","show blot")</f>
        <v>show blot</v>
      </c>
      <c r="G3909" t="s">
        <v>3764</v>
      </c>
      <c r="I3909" s="6">
        <v>3.4147320303531079</v>
      </c>
      <c r="K3909" s="8"/>
    </row>
    <row r="3910" spans="1:11" ht="15" x14ac:dyDescent="0.25">
      <c r="A3910" s="3" t="str">
        <f>HYPERLINK("proteomic_fractions_linear_files/Yang_linear_img/124487401.jpg", "124487401")</f>
        <v>124487401</v>
      </c>
      <c r="C3910" s="3" t="str">
        <f>HYPERLINK("http://www.ncbi.nlm.nih.gov/protein/124487401","Lmtk2")</f>
        <v>Lmtk2</v>
      </c>
      <c r="E3910" t="str">
        <f>HYPERLINK("J:\Depot - mpkCCD Fractions\Main Web Page\Web Pages_old\proteomic_fractions_linear_files/Yang_linear_img/124487401.jpg","show blot")</f>
        <v>show blot</v>
      </c>
      <c r="G3910" t="s">
        <v>3765</v>
      </c>
      <c r="I3910" s="6">
        <v>2.6601206503510268</v>
      </c>
      <c r="K3910" s="8"/>
    </row>
    <row r="3911" spans="1:11" ht="15" x14ac:dyDescent="0.25">
      <c r="A3911" s="3" t="str">
        <f>HYPERLINK("proteomic_fractions_linear_files/Yang_linear_img/27370240.jpg", "27370240")</f>
        <v>27370240</v>
      </c>
      <c r="C3911" s="3" t="str">
        <f>HYPERLINK("http://www.ncbi.nlm.nih.gov/protein/27370240","Lnpep")</f>
        <v>Lnpep</v>
      </c>
      <c r="E3911" t="str">
        <f>HYPERLINK("J:\Depot - mpkCCD Fractions\Main Web Page\Web Pages_old\proteomic_fractions_linear_files/Yang_linear_img/27370240.jpg","show blot")</f>
        <v>show blot</v>
      </c>
      <c r="G3911" t="s">
        <v>3766</v>
      </c>
      <c r="I3911" s="6">
        <v>5.0830161261402518</v>
      </c>
      <c r="K3911" s="8"/>
    </row>
    <row r="3912" spans="1:11" ht="15" x14ac:dyDescent="0.25">
      <c r="A3912" s="3" t="str">
        <f>HYPERLINK("proteomic_fractions_linear_files/Yang_linear_img/407260881.jpg", "407260881")</f>
        <v>407260881</v>
      </c>
      <c r="C3912" s="3" t="str">
        <f>HYPERLINK("http://www.ncbi.nlm.nih.gov/protein/407260881","LOC100044322")</f>
        <v>LOC100044322</v>
      </c>
      <c r="E3912" t="str">
        <f>HYPERLINK("J:\Depot - mpkCCD Fractions\Main Web Page\Web Pages_old\proteomic_fractions_linear_files/Yang_linear_img/407260881.jpg","show blot")</f>
        <v>show blot</v>
      </c>
      <c r="G3912" t="s">
        <v>3767</v>
      </c>
      <c r="I3912" s="6">
        <v>5.3156511029977063</v>
      </c>
      <c r="K3912" s="8"/>
    </row>
    <row r="3913" spans="1:11" ht="15" x14ac:dyDescent="0.25">
      <c r="A3913" s="3" t="str">
        <f>HYPERLINK("proteomic_fractions_linear_files/Yang_linear_img/149257848.jpg", "149257848")</f>
        <v>149257848</v>
      </c>
      <c r="C3913" s="3" t="str">
        <f>HYPERLINK("http://www.ncbi.nlm.nih.gov/protein/149257848","LOC100044391")</f>
        <v>LOC100044391</v>
      </c>
      <c r="E3913" t="str">
        <f>HYPERLINK("J:\Depot - mpkCCD Fractions\Main Web Page\Web Pages_old\proteomic_fractions_linear_files/Yang_linear_img/149257848.jpg","show blot")</f>
        <v>show blot</v>
      </c>
      <c r="G3913" t="s">
        <v>3768</v>
      </c>
      <c r="I3913" s="6">
        <v>5.0194096679939628</v>
      </c>
      <c r="K3913" s="8"/>
    </row>
    <row r="3914" spans="1:11" ht="15" x14ac:dyDescent="0.25">
      <c r="A3914" s="3" t="str">
        <f>HYPERLINK("proteomic_fractions_linear_files/Yang_linear_img/377837128.jpg", "377837128")</f>
        <v>377837128</v>
      </c>
      <c r="C3914" s="3" t="str">
        <f>HYPERLINK("http://www.ncbi.nlm.nih.gov/protein/377837128","LOC100044627")</f>
        <v>LOC100044627</v>
      </c>
      <c r="E3914" t="str">
        <f>HYPERLINK("J:\Depot - mpkCCD Fractions\Main Web Page\Web Pages_old\proteomic_fractions_linear_files/Yang_linear_img/377837128.jpg","show blot")</f>
        <v>show blot</v>
      </c>
      <c r="G3914" t="s">
        <v>2755</v>
      </c>
      <c r="I3914" s="6">
        <v>6.5666952313389038</v>
      </c>
      <c r="K3914" s="8"/>
    </row>
    <row r="3915" spans="1:11" ht="15" x14ac:dyDescent="0.25">
      <c r="A3915" s="3" t="str">
        <f>HYPERLINK("proteomic_fractions_linear_files/Yang_linear_img/149255928.jpg", "149255928")</f>
        <v>149255928</v>
      </c>
      <c r="C3915" s="3" t="str">
        <f>HYPERLINK("http://www.ncbi.nlm.nih.gov/protein/149255928","LOC100044742")</f>
        <v>LOC100044742</v>
      </c>
      <c r="E3915" t="str">
        <f>HYPERLINK("J:\Depot - mpkCCD Fractions\Main Web Page\Web Pages_old\proteomic_fractions_linear_files/Yang_linear_img/149255928.jpg","show blot")</f>
        <v>show blot</v>
      </c>
      <c r="G3915" t="s">
        <v>3769</v>
      </c>
      <c r="I3915" s="6">
        <v>4.9235633097358997</v>
      </c>
      <c r="K3915" s="8"/>
    </row>
    <row r="3916" spans="1:11" ht="15" x14ac:dyDescent="0.25">
      <c r="A3916" s="3" t="str">
        <f>HYPERLINK("proteomic_fractions_linear_files/Yang_linear_img/309263678.jpg", "309263678")</f>
        <v>309263678</v>
      </c>
      <c r="C3916" s="3" t="str">
        <f>HYPERLINK("http://www.ncbi.nlm.nih.gov/protein/309263678","LOC100044811")</f>
        <v>LOC100044811</v>
      </c>
      <c r="E3916" t="str">
        <f>HYPERLINK("J:\Depot - mpkCCD Fractions\Main Web Page\Web Pages_old\proteomic_fractions_linear_files/Yang_linear_img/309263678.jpg","show blot")</f>
        <v>show blot</v>
      </c>
      <c r="G3916" t="s">
        <v>3770</v>
      </c>
      <c r="I3916" s="6">
        <v>3.9203105292643601</v>
      </c>
      <c r="K3916" s="8"/>
    </row>
    <row r="3917" spans="1:11" ht="15" x14ac:dyDescent="0.25">
      <c r="A3917" s="3" t="str">
        <f>HYPERLINK("proteomic_fractions_linear_files/Yang_linear_img/149251501.jpg", "149251501")</f>
        <v>149251501</v>
      </c>
      <c r="C3917" s="3" t="str">
        <f>HYPERLINK("http://www.ncbi.nlm.nih.gov/protein/149251501","LOC100044829")</f>
        <v>LOC100044829</v>
      </c>
      <c r="E3917" t="str">
        <f>HYPERLINK("J:\Depot - mpkCCD Fractions\Main Web Page\Web Pages_old\proteomic_fractions_linear_files/Yang_linear_img/149251501.jpg","show blot")</f>
        <v>show blot</v>
      </c>
      <c r="G3917" t="s">
        <v>3771</v>
      </c>
      <c r="I3917" s="6">
        <v>6.0769382248876793</v>
      </c>
      <c r="K3917" s="8"/>
    </row>
    <row r="3918" spans="1:11" ht="15" x14ac:dyDescent="0.25">
      <c r="A3918" s="3" t="str">
        <f>HYPERLINK("proteomic_fractions_linear_files/Yang_linear_img/407262350.jpg", "407262350")</f>
        <v>407262350</v>
      </c>
      <c r="C3918" s="3" t="str">
        <f>HYPERLINK("http://www.ncbi.nlm.nih.gov/protein/407262350","LOC100044900")</f>
        <v>LOC100044900</v>
      </c>
      <c r="E3918" t="str">
        <f>HYPERLINK("J:\Depot - mpkCCD Fractions\Main Web Page\Web Pages_old\proteomic_fractions_linear_files/Yang_linear_img/407262350.jpg","show blot")</f>
        <v>show blot</v>
      </c>
      <c r="G3918" t="s">
        <v>3772</v>
      </c>
      <c r="I3918" s="6">
        <v>4.4480859469832188</v>
      </c>
      <c r="K3918" s="8"/>
    </row>
    <row r="3919" spans="1:11" ht="15" x14ac:dyDescent="0.25">
      <c r="A3919" s="3" t="str">
        <f>HYPERLINK("proteomic_fractions_linear_files/Yang_linear_img/407262350;35493987.jpg", "407262350;35493987")</f>
        <v>407262350;35493987</v>
      </c>
      <c r="C3919" s="3" t="str">
        <f>HYPERLINK("http://www.ncbi.nlm.nih.gov/protein/407262350;35493987","LOC100044900")</f>
        <v>LOC100044900</v>
      </c>
      <c r="E3919" t="str">
        <f>HYPERLINK("J:\Depot - mpkCCD Fractions\Main Web Page\Web Pages_old\proteomic_fractions_linear_files/Yang_linear_img/407262350;35493987.jpg","show blot")</f>
        <v>show blot</v>
      </c>
      <c r="G3919" t="s">
        <v>3772</v>
      </c>
      <c r="I3919" s="6">
        <v>4.4480859469832188</v>
      </c>
      <c r="K3919" s="8"/>
    </row>
    <row r="3920" spans="1:11" ht="15" x14ac:dyDescent="0.25">
      <c r="A3920" s="3" t="str">
        <f>HYPERLINK("proteomic_fractions_linear_files/Yang_linear_img/407262157.jpg", "407262157")</f>
        <v>407262157</v>
      </c>
      <c r="C3920" s="3" t="str">
        <f>HYPERLINK("http://www.ncbi.nlm.nih.gov/protein/407262157","LOC100045148")</f>
        <v>LOC100045148</v>
      </c>
      <c r="E3920" t="str">
        <f>HYPERLINK("J:\Depot - mpkCCD Fractions\Main Web Page\Web Pages_old\proteomic_fractions_linear_files/Yang_linear_img/407262157.jpg","show blot")</f>
        <v>show blot</v>
      </c>
      <c r="G3920" t="s">
        <v>3773</v>
      </c>
      <c r="I3920" s="6">
        <v>1.0720263151598881</v>
      </c>
      <c r="K3920" s="8"/>
    </row>
    <row r="3921" spans="1:11" ht="15" x14ac:dyDescent="0.25">
      <c r="A3921" s="3" t="str">
        <f>HYPERLINK("proteomic_fractions_linear_files/Yang_linear_img/309267107.jpg", "309267107")</f>
        <v>309267107</v>
      </c>
      <c r="C3921" s="3" t="str">
        <f>HYPERLINK("http://www.ncbi.nlm.nih.gov/protein/309267107","LOC100045191")</f>
        <v>LOC100045191</v>
      </c>
      <c r="E3921" t="str">
        <f>HYPERLINK("J:\Depot - mpkCCD Fractions\Main Web Page\Web Pages_old\proteomic_fractions_linear_files/Yang_linear_img/309267107.jpg","show blot")</f>
        <v>show blot</v>
      </c>
      <c r="G3921" t="s">
        <v>3774</v>
      </c>
      <c r="I3921" s="6">
        <v>7.1327697710483653</v>
      </c>
      <c r="K3921" s="8"/>
    </row>
    <row r="3922" spans="1:11" ht="15" x14ac:dyDescent="0.25">
      <c r="A3922" s="3" t="str">
        <f>HYPERLINK("proteomic_fractions_linear_files/Yang_linear_img/309267107;109134362.jpg", "309267107;109134362")</f>
        <v>309267107;109134362</v>
      </c>
      <c r="C3922" s="3" t="str">
        <f>HYPERLINK("http://www.ncbi.nlm.nih.gov/protein/309267107;109134362","LOC100045191")</f>
        <v>LOC100045191</v>
      </c>
      <c r="E3922" t="str">
        <f>HYPERLINK("J:\Depot - mpkCCD Fractions\Main Web Page\Web Pages_old\proteomic_fractions_linear_files/Yang_linear_img/309267107;109134362.jpg","show blot")</f>
        <v>show blot</v>
      </c>
      <c r="G3922" t="s">
        <v>3774</v>
      </c>
      <c r="I3922" s="6">
        <v>7.1327697710483653</v>
      </c>
      <c r="K3922" s="8"/>
    </row>
    <row r="3923" spans="1:11" ht="15" x14ac:dyDescent="0.25">
      <c r="A3923" s="3" t="str">
        <f>HYPERLINK("proteomic_fractions_linear_files/Yang_linear_img/309266688.jpg", "309266688")</f>
        <v>309266688</v>
      </c>
      <c r="C3923" s="3" t="str">
        <f>HYPERLINK("http://www.ncbi.nlm.nih.gov/protein/309266688","LOC100045367")</f>
        <v>LOC100045367</v>
      </c>
      <c r="E3923" t="str">
        <f>HYPERLINK("J:\Depot - mpkCCD Fractions\Main Web Page\Web Pages_old\proteomic_fractions_linear_files/Yang_linear_img/309266688.jpg","show blot")</f>
        <v>show blot</v>
      </c>
      <c r="G3923" t="s">
        <v>3775</v>
      </c>
      <c r="I3923" s="6">
        <v>6.4921015700826841</v>
      </c>
      <c r="K3923" s="8"/>
    </row>
    <row r="3924" spans="1:11" ht="15" x14ac:dyDescent="0.25">
      <c r="A3924" s="3" t="str">
        <f>HYPERLINK("proteomic_fractions_linear_files/Yang_linear_img/149274502.jpg", "149274502")</f>
        <v>149274502</v>
      </c>
      <c r="C3924" s="3" t="str">
        <f>HYPERLINK("http://www.ncbi.nlm.nih.gov/protein/149274502","LOC100045688")</f>
        <v>LOC100045688</v>
      </c>
      <c r="E3924" t="str">
        <f>HYPERLINK("J:\Depot - mpkCCD Fractions\Main Web Page\Web Pages_old\proteomic_fractions_linear_files/Yang_linear_img/149274502.jpg","show blot")</f>
        <v>show blot</v>
      </c>
      <c r="G3924" t="s">
        <v>2742</v>
      </c>
      <c r="I3924" s="6">
        <v>4.8944537682706244</v>
      </c>
      <c r="K3924" s="8"/>
    </row>
    <row r="3925" spans="1:11" ht="15" x14ac:dyDescent="0.25">
      <c r="A3925" s="3" t="str">
        <f>HYPERLINK("proteomic_fractions_linear_files/Yang_linear_img/149271901.jpg", "149271901")</f>
        <v>149271901</v>
      </c>
      <c r="C3925" s="3" t="str">
        <f>HYPERLINK("http://www.ncbi.nlm.nih.gov/protein/149271901","LOC100045848")</f>
        <v>LOC100045848</v>
      </c>
      <c r="E3925" t="str">
        <f>HYPERLINK("J:\Depot - mpkCCD Fractions\Main Web Page\Web Pages_old\proteomic_fractions_linear_files/Yang_linear_img/149271901.jpg","show blot")</f>
        <v>show blot</v>
      </c>
      <c r="G3925" t="s">
        <v>3776</v>
      </c>
      <c r="I3925" s="6">
        <v>5.3052359420347894</v>
      </c>
      <c r="K3925" s="8"/>
    </row>
    <row r="3926" spans="1:11" ht="15" x14ac:dyDescent="0.25">
      <c r="A3926" s="3" t="str">
        <f>HYPERLINK("proteomic_fractions_linear_files/Yang_linear_img/149251548.jpg", "149251548")</f>
        <v>149251548</v>
      </c>
      <c r="C3926" s="3" t="str">
        <f>HYPERLINK("http://www.ncbi.nlm.nih.gov/protein/149251548","LOC100045901")</f>
        <v>LOC100045901</v>
      </c>
      <c r="E3926" t="str">
        <f>HYPERLINK("J:\Depot - mpkCCD Fractions\Main Web Page\Web Pages_old\proteomic_fractions_linear_files/Yang_linear_img/149251548.jpg","show blot")</f>
        <v>show blot</v>
      </c>
      <c r="G3926" t="s">
        <v>2712</v>
      </c>
      <c r="I3926" s="6">
        <v>5.7772407420395089</v>
      </c>
      <c r="K3926" s="8"/>
    </row>
    <row r="3927" spans="1:11" ht="15" x14ac:dyDescent="0.25">
      <c r="A3927" s="3" t="str">
        <f>HYPERLINK("proteomic_fractions_linear_files/Yang_linear_img/149262068.jpg", "149262068")</f>
        <v>149262068</v>
      </c>
      <c r="C3927" s="3" t="str">
        <f>HYPERLINK("http://www.ncbi.nlm.nih.gov/protein/149262068","LOC100045924")</f>
        <v>LOC100045924</v>
      </c>
      <c r="E3927" t="str">
        <f>HYPERLINK("J:\Depot - mpkCCD Fractions\Main Web Page\Web Pages_old\proteomic_fractions_linear_files/Yang_linear_img/149262068.jpg","show blot")</f>
        <v>show blot</v>
      </c>
      <c r="G3927" t="s">
        <v>3777</v>
      </c>
      <c r="I3927" s="6">
        <v>4.3186648478961969</v>
      </c>
      <c r="K3927" s="8"/>
    </row>
    <row r="3928" spans="1:11" ht="15" x14ac:dyDescent="0.25">
      <c r="A3928" s="3" t="str">
        <f>HYPERLINK("proteomic_fractions_linear_files/Yang_linear_img/309267183.jpg", "309267183")</f>
        <v>309267183</v>
      </c>
      <c r="C3928" s="3" t="str">
        <f>HYPERLINK("http://www.ncbi.nlm.nih.gov/protein/309267183","LOC100045968")</f>
        <v>LOC100045968</v>
      </c>
      <c r="E3928" t="str">
        <f>HYPERLINK("J:\Depot - mpkCCD Fractions\Main Web Page\Web Pages_old\proteomic_fractions_linear_files/Yang_linear_img/309267183.jpg","show blot")</f>
        <v>show blot</v>
      </c>
      <c r="G3928" t="s">
        <v>3778</v>
      </c>
      <c r="I3928" s="6">
        <v>5.9335489009985984</v>
      </c>
      <c r="K3928" s="8"/>
    </row>
    <row r="3929" spans="1:11" ht="15" x14ac:dyDescent="0.25">
      <c r="A3929" s="3" t="str">
        <f>HYPERLINK("proteomic_fractions_linear_files/Yang_linear_img/149260287.jpg", "149260287")</f>
        <v>149260287</v>
      </c>
      <c r="C3929" s="3" t="str">
        <f>HYPERLINK("http://www.ncbi.nlm.nih.gov/protein/149260287","LOC100045999")</f>
        <v>LOC100045999</v>
      </c>
      <c r="E3929" t="str">
        <f>HYPERLINK("J:\Depot - mpkCCD Fractions\Main Web Page\Web Pages_old\proteomic_fractions_linear_files/Yang_linear_img/149260287.jpg","show blot")</f>
        <v>show blot</v>
      </c>
      <c r="G3929" t="s">
        <v>3779</v>
      </c>
      <c r="I3929" s="6">
        <v>7.1913918855954986</v>
      </c>
      <c r="K3929" s="8"/>
    </row>
    <row r="3930" spans="1:11" ht="15" x14ac:dyDescent="0.25">
      <c r="A3930" s="3" t="str">
        <f>HYPERLINK("proteomic_fractions_linear_files/Yang_linear_img/407262677.jpg", "407262677")</f>
        <v>407262677</v>
      </c>
      <c r="C3930" s="3" t="str">
        <f>HYPERLINK("http://www.ncbi.nlm.nih.gov/protein/407262677","LOC100046048")</f>
        <v>LOC100046048</v>
      </c>
      <c r="E3930" t="str">
        <f>HYPERLINK("J:\Depot - mpkCCD Fractions\Main Web Page\Web Pages_old\proteomic_fractions_linear_files/Yang_linear_img/407262677.jpg","show blot")</f>
        <v>show blot</v>
      </c>
      <c r="G3930" t="s">
        <v>3780</v>
      </c>
      <c r="I3930" s="6">
        <v>2.674710943022617</v>
      </c>
      <c r="K3930" s="8"/>
    </row>
    <row r="3931" spans="1:11" ht="15" x14ac:dyDescent="0.25">
      <c r="A3931" s="3" t="str">
        <f>HYPERLINK("proteomic_fractions_linear_files/Yang_linear_img/149263037.jpg", "149263037")</f>
        <v>149263037</v>
      </c>
      <c r="C3931" s="3" t="str">
        <f>HYPERLINK("http://www.ncbi.nlm.nih.gov/protein/149263037","LOC100046079")</f>
        <v>LOC100046079</v>
      </c>
      <c r="E3931" t="str">
        <f>HYPERLINK("J:\Depot - mpkCCD Fractions\Main Web Page\Web Pages_old\proteomic_fractions_linear_files/Yang_linear_img/149263037.jpg","show blot")</f>
        <v>show blot</v>
      </c>
      <c r="G3931" t="s">
        <v>3781</v>
      </c>
      <c r="I3931" s="6">
        <v>5.9947556653357665</v>
      </c>
      <c r="K3931" s="8"/>
    </row>
    <row r="3932" spans="1:11" ht="15" x14ac:dyDescent="0.25">
      <c r="A3932" s="3" t="str">
        <f>HYPERLINK("proteomic_fractions_linear_files/Yang_linear_img/149258501.jpg", "149258501")</f>
        <v>149258501</v>
      </c>
      <c r="C3932" s="3" t="str">
        <f>HYPERLINK("http://www.ncbi.nlm.nih.gov/protein/149258501","LOC100046151")</f>
        <v>LOC100046151</v>
      </c>
      <c r="E3932" t="str">
        <f>HYPERLINK("J:\Depot - mpkCCD Fractions\Main Web Page\Web Pages_old\proteomic_fractions_linear_files/Yang_linear_img/149258501.jpg","show blot")</f>
        <v>show blot</v>
      </c>
      <c r="G3932" t="s">
        <v>3782</v>
      </c>
      <c r="I3932" s="6">
        <v>7.4651904924707608</v>
      </c>
      <c r="K3932" s="8"/>
    </row>
    <row r="3933" spans="1:11" ht="15" x14ac:dyDescent="0.25">
      <c r="A3933" s="3" t="str">
        <f>HYPERLINK("proteomic_fractions_linear_files/Yang_linear_img/407261592.jpg", "407261592")</f>
        <v>407261592</v>
      </c>
      <c r="C3933" s="3" t="str">
        <f>HYPERLINK("http://www.ncbi.nlm.nih.gov/protein/407261592","LOC100046151")</f>
        <v>LOC100046151</v>
      </c>
      <c r="E3933" t="str">
        <f>HYPERLINK("J:\Depot - mpkCCD Fractions\Main Web Page\Web Pages_old\proteomic_fractions_linear_files/Yang_linear_img/407261592.jpg","show blot")</f>
        <v>show blot</v>
      </c>
      <c r="G3933" t="s">
        <v>3783</v>
      </c>
      <c r="I3933" s="6">
        <v>7.4651904924707608</v>
      </c>
      <c r="K3933" s="8"/>
    </row>
    <row r="3934" spans="1:11" ht="15" x14ac:dyDescent="0.25">
      <c r="A3934" s="3" t="str">
        <f>HYPERLINK("proteomic_fractions_linear_files/Yang_linear_img/407261594.jpg", "407261594")</f>
        <v>407261594</v>
      </c>
      <c r="C3934" s="3" t="str">
        <f>HYPERLINK("http://www.ncbi.nlm.nih.gov/protein/407261594","LOC100046151")</f>
        <v>LOC100046151</v>
      </c>
      <c r="E3934" t="str">
        <f>HYPERLINK("J:\Depot - mpkCCD Fractions\Main Web Page\Web Pages_old\proteomic_fractions_linear_files/Yang_linear_img/407261594.jpg","show blot")</f>
        <v>show blot</v>
      </c>
      <c r="G3934" t="s">
        <v>3784</v>
      </c>
      <c r="I3934" s="6">
        <v>7.4651904924707608</v>
      </c>
      <c r="K3934" s="8"/>
    </row>
    <row r="3935" spans="1:11" ht="15" x14ac:dyDescent="0.25">
      <c r="A3935" s="3" t="str">
        <f>HYPERLINK("proteomic_fractions_linear_files/Yang_linear_img/149254294.jpg", "149254294")</f>
        <v>149254294</v>
      </c>
      <c r="C3935" s="3" t="str">
        <f>HYPERLINK("http://www.ncbi.nlm.nih.gov/protein/149254294","LOC100046223")</f>
        <v>LOC100046223</v>
      </c>
      <c r="E3935" t="str">
        <f>HYPERLINK("J:\Depot - mpkCCD Fractions\Main Web Page\Web Pages_old\proteomic_fractions_linear_files/Yang_linear_img/149254294.jpg","show blot")</f>
        <v>show blot</v>
      </c>
      <c r="G3935" t="s">
        <v>2862</v>
      </c>
      <c r="I3935" s="6">
        <v>5.9075149391853303</v>
      </c>
      <c r="K3935" s="8"/>
    </row>
    <row r="3936" spans="1:11" ht="15" x14ac:dyDescent="0.25">
      <c r="A3936" s="3" t="str">
        <f>HYPERLINK("proteomic_fractions_linear_files/Yang_linear_img/407261929.jpg", "407261929")</f>
        <v>407261929</v>
      </c>
      <c r="C3936" s="3" t="str">
        <f>HYPERLINK("http://www.ncbi.nlm.nih.gov/protein/407261929","LOC100046289")</f>
        <v>LOC100046289</v>
      </c>
      <c r="E3936" t="str">
        <f>HYPERLINK("J:\Depot - mpkCCD Fractions\Main Web Page\Web Pages_old\proteomic_fractions_linear_files/Yang_linear_img/407261929.jpg","show blot")</f>
        <v>show blot</v>
      </c>
      <c r="G3936" t="s">
        <v>3785</v>
      </c>
      <c r="I3936" s="6">
        <v>4.7200504982130127</v>
      </c>
      <c r="K3936" s="8"/>
    </row>
    <row r="3937" spans="1:11" ht="15" x14ac:dyDescent="0.25">
      <c r="A3937" s="3" t="str">
        <f>HYPERLINK("proteomic_fractions_linear_files/Yang_linear_img/149267077.jpg", "149267077")</f>
        <v>149267077</v>
      </c>
      <c r="C3937" s="3" t="str">
        <f>HYPERLINK("http://www.ncbi.nlm.nih.gov/protein/149267077","LOC100046297")</f>
        <v>LOC100046297</v>
      </c>
      <c r="E3937" t="str">
        <f>HYPERLINK("J:\Depot - mpkCCD Fractions\Main Web Page\Web Pages_old\proteomic_fractions_linear_files/Yang_linear_img/149267077.jpg","show blot")</f>
        <v>show blot</v>
      </c>
      <c r="G3937" t="s">
        <v>3786</v>
      </c>
      <c r="I3937" s="6">
        <v>6.783840406851315</v>
      </c>
      <c r="K3937" s="8"/>
    </row>
    <row r="3938" spans="1:11" ht="15" x14ac:dyDescent="0.25">
      <c r="A3938" s="3" t="str">
        <f>HYPERLINK("proteomic_fractions_linear_files/Yang_linear_img/149251776.jpg", "149251776")</f>
        <v>149251776</v>
      </c>
      <c r="C3938" s="3" t="str">
        <f>HYPERLINK("http://www.ncbi.nlm.nih.gov/protein/149251776","LOC100046628")</f>
        <v>LOC100046628</v>
      </c>
      <c r="E3938" t="str">
        <f>HYPERLINK("J:\Depot - mpkCCD Fractions\Main Web Page\Web Pages_old\proteomic_fractions_linear_files/Yang_linear_img/149251776.jpg","show blot")</f>
        <v>show blot</v>
      </c>
      <c r="G3938" t="s">
        <v>3787</v>
      </c>
      <c r="I3938" s="6">
        <v>6.5600699378059248</v>
      </c>
      <c r="K3938" s="8"/>
    </row>
    <row r="3939" spans="1:11" ht="15" x14ac:dyDescent="0.25">
      <c r="A3939" s="3" t="str">
        <f>HYPERLINK("proteomic_fractions_linear_files/Yang_linear_img/149274885.jpg", "149274885")</f>
        <v>149274885</v>
      </c>
      <c r="C3939" s="3" t="str">
        <f>HYPERLINK("http://www.ncbi.nlm.nih.gov/protein/149274885","LOC100046684")</f>
        <v>LOC100046684</v>
      </c>
      <c r="E3939" t="str">
        <f>HYPERLINK("J:\Depot - mpkCCD Fractions\Main Web Page\Web Pages_old\proteomic_fractions_linear_files/Yang_linear_img/149274885.jpg","show blot")</f>
        <v>show blot</v>
      </c>
      <c r="G3939" t="s">
        <v>3788</v>
      </c>
      <c r="I3939" s="6">
        <v>5.6991564613115573</v>
      </c>
      <c r="K3939" s="8"/>
    </row>
    <row r="3940" spans="1:11" ht="15" x14ac:dyDescent="0.25">
      <c r="A3940" s="3" t="str">
        <f>HYPERLINK("proteomic_fractions_linear_files/Yang_linear_img/149274887.jpg", "149274887")</f>
        <v>149274887</v>
      </c>
      <c r="C3940" s="3" t="str">
        <f>HYPERLINK("http://www.ncbi.nlm.nih.gov/protein/149274887","LOC100046684")</f>
        <v>LOC100046684</v>
      </c>
      <c r="E3940" t="str">
        <f>HYPERLINK("J:\Depot - mpkCCD Fractions\Main Web Page\Web Pages_old\proteomic_fractions_linear_files/Yang_linear_img/149274887.jpg","show blot")</f>
        <v>show blot</v>
      </c>
      <c r="G3940" t="s">
        <v>3789</v>
      </c>
      <c r="I3940" s="6">
        <v>5.6991564613115573</v>
      </c>
      <c r="K3940" s="8"/>
    </row>
    <row r="3941" spans="1:11" ht="15" x14ac:dyDescent="0.25">
      <c r="A3941" s="3" t="str">
        <f>HYPERLINK("proteomic_fractions_linear_files/Yang_linear_img/309266230.jpg", "309266230")</f>
        <v>309266230</v>
      </c>
      <c r="C3941" s="3" t="str">
        <f>HYPERLINK("http://www.ncbi.nlm.nih.gov/protein/309266230","LOC100047252")</f>
        <v>LOC100047252</v>
      </c>
      <c r="E3941" t="str">
        <f>HYPERLINK("J:\Depot - mpkCCD Fractions\Main Web Page\Web Pages_old\proteomic_fractions_linear_files/Yang_linear_img/309266230.jpg","show blot")</f>
        <v>show blot</v>
      </c>
      <c r="G3941" t="s">
        <v>3790</v>
      </c>
      <c r="I3941" s="6">
        <v>6.6271072205687158</v>
      </c>
      <c r="K3941" s="8"/>
    </row>
    <row r="3942" spans="1:11" ht="15" x14ac:dyDescent="0.25">
      <c r="A3942" s="3" t="str">
        <f>HYPERLINK("proteomic_fractions_linear_files/Yang_linear_img/149251053.jpg", "149251053")</f>
        <v>149251053</v>
      </c>
      <c r="C3942" s="3" t="str">
        <f>HYPERLINK("http://www.ncbi.nlm.nih.gov/protein/149251053","LOC100047429")</f>
        <v>LOC100047429</v>
      </c>
      <c r="E3942" t="str">
        <f>HYPERLINK("J:\Depot - mpkCCD Fractions\Main Web Page\Web Pages_old\proteomic_fractions_linear_files/Yang_linear_img/149251053.jpg","show blot")</f>
        <v>show blot</v>
      </c>
      <c r="G3942" t="s">
        <v>3791</v>
      </c>
      <c r="I3942" s="6">
        <v>6.2576911951153749</v>
      </c>
      <c r="K3942" s="8"/>
    </row>
    <row r="3943" spans="1:11" ht="15" x14ac:dyDescent="0.25">
      <c r="A3943" s="3" t="str">
        <f>HYPERLINK("proteomic_fractions_linear_files/Yang_linear_img/149251053;20070412.jpg", "149251053;20070412")</f>
        <v>149251053;20070412</v>
      </c>
      <c r="C3943" s="3" t="str">
        <f>HYPERLINK("http://www.ncbi.nlm.nih.gov/protein/149251053;20070412","LOC100047429")</f>
        <v>LOC100047429</v>
      </c>
      <c r="E3943" t="str">
        <f>HYPERLINK("J:\Depot - mpkCCD Fractions\Main Web Page\Web Pages_old\proteomic_fractions_linear_files/Yang_linear_img/149251053;20070412.jpg","show blot")</f>
        <v>show blot</v>
      </c>
      <c r="G3943" t="s">
        <v>3791</v>
      </c>
      <c r="I3943" s="6">
        <v>6.2576911951153749</v>
      </c>
      <c r="K3943" s="8"/>
    </row>
    <row r="3944" spans="1:11" ht="15" x14ac:dyDescent="0.25">
      <c r="A3944" s="3" t="str">
        <f>HYPERLINK("proteomic_fractions_linear_files/Yang_linear_img/309264668.jpg", "309264668")</f>
        <v>309264668</v>
      </c>
      <c r="C3944" s="3" t="str">
        <f>HYPERLINK("http://www.ncbi.nlm.nih.gov/protein/309264668","LOC100047518")</f>
        <v>LOC100047518</v>
      </c>
      <c r="E3944" t="str">
        <f>HYPERLINK("J:\Depot - mpkCCD Fractions\Main Web Page\Web Pages_old\proteomic_fractions_linear_files/Yang_linear_img/309264668.jpg","show blot")</f>
        <v>show blot</v>
      </c>
      <c r="G3944" t="s">
        <v>3792</v>
      </c>
      <c r="I3944" s="6">
        <v>5.3100469016698852</v>
      </c>
      <c r="K3944" s="8"/>
    </row>
    <row r="3945" spans="1:11" ht="15" x14ac:dyDescent="0.25">
      <c r="A3945" s="3" t="str">
        <f>HYPERLINK("proteomic_fractions_linear_files/Yang_linear_img/407262733.jpg", "407262733")</f>
        <v>407262733</v>
      </c>
      <c r="C3945" s="3" t="str">
        <f>HYPERLINK("http://www.ncbi.nlm.nih.gov/protein/407262733","LOC100047577")</f>
        <v>LOC100047577</v>
      </c>
      <c r="E3945" t="str">
        <f>HYPERLINK("J:\Depot - mpkCCD Fractions\Main Web Page\Web Pages_old\proteomic_fractions_linear_files/Yang_linear_img/407262733.jpg","show blot")</f>
        <v>show blot</v>
      </c>
      <c r="G3945" t="s">
        <v>3793</v>
      </c>
      <c r="I3945" s="6">
        <v>6.2745452918119096</v>
      </c>
      <c r="K3945" s="8"/>
    </row>
    <row r="3946" spans="1:11" ht="15" x14ac:dyDescent="0.25">
      <c r="A3946" s="3" t="str">
        <f>HYPERLINK("proteomic_fractions_linear_files/Yang_linear_img/149261435.jpg", "149261435")</f>
        <v>149261435</v>
      </c>
      <c r="C3946" s="3" t="str">
        <f>HYPERLINK("http://www.ncbi.nlm.nih.gov/protein/149261435","LOC100047658")</f>
        <v>LOC100047658</v>
      </c>
      <c r="E3946" t="str">
        <f>HYPERLINK("J:\Depot - mpkCCD Fractions\Main Web Page\Web Pages_old\proteomic_fractions_linear_files/Yang_linear_img/149261435.jpg","show blot")</f>
        <v>show blot</v>
      </c>
      <c r="G3946" t="s">
        <v>3794</v>
      </c>
      <c r="I3946" s="6">
        <v>5.3594363644085155</v>
      </c>
      <c r="K3946" s="8"/>
    </row>
    <row r="3947" spans="1:11" ht="15" x14ac:dyDescent="0.25">
      <c r="A3947" s="3" t="str">
        <f>HYPERLINK("proteomic_fractions_linear_files/Yang_linear_img/407262563.jpg", "407262563")</f>
        <v>407262563</v>
      </c>
      <c r="C3947" s="3" t="str">
        <f>HYPERLINK("http://www.ncbi.nlm.nih.gov/protein/407262563","LOC100047753")</f>
        <v>LOC100047753</v>
      </c>
      <c r="E3947" t="str">
        <f>HYPERLINK("J:\Depot - mpkCCD Fractions\Main Web Page\Web Pages_old\proteomic_fractions_linear_files/Yang_linear_img/407262563.jpg","show blot")</f>
        <v>show blot</v>
      </c>
      <c r="G3947" t="s">
        <v>3795</v>
      </c>
      <c r="I3947" s="6">
        <v>6.8404898171222941</v>
      </c>
      <c r="K3947" s="8"/>
    </row>
    <row r="3948" spans="1:11" ht="15" x14ac:dyDescent="0.25">
      <c r="A3948" s="3" t="str">
        <f>HYPERLINK("proteomic_fractions_linear_files/Yang_linear_img/149240955.jpg", "149240955")</f>
        <v>149240955</v>
      </c>
      <c r="C3948" s="3" t="str">
        <f>HYPERLINK("http://www.ncbi.nlm.nih.gov/protein/149240955","LOC100047957")</f>
        <v>LOC100047957</v>
      </c>
      <c r="E3948" t="str">
        <f>HYPERLINK("J:\Depot - mpkCCD Fractions\Main Web Page\Web Pages_old\proteomic_fractions_linear_files/Yang_linear_img/149240955.jpg","show blot")</f>
        <v>show blot</v>
      </c>
      <c r="G3948" t="s">
        <v>3796</v>
      </c>
      <c r="I3948" s="6">
        <v>5.7930506391847549</v>
      </c>
      <c r="K3948" s="8"/>
    </row>
    <row r="3949" spans="1:11" ht="15" x14ac:dyDescent="0.25">
      <c r="A3949" s="3" t="str">
        <f>HYPERLINK("proteomic_fractions_linear_files/Yang_linear_img/407261725.jpg", "407261725")</f>
        <v>407261725</v>
      </c>
      <c r="C3949" s="3" t="str">
        <f>HYPERLINK("http://www.ncbi.nlm.nih.gov/protein/407261725","LOC100048117")</f>
        <v>LOC100048117</v>
      </c>
      <c r="E3949" t="str">
        <f>HYPERLINK("J:\Depot - mpkCCD Fractions\Main Web Page\Web Pages_old\proteomic_fractions_linear_files/Yang_linear_img/407261725.jpg","show blot")</f>
        <v>show blot</v>
      </c>
      <c r="G3949" t="s">
        <v>3797</v>
      </c>
      <c r="I3949" s="6">
        <v>7.5178238443902323</v>
      </c>
      <c r="K3949" s="8"/>
    </row>
    <row r="3950" spans="1:11" ht="15" x14ac:dyDescent="0.25">
      <c r="A3950" s="3" t="str">
        <f>HYPERLINK("proteomic_fractions_linear_files/Yang_linear_img/407261373.jpg", "407261373")</f>
        <v>407261373</v>
      </c>
      <c r="C3950" s="3" t="str">
        <f>HYPERLINK("http://www.ncbi.nlm.nih.gov/protein/407261373","LOC100048119")</f>
        <v>LOC100048119</v>
      </c>
      <c r="E3950" t="str">
        <f>HYPERLINK("J:\Depot - mpkCCD Fractions\Main Web Page\Web Pages_old\proteomic_fractions_linear_files/Yang_linear_img/407261373.jpg","show blot")</f>
        <v>show blot</v>
      </c>
      <c r="G3950" t="s">
        <v>3798</v>
      </c>
      <c r="I3950" s="6">
        <v>6.5171764396842926</v>
      </c>
      <c r="K3950" s="8"/>
    </row>
    <row r="3951" spans="1:11" ht="15" x14ac:dyDescent="0.25">
      <c r="A3951" s="3" t="str">
        <f>HYPERLINK("proteomic_fractions_linear_files/Yang_linear_img/377834168.jpg", "377834168")</f>
        <v>377834168</v>
      </c>
      <c r="C3951" s="3" t="str">
        <f>HYPERLINK("http://www.ncbi.nlm.nih.gov/protein/377834168","LOC100048410")</f>
        <v>LOC100048410</v>
      </c>
      <c r="E3951" t="str">
        <f>HYPERLINK("J:\Depot - mpkCCD Fractions\Main Web Page\Web Pages_old\proteomic_fractions_linear_files/Yang_linear_img/377834168.jpg","show blot")</f>
        <v>show blot</v>
      </c>
      <c r="G3951" t="s">
        <v>3799</v>
      </c>
      <c r="I3951" s="6">
        <v>5.6021166380761134</v>
      </c>
      <c r="K3951" s="8"/>
    </row>
    <row r="3952" spans="1:11" ht="15" x14ac:dyDescent="0.25">
      <c r="A3952" s="3" t="str">
        <f>HYPERLINK("proteomic_fractions_linear_files/Yang_linear_img/149255796.jpg", "149255796")</f>
        <v>149255796</v>
      </c>
      <c r="C3952" s="3" t="str">
        <f>HYPERLINK("http://www.ncbi.nlm.nih.gov/protein/149255796","LOC100048447")</f>
        <v>LOC100048447</v>
      </c>
      <c r="E3952" t="str">
        <f>HYPERLINK("J:\Depot - mpkCCD Fractions\Main Web Page\Web Pages_old\proteomic_fractions_linear_files/Yang_linear_img/149255796.jpg","show blot")</f>
        <v>show blot</v>
      </c>
      <c r="G3952" t="s">
        <v>3800</v>
      </c>
      <c r="I3952" s="6">
        <v>4.3843892297544542</v>
      </c>
      <c r="K3952" s="8"/>
    </row>
    <row r="3953" spans="1:11" ht="15" x14ac:dyDescent="0.25">
      <c r="A3953" s="3" t="str">
        <f>HYPERLINK("proteomic_fractions_linear_files/Yang_linear_img/407261032.jpg", "407261032")</f>
        <v>407261032</v>
      </c>
      <c r="C3953" s="3" t="str">
        <f>HYPERLINK("http://www.ncbi.nlm.nih.gov/protein/407261032","LOC100048613")</f>
        <v>LOC100048613</v>
      </c>
      <c r="E3953" t="str">
        <f>HYPERLINK("J:\Depot - mpkCCD Fractions\Main Web Page\Web Pages_old\proteomic_fractions_linear_files/Yang_linear_img/407261032.jpg","show blot")</f>
        <v>show blot</v>
      </c>
      <c r="G3953" t="s">
        <v>3801</v>
      </c>
      <c r="I3953" s="6">
        <v>5.6399676217473713</v>
      </c>
      <c r="K3953" s="8"/>
    </row>
    <row r="3954" spans="1:11" ht="15" x14ac:dyDescent="0.25">
      <c r="A3954" s="3" t="str">
        <f>HYPERLINK("proteomic_fractions_linear_files/Yang_linear_img/309267068.jpg", "309267068")</f>
        <v>309267068</v>
      </c>
      <c r="C3954" s="3" t="str">
        <f>HYPERLINK("http://www.ncbi.nlm.nih.gov/protein/309267068","LOC100048629")</f>
        <v>LOC100048629</v>
      </c>
      <c r="E3954" t="str">
        <f>HYPERLINK("J:\Depot - mpkCCD Fractions\Main Web Page\Web Pages_old\proteomic_fractions_linear_files/Yang_linear_img/309267068.jpg","show blot")</f>
        <v>show blot</v>
      </c>
      <c r="G3954" t="s">
        <v>3802</v>
      </c>
      <c r="I3954" s="6">
        <v>2.3677524016771496</v>
      </c>
      <c r="K3954" s="8"/>
    </row>
    <row r="3955" spans="1:11" ht="15" x14ac:dyDescent="0.25">
      <c r="A3955" s="3" t="str">
        <f>HYPERLINK("proteomic_fractions_linear_files/Yang_linear_img/407262004.jpg", "407262004")</f>
        <v>407262004</v>
      </c>
      <c r="C3955" s="3" t="str">
        <f>HYPERLINK("http://www.ncbi.nlm.nih.gov/protein/407262004","LOC100503047")</f>
        <v>LOC100503047</v>
      </c>
      <c r="E3955" t="str">
        <f>HYPERLINK("J:\Depot - mpkCCD Fractions\Main Web Page\Web Pages_old\proteomic_fractions_linear_files/Yang_linear_img/407262004.jpg","show blot")</f>
        <v>show blot</v>
      </c>
      <c r="G3955" t="s">
        <v>3803</v>
      </c>
      <c r="I3955" s="6">
        <v>5.2172725202409325</v>
      </c>
      <c r="K3955" s="8"/>
    </row>
    <row r="3956" spans="1:11" ht="15" x14ac:dyDescent="0.25">
      <c r="A3956" s="3" t="str">
        <f>HYPERLINK("proteomic_fractions_linear_files/Yang_linear_img/309264158.jpg", "309264158")</f>
        <v>309264158</v>
      </c>
      <c r="C3956" s="3" t="str">
        <f>HYPERLINK("http://www.ncbi.nlm.nih.gov/protein/309264158","LOC100503055")</f>
        <v>LOC100503055</v>
      </c>
      <c r="E3956" t="str">
        <f>HYPERLINK("J:\Depot - mpkCCD Fractions\Main Web Page\Web Pages_old\proteomic_fractions_linear_files/Yang_linear_img/309264158.jpg","show blot")</f>
        <v>show blot</v>
      </c>
      <c r="G3956" t="s">
        <v>2727</v>
      </c>
      <c r="I3956" s="6">
        <v>6.1832457968905405</v>
      </c>
      <c r="K3956" s="8"/>
    </row>
    <row r="3957" spans="1:11" ht="15" x14ac:dyDescent="0.25">
      <c r="A3957" s="3" t="str">
        <f>HYPERLINK("proteomic_fractions_linear_files/Yang_linear_img/309267076.jpg", "309267076")</f>
        <v>309267076</v>
      </c>
      <c r="C3957" s="3" t="str">
        <f>HYPERLINK("http://www.ncbi.nlm.nih.gov/protein/309267076","LOC100503180")</f>
        <v>LOC100503180</v>
      </c>
      <c r="E3957" t="str">
        <f>HYPERLINK("J:\Depot - mpkCCD Fractions\Main Web Page\Web Pages_old\proteomic_fractions_linear_files/Yang_linear_img/309267076.jpg","show blot")</f>
        <v>show blot</v>
      </c>
      <c r="G3957" t="s">
        <v>3804</v>
      </c>
      <c r="I3957" s="6">
        <v>4.6101616103865277</v>
      </c>
      <c r="K3957" s="8"/>
    </row>
    <row r="3958" spans="1:11" ht="15" x14ac:dyDescent="0.25">
      <c r="A3958" s="3" t="str">
        <f>HYPERLINK("proteomic_fractions_linear_files/Yang_linear_img/309264728.jpg", "309264728")</f>
        <v>309264728</v>
      </c>
      <c r="C3958" s="3" t="str">
        <f>HYPERLINK("http://www.ncbi.nlm.nih.gov/protein/309264728","LOC100503217")</f>
        <v>LOC100503217</v>
      </c>
      <c r="E3958" t="str">
        <f>HYPERLINK("J:\Depot - mpkCCD Fractions\Main Web Page\Web Pages_old\proteomic_fractions_linear_files/Yang_linear_img/309264728.jpg","show blot")</f>
        <v>show blot</v>
      </c>
      <c r="G3958" t="s">
        <v>3805</v>
      </c>
      <c r="I3958" s="6">
        <v>4.7622427415114057</v>
      </c>
      <c r="K3958" s="8"/>
    </row>
    <row r="3959" spans="1:11" ht="15" x14ac:dyDescent="0.25">
      <c r="A3959" s="3" t="str">
        <f>HYPERLINK("proteomic_fractions_linear_files/Yang_linear_img/309265521.jpg", "309265521")</f>
        <v>309265521</v>
      </c>
      <c r="C3959" s="3" t="str">
        <f>HYPERLINK("http://www.ncbi.nlm.nih.gov/protein/309265521","LOC100503235")</f>
        <v>LOC100503235</v>
      </c>
      <c r="E3959" t="str">
        <f>HYPERLINK("J:\Depot - mpkCCD Fractions\Main Web Page\Web Pages_old\proteomic_fractions_linear_files/Yang_linear_img/309265521.jpg","show blot")</f>
        <v>show blot</v>
      </c>
      <c r="G3959" t="s">
        <v>3806</v>
      </c>
      <c r="I3959" s="6">
        <v>4.3632586113553282</v>
      </c>
      <c r="K3959" s="8"/>
    </row>
    <row r="3960" spans="1:11" ht="15" x14ac:dyDescent="0.25">
      <c r="A3960" s="3" t="str">
        <f>HYPERLINK("proteomic_fractions_linear_files/Yang_linear_img/377833219.jpg", "377833219")</f>
        <v>377833219</v>
      </c>
      <c r="C3960" s="3" t="str">
        <f>HYPERLINK("http://www.ncbi.nlm.nih.gov/protein/377833219","LOC100503822")</f>
        <v>LOC100503822</v>
      </c>
      <c r="E3960" t="str">
        <f>HYPERLINK("J:\Depot - mpkCCD Fractions\Main Web Page\Web Pages_old\proteomic_fractions_linear_files/Yang_linear_img/377833219.jpg","show blot")</f>
        <v>show blot</v>
      </c>
      <c r="G3960" t="s">
        <v>3807</v>
      </c>
      <c r="I3960" s="6">
        <v>4.9192815811625286</v>
      </c>
      <c r="K3960" s="8"/>
    </row>
    <row r="3961" spans="1:11" ht="15" x14ac:dyDescent="0.25">
      <c r="A3961" s="3" t="str">
        <f>HYPERLINK("proteomic_fractions_linear_files/Yang_linear_img/309265677.jpg", "309265677")</f>
        <v>309265677</v>
      </c>
      <c r="C3961" s="3" t="str">
        <f>HYPERLINK("http://www.ncbi.nlm.nih.gov/protein/309265677","LOC100504817")</f>
        <v>LOC100504817</v>
      </c>
      <c r="E3961" t="str">
        <f>HYPERLINK("J:\Depot - mpkCCD Fractions\Main Web Page\Web Pages_old\proteomic_fractions_linear_files/Yang_linear_img/309265677.jpg","show blot")</f>
        <v>show blot</v>
      </c>
      <c r="G3961" t="s">
        <v>2829</v>
      </c>
      <c r="I3961" s="6">
        <v>6.3719934058066006</v>
      </c>
      <c r="K3961" s="8"/>
    </row>
    <row r="3962" spans="1:11" ht="15" x14ac:dyDescent="0.25">
      <c r="A3962" s="3" t="str">
        <f>HYPERLINK("proteomic_fractions_linear_files/Yang_linear_img/309265792.jpg", "309265792")</f>
        <v>309265792</v>
      </c>
      <c r="C3962" s="3" t="str">
        <f>HYPERLINK("http://www.ncbi.nlm.nih.gov/protein/309265792","LOC100504863")</f>
        <v>LOC100504863</v>
      </c>
      <c r="E3962" t="str">
        <f>HYPERLINK("J:\Depot - mpkCCD Fractions\Main Web Page\Web Pages_old\proteomic_fractions_linear_files/Yang_linear_img/309265792.jpg","show blot")</f>
        <v>show blot</v>
      </c>
      <c r="G3962" t="s">
        <v>2889</v>
      </c>
      <c r="I3962" s="6">
        <v>6.3070518638885957</v>
      </c>
      <c r="K3962" s="8"/>
    </row>
    <row r="3963" spans="1:11" ht="15" x14ac:dyDescent="0.25">
      <c r="A3963" s="3" t="str">
        <f>HYPERLINK("proteomic_fractions_linear_files/Yang_linear_img/309263511.jpg", "309263511")</f>
        <v>309263511</v>
      </c>
      <c r="C3963" s="3" t="str">
        <f>HYPERLINK("http://www.ncbi.nlm.nih.gov/protein/309263511","LOC100504872")</f>
        <v>LOC100504872</v>
      </c>
      <c r="E3963" t="str">
        <f>HYPERLINK("J:\Depot - mpkCCD Fractions\Main Web Page\Web Pages_old\proteomic_fractions_linear_files/Yang_linear_img/309263511.jpg","show blot")</f>
        <v>show blot</v>
      </c>
      <c r="G3963" t="s">
        <v>3808</v>
      </c>
      <c r="I3963" s="6">
        <v>6.590959736403657</v>
      </c>
      <c r="K3963" s="8"/>
    </row>
    <row r="3964" spans="1:11" ht="15" x14ac:dyDescent="0.25">
      <c r="A3964" s="3" t="str">
        <f>HYPERLINK("proteomic_fractions_linear_files/Yang_linear_img/309265053.jpg", "309265053")</f>
        <v>309265053</v>
      </c>
      <c r="C3964" s="3" t="str">
        <f>HYPERLINK("http://www.ncbi.nlm.nih.gov/protein/309265053","LOC100504912")</f>
        <v>LOC100504912</v>
      </c>
      <c r="E3964" t="str">
        <f>HYPERLINK("J:\Depot - mpkCCD Fractions\Main Web Page\Web Pages_old\proteomic_fractions_linear_files/Yang_linear_img/309265053.jpg","show blot")</f>
        <v>show blot</v>
      </c>
      <c r="G3964" t="s">
        <v>3809</v>
      </c>
      <c r="I3964" s="6">
        <v>6.3078840132454905</v>
      </c>
      <c r="K3964" s="8"/>
    </row>
    <row r="3965" spans="1:11" ht="15" x14ac:dyDescent="0.25">
      <c r="A3965" s="3" t="str">
        <f>HYPERLINK("proteomic_fractions_linear_files/Yang_linear_img/309266753.jpg", "309266753")</f>
        <v>309266753</v>
      </c>
      <c r="C3965" s="3" t="str">
        <f>HYPERLINK("http://www.ncbi.nlm.nih.gov/protein/309266753","LOC100504959")</f>
        <v>LOC100504959</v>
      </c>
      <c r="E3965" t="str">
        <f>HYPERLINK("J:\Depot - mpkCCD Fractions\Main Web Page\Web Pages_old\proteomic_fractions_linear_files/Yang_linear_img/309266753.jpg","show blot")</f>
        <v>show blot</v>
      </c>
      <c r="G3965" t="s">
        <v>3810</v>
      </c>
      <c r="I3965" s="6">
        <v>3.6863629781980314</v>
      </c>
      <c r="K3965" s="8"/>
    </row>
    <row r="3966" spans="1:11" ht="15" x14ac:dyDescent="0.25">
      <c r="A3966" s="3" t="str">
        <f>HYPERLINK("proteomic_fractions_linear_files/Yang_linear_img/309265938.jpg", "309265938")</f>
        <v>309265938</v>
      </c>
      <c r="C3966" s="3" t="str">
        <f>HYPERLINK("http://www.ncbi.nlm.nih.gov/protein/309265938","LOC100504968")</f>
        <v>LOC100504968</v>
      </c>
      <c r="E3966" t="str">
        <f>HYPERLINK("J:\Depot - mpkCCD Fractions\Main Web Page\Web Pages_old\proteomic_fractions_linear_files/Yang_linear_img/309265938.jpg","show blot")</f>
        <v>show blot</v>
      </c>
      <c r="G3966" t="s">
        <v>3811</v>
      </c>
      <c r="I3966" s="6">
        <v>5.1567694033407419</v>
      </c>
      <c r="K3966" s="8"/>
    </row>
    <row r="3967" spans="1:11" ht="15" x14ac:dyDescent="0.25">
      <c r="A3967" s="3" t="str">
        <f>HYPERLINK("proteomic_fractions_linear_files/Yang_linear_img/309264544.jpg", "309264544")</f>
        <v>309264544</v>
      </c>
      <c r="C3967" s="3" t="str">
        <f>HYPERLINK("http://www.ncbi.nlm.nih.gov/protein/309264544","LOC100504988")</f>
        <v>LOC100504988</v>
      </c>
      <c r="E3967" t="str">
        <f>HYPERLINK("J:\Depot - mpkCCD Fractions\Main Web Page\Web Pages_old\proteomic_fractions_linear_files/Yang_linear_img/309264544.jpg","show blot")</f>
        <v>show blot</v>
      </c>
      <c r="G3967" t="s">
        <v>3812</v>
      </c>
      <c r="I3967" s="6">
        <v>5.2141548007548382</v>
      </c>
      <c r="K3967" s="8"/>
    </row>
    <row r="3968" spans="1:11" ht="15" x14ac:dyDescent="0.25">
      <c r="A3968" s="3" t="str">
        <f>HYPERLINK("proteomic_fractions_linear_files/Yang_linear_img/309266758.jpg", "309266758")</f>
        <v>309266758</v>
      </c>
      <c r="C3968" s="3" t="str">
        <f>HYPERLINK("http://www.ncbi.nlm.nih.gov/protein/309266758","LOC100505014")</f>
        <v>LOC100505014</v>
      </c>
      <c r="E3968" t="str">
        <f>HYPERLINK("J:\Depot - mpkCCD Fractions\Main Web Page\Web Pages_old\proteomic_fractions_linear_files/Yang_linear_img/309266758.jpg","show blot")</f>
        <v>show blot</v>
      </c>
      <c r="G3968" t="s">
        <v>2721</v>
      </c>
      <c r="I3968" s="6">
        <v>5.8643843583132194</v>
      </c>
      <c r="K3968" s="8"/>
    </row>
    <row r="3969" spans="1:11" ht="15" x14ac:dyDescent="0.25">
      <c r="A3969" s="3" t="str">
        <f>HYPERLINK("proteomic_fractions_linear_files/Yang_linear_img/309264022.jpg", "309264022")</f>
        <v>309264022</v>
      </c>
      <c r="C3969" s="3" t="str">
        <f>HYPERLINK("http://www.ncbi.nlm.nih.gov/protein/309264022","LOC100505031")</f>
        <v>LOC100505031</v>
      </c>
      <c r="E3969" t="str">
        <f>HYPERLINK("J:\Depot - mpkCCD Fractions\Main Web Page\Web Pages_old\proteomic_fractions_linear_files/Yang_linear_img/309264022.jpg","show blot")</f>
        <v>show blot</v>
      </c>
      <c r="G3969" t="s">
        <v>3813</v>
      </c>
      <c r="I3969" s="6">
        <v>7.0466419888209053</v>
      </c>
      <c r="K3969" s="8"/>
    </row>
    <row r="3970" spans="1:11" ht="15" x14ac:dyDescent="0.25">
      <c r="A3970" s="3" t="str">
        <f>HYPERLINK("proteomic_fractions_linear_files/Yang_linear_img/309265361.jpg", "309265361")</f>
        <v>309265361</v>
      </c>
      <c r="C3970" s="3" t="str">
        <f>HYPERLINK("http://www.ncbi.nlm.nih.gov/protein/309265361","LOC100505283")</f>
        <v>LOC100505283</v>
      </c>
      <c r="E3970" t="str">
        <f>HYPERLINK("J:\Depot - mpkCCD Fractions\Main Web Page\Web Pages_old\proteomic_fractions_linear_files/Yang_linear_img/309265361.jpg","show blot")</f>
        <v>show blot</v>
      </c>
      <c r="G3970" t="s">
        <v>2714</v>
      </c>
      <c r="I3970" s="6">
        <v>6.4194241153996705</v>
      </c>
      <c r="K3970" s="8"/>
    </row>
    <row r="3971" spans="1:11" ht="15" x14ac:dyDescent="0.25">
      <c r="A3971" s="3" t="str">
        <f>HYPERLINK("proteomic_fractions_linear_files/Yang_linear_img/377835354.jpg", "377835354")</f>
        <v>377835354</v>
      </c>
      <c r="C3971" s="3" t="str">
        <f>HYPERLINK("http://www.ncbi.nlm.nih.gov/protein/377835354","LOC100861685")</f>
        <v>LOC100861685</v>
      </c>
      <c r="E3971" t="str">
        <f>HYPERLINK("J:\Depot - mpkCCD Fractions\Main Web Page\Web Pages_old\proteomic_fractions_linear_files/Yang_linear_img/377835354.jpg","show blot")</f>
        <v>show blot</v>
      </c>
      <c r="G3971" t="s">
        <v>2794</v>
      </c>
      <c r="I3971" s="6">
        <v>6.7302704696046876</v>
      </c>
      <c r="K3971" s="8"/>
    </row>
    <row r="3972" spans="1:11" ht="15" x14ac:dyDescent="0.25">
      <c r="A3972" s="3" t="str">
        <f>HYPERLINK("proteomic_fractions_linear_files/Yang_linear_img/377834995.jpg", "377834995")</f>
        <v>377834995</v>
      </c>
      <c r="C3972" s="3" t="str">
        <f>HYPERLINK("http://www.ncbi.nlm.nih.gov/protein/377834995","LOC100861784")</f>
        <v>LOC100861784</v>
      </c>
      <c r="E3972" t="str">
        <f>HYPERLINK("J:\Depot - mpkCCD Fractions\Main Web Page\Web Pages_old\proteomic_fractions_linear_files/Yang_linear_img/377834995.jpg","show blot")</f>
        <v>show blot</v>
      </c>
      <c r="G3972" t="s">
        <v>2712</v>
      </c>
      <c r="I3972" s="6">
        <v>5.6465441294128524</v>
      </c>
      <c r="K3972" s="8"/>
    </row>
    <row r="3973" spans="1:11" ht="15" x14ac:dyDescent="0.25">
      <c r="A3973" s="3" t="str">
        <f>HYPERLINK("proteomic_fractions_linear_files/Yang_linear_img/407263800.jpg", "407263800")</f>
        <v>407263800</v>
      </c>
      <c r="C3973" s="3" t="str">
        <f>HYPERLINK("http://www.ncbi.nlm.nih.gov/protein/407263800","LOC100861898")</f>
        <v>LOC100861898</v>
      </c>
      <c r="E3973" t="str">
        <f>HYPERLINK("J:\Depot - mpkCCD Fractions\Main Web Page\Web Pages_old\proteomic_fractions_linear_files/Yang_linear_img/407263800.jpg","show blot")</f>
        <v>show blot</v>
      </c>
      <c r="G3973" t="s">
        <v>2778</v>
      </c>
      <c r="I3973" s="6">
        <v>5.6331309333669575</v>
      </c>
      <c r="K3973" s="8"/>
    </row>
    <row r="3974" spans="1:11" ht="15" x14ac:dyDescent="0.25">
      <c r="A3974" s="3" t="str">
        <f>HYPERLINK("proteomic_fractions_linear_files/Yang_linear_img/377833741.jpg", "377833741")</f>
        <v>377833741</v>
      </c>
      <c r="C3974" s="3" t="str">
        <f>HYPERLINK("http://www.ncbi.nlm.nih.gov/protein/377833741","LOC100861945")</f>
        <v>LOC100861945</v>
      </c>
      <c r="E3974" t="str">
        <f>HYPERLINK("J:\Depot - mpkCCD Fractions\Main Web Page\Web Pages_old\proteomic_fractions_linear_files/Yang_linear_img/377833741.jpg","show blot")</f>
        <v>show blot</v>
      </c>
      <c r="G3974" t="s">
        <v>3814</v>
      </c>
      <c r="I3974" s="6">
        <v>3.7940120138184277</v>
      </c>
      <c r="K3974" s="8"/>
    </row>
    <row r="3975" spans="1:11" ht="15" x14ac:dyDescent="0.25">
      <c r="A3975" s="3" t="str">
        <f>HYPERLINK("proteomic_fractions_linear_files/Yang_linear_img/377835119.jpg", "377835119")</f>
        <v>377835119</v>
      </c>
      <c r="C3975" s="3" t="str">
        <f>HYPERLINK("http://www.ncbi.nlm.nih.gov/protein/377835119","LOC100861947")</f>
        <v>LOC100861947</v>
      </c>
      <c r="E3975" t="str">
        <f>HYPERLINK("J:\Depot - mpkCCD Fractions\Main Web Page\Web Pages_old\proteomic_fractions_linear_files/Yang_linear_img/377835119.jpg","show blot")</f>
        <v>show blot</v>
      </c>
      <c r="G3975" t="s">
        <v>3815</v>
      </c>
      <c r="I3975" s="6">
        <v>5.5450765311337307</v>
      </c>
      <c r="K3975" s="8"/>
    </row>
    <row r="3976" spans="1:11" ht="15" x14ac:dyDescent="0.25">
      <c r="A3976" s="3" t="str">
        <f>HYPERLINK("proteomic_fractions_linear_files/Yang_linear_img/377834422.jpg", "377834422")</f>
        <v>377834422</v>
      </c>
      <c r="C3976" s="3" t="str">
        <f>HYPERLINK("http://www.ncbi.nlm.nih.gov/protein/377834422","LOC100862012")</f>
        <v>LOC100862012</v>
      </c>
      <c r="E3976" t="str">
        <f>HYPERLINK("J:\Depot - mpkCCD Fractions\Main Web Page\Web Pages_old\proteomic_fractions_linear_files/Yang_linear_img/377834422.jpg","show blot")</f>
        <v>show blot</v>
      </c>
      <c r="G3976" t="s">
        <v>3816</v>
      </c>
      <c r="I3976" s="6">
        <v>7.030885174361539</v>
      </c>
      <c r="K3976" s="8"/>
    </row>
    <row r="3977" spans="1:11" ht="15" x14ac:dyDescent="0.25">
      <c r="A3977" s="3" t="str">
        <f>HYPERLINK("proteomic_fractions_linear_files/Yang_linear_img/377834028.jpg", "377834028")</f>
        <v>377834028</v>
      </c>
      <c r="C3977" s="3" t="str">
        <f>HYPERLINK("http://www.ncbi.nlm.nih.gov/protein/377834028","LOC100862066")</f>
        <v>LOC100862066</v>
      </c>
      <c r="E3977" t="str">
        <f>HYPERLINK("J:\Depot - mpkCCD Fractions\Main Web Page\Web Pages_old\proteomic_fractions_linear_files/Yang_linear_img/377834028.jpg","show blot")</f>
        <v>show blot</v>
      </c>
      <c r="G3977" t="s">
        <v>3817</v>
      </c>
      <c r="I3977" s="6">
        <v>4.2290309626525673</v>
      </c>
      <c r="K3977" s="8"/>
    </row>
    <row r="3978" spans="1:11" ht="15" x14ac:dyDescent="0.25">
      <c r="A3978" s="3" t="str">
        <f>HYPERLINK("proteomic_fractions_linear_files/Yang_linear_img/377837112.jpg", "377837112")</f>
        <v>377837112</v>
      </c>
      <c r="C3978" s="3" t="str">
        <f>HYPERLINK("http://www.ncbi.nlm.nih.gov/protein/377837112","LOC100862431")</f>
        <v>LOC100862431</v>
      </c>
      <c r="E3978" t="str">
        <f>HYPERLINK("J:\Depot - mpkCCD Fractions\Main Web Page\Web Pages_old\proteomic_fractions_linear_files/Yang_linear_img/377837112.jpg","show blot")</f>
        <v>show blot</v>
      </c>
      <c r="G3978" t="s">
        <v>3818</v>
      </c>
      <c r="I3978" s="6">
        <v>3.0806264869218056</v>
      </c>
      <c r="K3978" s="8"/>
    </row>
    <row r="3979" spans="1:11" ht="15" x14ac:dyDescent="0.25">
      <c r="A3979" s="3" t="str">
        <f>HYPERLINK("proteomic_fractions_linear_files/Yang_linear_img/377837104.jpg", "377837104")</f>
        <v>377837104</v>
      </c>
      <c r="C3979" s="3" t="str">
        <f>HYPERLINK("http://www.ncbi.nlm.nih.gov/protein/377837104","LOC100862433")</f>
        <v>LOC100862433</v>
      </c>
      <c r="E3979" t="str">
        <f>HYPERLINK("J:\Depot - mpkCCD Fractions\Main Web Page\Web Pages_old\proteomic_fractions_linear_files/Yang_linear_img/377837104.jpg","show blot")</f>
        <v>show blot</v>
      </c>
      <c r="G3979" t="s">
        <v>3819</v>
      </c>
      <c r="I3979" s="6">
        <v>7.1347507942035859</v>
      </c>
      <c r="K3979" s="8"/>
    </row>
    <row r="3980" spans="1:11" ht="15" x14ac:dyDescent="0.25">
      <c r="A3980" s="3" t="str">
        <f>HYPERLINK("proteomic_fractions_linear_files/Yang_linear_img/377837120.jpg", "377837120")</f>
        <v>377837120</v>
      </c>
      <c r="C3980" s="3" t="str">
        <f>HYPERLINK("http://www.ncbi.nlm.nih.gov/protein/377837120","LOC100862435")</f>
        <v>LOC100862435</v>
      </c>
      <c r="E3980" t="str">
        <f>HYPERLINK("J:\Depot - mpkCCD Fractions\Main Web Page\Web Pages_old\proteomic_fractions_linear_files/Yang_linear_img/377837120.jpg","show blot")</f>
        <v>show blot</v>
      </c>
      <c r="G3980" t="s">
        <v>3820</v>
      </c>
      <c r="I3980" s="6">
        <v>3.001445240874181</v>
      </c>
      <c r="K3980" s="8"/>
    </row>
    <row r="3981" spans="1:11" ht="15" x14ac:dyDescent="0.25">
      <c r="A3981" s="3" t="str">
        <f>HYPERLINK("proteomic_fractions_linear_files/Yang_linear_img/377837231.jpg", "377837231")</f>
        <v>377837231</v>
      </c>
      <c r="C3981" s="3" t="str">
        <f>HYPERLINK("http://www.ncbi.nlm.nih.gov/protein/377837231","LOC100862445")</f>
        <v>LOC100862445</v>
      </c>
      <c r="E3981" t="str">
        <f>HYPERLINK("J:\Depot - mpkCCD Fractions\Main Web Page\Web Pages_old\proteomic_fractions_linear_files/Yang_linear_img/377837231.jpg","show blot")</f>
        <v>show blot</v>
      </c>
      <c r="G3981" t="s">
        <v>2741</v>
      </c>
      <c r="I3981" s="6">
        <v>5.6759767414635904</v>
      </c>
      <c r="K3981" s="8"/>
    </row>
    <row r="3982" spans="1:11" ht="15" x14ac:dyDescent="0.25">
      <c r="A3982" s="3" t="str">
        <f>HYPERLINK("proteomic_fractions_linear_files/Yang_linear_img/407262755.jpg", "407262755")</f>
        <v>407262755</v>
      </c>
      <c r="C3982" s="3" t="str">
        <f>HYPERLINK("http://www.ncbi.nlm.nih.gov/protein/407262755","LOC100862445")</f>
        <v>LOC100862445</v>
      </c>
      <c r="E3982" t="str">
        <f>HYPERLINK("J:\Depot - mpkCCD Fractions\Main Web Page\Web Pages_old\proteomic_fractions_linear_files/Yang_linear_img/407262755.jpg","show blot")</f>
        <v>show blot</v>
      </c>
      <c r="G3982" t="s">
        <v>2741</v>
      </c>
      <c r="I3982" s="6">
        <v>5.6759767414635904</v>
      </c>
      <c r="K3982" s="8"/>
    </row>
    <row r="3983" spans="1:11" ht="15" x14ac:dyDescent="0.25">
      <c r="A3983" s="3" t="str">
        <f>HYPERLINK("proteomic_fractions_linear_files/Yang_linear_img/407264599.jpg", "407264599")</f>
        <v>407264599</v>
      </c>
      <c r="C3983" s="3" t="str">
        <f>HYPERLINK("http://www.ncbi.nlm.nih.gov/protein/407264599","LOC100862446")</f>
        <v>LOC100862446</v>
      </c>
      <c r="E3983" t="str">
        <f>HYPERLINK("J:\Depot - mpkCCD Fractions\Main Web Page\Web Pages_old\proteomic_fractions_linear_files/Yang_linear_img/407264599.jpg","show blot")</f>
        <v>show blot</v>
      </c>
      <c r="G3983" t="s">
        <v>3821</v>
      </c>
      <c r="I3983" s="6">
        <v>7.1896708662562903</v>
      </c>
      <c r="K3983" s="8"/>
    </row>
    <row r="3984" spans="1:11" ht="15" x14ac:dyDescent="0.25">
      <c r="A3984" s="3" t="str">
        <f>HYPERLINK("proteomic_fractions_linear_files/Yang_linear_img/377834725.jpg", "377834725")</f>
        <v>377834725</v>
      </c>
      <c r="C3984" s="3" t="str">
        <f>HYPERLINK("http://www.ncbi.nlm.nih.gov/protein/377834725","LOC100862447")</f>
        <v>LOC100862447</v>
      </c>
      <c r="E3984" t="str">
        <f>HYPERLINK("J:\Depot - mpkCCD Fractions\Main Web Page\Web Pages_old\proteomic_fractions_linear_files/Yang_linear_img/377834725.jpg","show blot")</f>
        <v>show blot</v>
      </c>
      <c r="G3984" t="s">
        <v>3818</v>
      </c>
      <c r="I3984" s="6">
        <v>3.091621871223269</v>
      </c>
      <c r="K3984" s="8"/>
    </row>
    <row r="3985" spans="1:11" ht="15" x14ac:dyDescent="0.25">
      <c r="A3985" s="3" t="str">
        <f>HYPERLINK("proteomic_fractions_linear_files/Yang_linear_img/407262287.jpg", "407262287")</f>
        <v>407262287</v>
      </c>
      <c r="C3985" s="3" t="str">
        <f>HYPERLINK("http://www.ncbi.nlm.nih.gov/protein/407262287","LOC100862455")</f>
        <v>LOC100862455</v>
      </c>
      <c r="E3985" t="str">
        <f>HYPERLINK("J:\Depot - mpkCCD Fractions\Main Web Page\Web Pages_old\proteomic_fractions_linear_files/Yang_linear_img/407262287.jpg","show blot")</f>
        <v>show blot</v>
      </c>
      <c r="G3985" t="s">
        <v>2755</v>
      </c>
      <c r="I3985" s="6">
        <v>6.4334036087876205</v>
      </c>
      <c r="K3985" s="8"/>
    </row>
    <row r="3986" spans="1:11" ht="15" x14ac:dyDescent="0.25">
      <c r="A3986" s="3" t="str">
        <f>HYPERLINK("proteomic_fractions_linear_files/Yang_linear_img/377837185.jpg", "377837185")</f>
        <v>377837185</v>
      </c>
      <c r="C3986" s="3" t="str">
        <f>HYPERLINK("http://www.ncbi.nlm.nih.gov/protein/377837185","LOC100862468")</f>
        <v>LOC100862468</v>
      </c>
      <c r="E3986" t="str">
        <f>HYPERLINK("J:\Depot - mpkCCD Fractions\Main Web Page\Web Pages_old\proteomic_fractions_linear_files/Yang_linear_img/377837185.jpg","show blot")</f>
        <v>show blot</v>
      </c>
      <c r="G3986" t="s">
        <v>3778</v>
      </c>
      <c r="I3986" s="6">
        <v>6.2994601477352008</v>
      </c>
      <c r="K3986" s="8"/>
    </row>
    <row r="3987" spans="1:11" ht="15" x14ac:dyDescent="0.25">
      <c r="A3987" s="3" t="str">
        <f>HYPERLINK("proteomic_fractions_linear_files/Yang_linear_img/407261291.jpg", "407261291")</f>
        <v>407261291</v>
      </c>
      <c r="C3987" s="3" t="str">
        <f>HYPERLINK("http://www.ncbi.nlm.nih.gov/protein/407261291","LOC100862515")</f>
        <v>LOC100862515</v>
      </c>
      <c r="E3987" t="str">
        <f>HYPERLINK("J:\Depot - mpkCCD Fractions\Main Web Page\Web Pages_old\proteomic_fractions_linear_files/Yang_linear_img/407261291.jpg","show blot")</f>
        <v>show blot</v>
      </c>
      <c r="G3987" t="s">
        <v>3822</v>
      </c>
      <c r="I3987" s="6">
        <v>4.5607700101374302</v>
      </c>
      <c r="K3987" s="8"/>
    </row>
    <row r="3988" spans="1:11" ht="15" x14ac:dyDescent="0.25">
      <c r="A3988" s="3" t="str">
        <f>HYPERLINK("proteomic_fractions_linear_files/Yang_linear_img/377834690.jpg", "377834690")</f>
        <v>377834690</v>
      </c>
      <c r="C3988" s="3" t="str">
        <f>HYPERLINK("http://www.ncbi.nlm.nih.gov/protein/377834690","LOC100862531")</f>
        <v>LOC100862531</v>
      </c>
      <c r="E3988" t="str">
        <f>HYPERLINK("J:\Depot - mpkCCD Fractions\Main Web Page\Web Pages_old\proteomic_fractions_linear_files/Yang_linear_img/377834690.jpg","show blot")</f>
        <v>show blot</v>
      </c>
      <c r="G3988" t="s">
        <v>3823</v>
      </c>
      <c r="I3988" s="6">
        <v>2.7534305151999061</v>
      </c>
      <c r="K3988" s="8"/>
    </row>
    <row r="3989" spans="1:11" ht="15" x14ac:dyDescent="0.25">
      <c r="A3989" s="3" t="str">
        <f>HYPERLINK("proteomic_fractions_linear_files/Yang_linear_img/377833375.jpg", "377833375")</f>
        <v>377833375</v>
      </c>
      <c r="C3989" s="3" t="str">
        <f>HYPERLINK("http://www.ncbi.nlm.nih.gov/protein/377833375","LOC100862557")</f>
        <v>LOC100862557</v>
      </c>
      <c r="E3989" t="str">
        <f>HYPERLINK("J:\Depot - mpkCCD Fractions\Main Web Page\Web Pages_old\proteomic_fractions_linear_files/Yang_linear_img/377833375.jpg","show blot")</f>
        <v>show blot</v>
      </c>
      <c r="G3989" t="s">
        <v>3824</v>
      </c>
      <c r="I3989" s="6">
        <v>5.049654372832137</v>
      </c>
      <c r="K3989" s="8"/>
    </row>
    <row r="3990" spans="1:11" ht="15" x14ac:dyDescent="0.25">
      <c r="A3990" s="3" t="str">
        <f>HYPERLINK("proteomic_fractions_linear_files/Yang_linear_img/377833339.jpg", "377833339")</f>
        <v>377833339</v>
      </c>
      <c r="C3990" s="3" t="str">
        <f>HYPERLINK("http://www.ncbi.nlm.nih.gov/protein/377833339","LOC100862587")</f>
        <v>LOC100862587</v>
      </c>
      <c r="E3990" t="str">
        <f>HYPERLINK("J:\Depot - mpkCCD Fractions\Main Web Page\Web Pages_old\proteomic_fractions_linear_files/Yang_linear_img/377833339.jpg","show blot")</f>
        <v>show blot</v>
      </c>
      <c r="G3990" t="s">
        <v>2727</v>
      </c>
      <c r="I3990" s="6">
        <v>6.1833819262454011</v>
      </c>
      <c r="K3990" s="8"/>
    </row>
    <row r="3991" spans="1:11" ht="15" x14ac:dyDescent="0.25">
      <c r="A3991" s="3" t="str">
        <f>HYPERLINK("proteomic_fractions_linear_files/Yang_linear_img/377834331.jpg", "377834331")</f>
        <v>377834331</v>
      </c>
      <c r="C3991" s="3" t="str">
        <f>HYPERLINK("http://www.ncbi.nlm.nih.gov/protein/377834331","LOC100862604")</f>
        <v>LOC100862604</v>
      </c>
      <c r="E3991" t="str">
        <f>HYPERLINK("J:\Depot - mpkCCD Fractions\Main Web Page\Web Pages_old\proteomic_fractions_linear_files/Yang_linear_img/377834331.jpg","show blot")</f>
        <v>show blot</v>
      </c>
      <c r="G3991" t="s">
        <v>2836</v>
      </c>
      <c r="I3991" s="6">
        <v>6.2923854893133306</v>
      </c>
      <c r="K3991" s="8"/>
    </row>
    <row r="3992" spans="1:11" ht="15" x14ac:dyDescent="0.25">
      <c r="A3992" s="3" t="str">
        <f>HYPERLINK("proteomic_fractions_linear_files/Yang_linear_img/407262330.jpg", "407262330")</f>
        <v>407262330</v>
      </c>
      <c r="C3992" s="3" t="str">
        <f>HYPERLINK("http://www.ncbi.nlm.nih.gov/protein/407262330","LOC101055631")</f>
        <v>LOC101055631</v>
      </c>
      <c r="E3992" t="str">
        <f>HYPERLINK("J:\Depot - mpkCCD Fractions\Main Web Page\Web Pages_old\proteomic_fractions_linear_files/Yang_linear_img/407262330.jpg","show blot")</f>
        <v>show blot</v>
      </c>
      <c r="G3992" t="s">
        <v>3825</v>
      </c>
      <c r="I3992" s="6">
        <v>2.4220032186791629</v>
      </c>
      <c r="K3992" s="8"/>
    </row>
    <row r="3993" spans="1:11" ht="15" x14ac:dyDescent="0.25">
      <c r="A3993" s="3" t="str">
        <f>HYPERLINK("proteomic_fractions_linear_files/Yang_linear_img/407262230.jpg", "407262230")</f>
        <v>407262230</v>
      </c>
      <c r="C3993" s="3" t="str">
        <f>HYPERLINK("http://www.ncbi.nlm.nih.gov/protein/407262230","LOC101055659")</f>
        <v>LOC101055659</v>
      </c>
      <c r="E3993" t="str">
        <f>HYPERLINK("J:\Depot - mpkCCD Fractions\Main Web Page\Web Pages_old\proteomic_fractions_linear_files/Yang_linear_img/407262230.jpg","show blot")</f>
        <v>show blot</v>
      </c>
      <c r="G3993" t="s">
        <v>2869</v>
      </c>
      <c r="I3993" s="6">
        <v>5.1296124408229922</v>
      </c>
      <c r="K3993" s="8"/>
    </row>
    <row r="3994" spans="1:11" ht="15" x14ac:dyDescent="0.25">
      <c r="A3994" s="3" t="str">
        <f>HYPERLINK("proteomic_fractions_linear_files/Yang_linear_img/407261331.jpg", "407261331")</f>
        <v>407261331</v>
      </c>
      <c r="C3994" s="3" t="str">
        <f>HYPERLINK("http://www.ncbi.nlm.nih.gov/protein/407261331","LOC101055675")</f>
        <v>LOC101055675</v>
      </c>
      <c r="E3994" t="str">
        <f>HYPERLINK("J:\Depot - mpkCCD Fractions\Main Web Page\Web Pages_old\proteomic_fractions_linear_files/Yang_linear_img/407261331.jpg","show blot")</f>
        <v>show blot</v>
      </c>
      <c r="G3994" t="s">
        <v>3826</v>
      </c>
      <c r="I3994" s="6">
        <v>3.8703154791480845</v>
      </c>
      <c r="K3994" s="8"/>
    </row>
    <row r="3995" spans="1:11" ht="15" x14ac:dyDescent="0.25">
      <c r="A3995" s="3" t="str">
        <f>HYPERLINK("proteomic_fractions_linear_files/Yang_linear_img/407261069.jpg", "407261069")</f>
        <v>407261069</v>
      </c>
      <c r="C3995" s="3" t="str">
        <f>HYPERLINK("http://www.ncbi.nlm.nih.gov/protein/407261069","LOC101055744")</f>
        <v>LOC101055744</v>
      </c>
      <c r="E3995" t="str">
        <f>HYPERLINK("J:\Depot - mpkCCD Fractions\Main Web Page\Web Pages_old\proteomic_fractions_linear_files/Yang_linear_img/407261069.jpg","show blot")</f>
        <v>show blot</v>
      </c>
      <c r="G3995" t="s">
        <v>3827</v>
      </c>
      <c r="I3995" s="6">
        <v>6.552175230845906</v>
      </c>
      <c r="K3995" s="8"/>
    </row>
    <row r="3996" spans="1:11" ht="15" x14ac:dyDescent="0.25">
      <c r="A3996" s="3" t="str">
        <f>HYPERLINK("proteomic_fractions_linear_files/Yang_linear_img/407262437.jpg", "407262437")</f>
        <v>407262437</v>
      </c>
      <c r="C3996" s="3" t="str">
        <f>HYPERLINK("http://www.ncbi.nlm.nih.gov/protein/407262437","LOC101055749")</f>
        <v>LOC101055749</v>
      </c>
      <c r="E3996" t="str">
        <f>HYPERLINK("J:\Depot - mpkCCD Fractions\Main Web Page\Web Pages_old\proteomic_fractions_linear_files/Yang_linear_img/407262437.jpg","show blot")</f>
        <v>show blot</v>
      </c>
      <c r="G3996" t="s">
        <v>3828</v>
      </c>
      <c r="I3996" s="6">
        <v>6.1133209350462048</v>
      </c>
      <c r="K3996" s="8"/>
    </row>
    <row r="3997" spans="1:11" ht="15" x14ac:dyDescent="0.25">
      <c r="A3997" s="3" t="str">
        <f>HYPERLINK("proteomic_fractions_linear_files/Yang_linear_img/407264338.jpg", "407264338")</f>
        <v>407264338</v>
      </c>
      <c r="C3997" s="3" t="str">
        <f>HYPERLINK("http://www.ncbi.nlm.nih.gov/protein/407264338","LOC101055749")</f>
        <v>LOC101055749</v>
      </c>
      <c r="E3997" t="str">
        <f>HYPERLINK("J:\Depot - mpkCCD Fractions\Main Web Page\Web Pages_old\proteomic_fractions_linear_files/Yang_linear_img/407264338.jpg","show blot")</f>
        <v>show blot</v>
      </c>
      <c r="G3997" t="s">
        <v>3829</v>
      </c>
      <c r="I3997" s="6">
        <v>6.1133209350462048</v>
      </c>
      <c r="K3997" s="8"/>
    </row>
    <row r="3998" spans="1:11" ht="15" x14ac:dyDescent="0.25">
      <c r="A3998" s="3" t="str">
        <f>HYPERLINK("proteomic_fractions_linear_files/Yang_linear_img/407261248.jpg", "407261248")</f>
        <v>407261248</v>
      </c>
      <c r="C3998" s="3" t="str">
        <f>HYPERLINK("http://www.ncbi.nlm.nih.gov/protein/407261248","LOC101055761")</f>
        <v>LOC101055761</v>
      </c>
      <c r="E3998" t="str">
        <f>HYPERLINK("J:\Depot - mpkCCD Fractions\Main Web Page\Web Pages_old\proteomic_fractions_linear_files/Yang_linear_img/407261248.jpg","show blot")</f>
        <v>show blot</v>
      </c>
      <c r="G3998" t="s">
        <v>3830</v>
      </c>
      <c r="I3998" s="6">
        <v>5.3550821872878887</v>
      </c>
      <c r="K3998" s="8"/>
    </row>
    <row r="3999" spans="1:11" ht="15" x14ac:dyDescent="0.25">
      <c r="A3999" s="3" t="str">
        <f>HYPERLINK("proteomic_fractions_linear_files/Yang_linear_img/407261857.jpg", "407261857")</f>
        <v>407261857</v>
      </c>
      <c r="C3999" s="3" t="str">
        <f>HYPERLINK("http://www.ncbi.nlm.nih.gov/protein/407261857","LOC101055799")</f>
        <v>LOC101055799</v>
      </c>
      <c r="E3999" t="str">
        <f>HYPERLINK("J:\Depot - mpkCCD Fractions\Main Web Page\Web Pages_old\proteomic_fractions_linear_files/Yang_linear_img/407261857.jpg","show blot")</f>
        <v>show blot</v>
      </c>
      <c r="G3999" t="s">
        <v>2889</v>
      </c>
      <c r="I3999" s="6">
        <v>5.7643881056281874</v>
      </c>
      <c r="K3999" s="8"/>
    </row>
    <row r="4000" spans="1:11" ht="15" x14ac:dyDescent="0.25">
      <c r="A4000" s="3" t="str">
        <f>HYPERLINK("proteomic_fractions_linear_files/Yang_linear_img/407262441.jpg", "407262441")</f>
        <v>407262441</v>
      </c>
      <c r="C4000" s="3" t="str">
        <f>HYPERLINK("http://www.ncbi.nlm.nih.gov/protein/407262441","LOC101055815")</f>
        <v>LOC101055815</v>
      </c>
      <c r="E4000" t="str">
        <f>HYPERLINK("J:\Depot - mpkCCD Fractions\Main Web Page\Web Pages_old\proteomic_fractions_linear_files/Yang_linear_img/407262441.jpg","show blot")</f>
        <v>show blot</v>
      </c>
      <c r="G4000" t="s">
        <v>2824</v>
      </c>
      <c r="I4000" s="6">
        <v>5.5009514650185931</v>
      </c>
      <c r="K4000" s="8"/>
    </row>
    <row r="4001" spans="1:11" ht="15" x14ac:dyDescent="0.25">
      <c r="A4001" s="3" t="str">
        <f>HYPERLINK("proteomic_fractions_linear_files/Yang_linear_img/407262010.jpg", "407262010")</f>
        <v>407262010</v>
      </c>
      <c r="C4001" s="3" t="str">
        <f>HYPERLINK("http://www.ncbi.nlm.nih.gov/protein/407262010","LOC101055828")</f>
        <v>LOC101055828</v>
      </c>
      <c r="E4001" t="str">
        <f>HYPERLINK("J:\Depot - mpkCCD Fractions\Main Web Page\Web Pages_old\proteomic_fractions_linear_files/Yang_linear_img/407262010.jpg","show blot")</f>
        <v>show blot</v>
      </c>
      <c r="G4001" t="s">
        <v>3831</v>
      </c>
      <c r="I4001" s="6">
        <v>4.5175370099263468</v>
      </c>
      <c r="K4001" s="8"/>
    </row>
    <row r="4002" spans="1:11" ht="15" x14ac:dyDescent="0.25">
      <c r="A4002" s="3" t="str">
        <f>HYPERLINK("proteomic_fractions_linear_files/Yang_linear_img/407263825.jpg", "407263825")</f>
        <v>407263825</v>
      </c>
      <c r="C4002" s="3" t="str">
        <f>HYPERLINK("http://www.ncbi.nlm.nih.gov/protein/407263825","LOC101055828")</f>
        <v>LOC101055828</v>
      </c>
      <c r="E4002" t="str">
        <f>HYPERLINK("J:\Depot - mpkCCD Fractions\Main Web Page\Web Pages_old\proteomic_fractions_linear_files/Yang_linear_img/407263825.jpg","show blot")</f>
        <v>show blot</v>
      </c>
      <c r="G4002" t="s">
        <v>3831</v>
      </c>
      <c r="I4002" s="6">
        <v>4.5175370099263468</v>
      </c>
      <c r="K4002" s="8"/>
    </row>
    <row r="4003" spans="1:11" ht="15" x14ac:dyDescent="0.25">
      <c r="A4003" s="3" t="str">
        <f>HYPERLINK("proteomic_fractions_linear_files/Yang_linear_img/407260908.jpg", "407260908")</f>
        <v>407260908</v>
      </c>
      <c r="C4003" s="3" t="str">
        <f>HYPERLINK("http://www.ncbi.nlm.nih.gov/protein/407260908","LOC101055829")</f>
        <v>LOC101055829</v>
      </c>
      <c r="E4003" t="str">
        <f>HYPERLINK("J:\Depot - mpkCCD Fractions\Main Web Page\Web Pages_old\proteomic_fractions_linear_files/Yang_linear_img/407260908.jpg","show blot")</f>
        <v>show blot</v>
      </c>
      <c r="G4003" t="s">
        <v>2771</v>
      </c>
      <c r="I4003" s="6">
        <v>6.7481926808115702</v>
      </c>
      <c r="K4003" s="8"/>
    </row>
    <row r="4004" spans="1:11" ht="15" x14ac:dyDescent="0.25">
      <c r="A4004" s="3" t="str">
        <f>HYPERLINK("proteomic_fractions_linear_files/Yang_linear_img/407261194.jpg", "407261194")</f>
        <v>407261194</v>
      </c>
      <c r="C4004" s="3" t="str">
        <f>HYPERLINK("http://www.ncbi.nlm.nih.gov/protein/407261194","LOC101055843")</f>
        <v>LOC101055843</v>
      </c>
      <c r="E4004" t="str">
        <f>HYPERLINK("J:\Depot - mpkCCD Fractions\Main Web Page\Web Pages_old\proteomic_fractions_linear_files/Yang_linear_img/407261194.jpg","show blot")</f>
        <v>show blot</v>
      </c>
      <c r="G4004" t="s">
        <v>3832</v>
      </c>
      <c r="I4004" s="6">
        <v>5.2159754944951615</v>
      </c>
      <c r="K4004" s="8"/>
    </row>
    <row r="4005" spans="1:11" ht="15" x14ac:dyDescent="0.25">
      <c r="A4005" s="3" t="str">
        <f>HYPERLINK("proteomic_fractions_linear_files/Yang_linear_img/407262073.jpg", "407262073")</f>
        <v>407262073</v>
      </c>
      <c r="C4005" s="3" t="str">
        <f>HYPERLINK("http://www.ncbi.nlm.nih.gov/protein/407262073","LOC101055909")</f>
        <v>LOC101055909</v>
      </c>
      <c r="E4005" t="str">
        <f>HYPERLINK("J:\Depot - mpkCCD Fractions\Main Web Page\Web Pages_old\proteomic_fractions_linear_files/Yang_linear_img/407262073.jpg","show blot")</f>
        <v>show blot</v>
      </c>
      <c r="G4005" t="s">
        <v>3833</v>
      </c>
      <c r="I4005" s="6">
        <v>4.7176707236196274</v>
      </c>
      <c r="K4005" s="8"/>
    </row>
    <row r="4006" spans="1:11" ht="15" x14ac:dyDescent="0.25">
      <c r="A4006" s="3" t="str">
        <f>HYPERLINK("proteomic_fractions_linear_files/Yang_linear_img/407261941.jpg", "407261941")</f>
        <v>407261941</v>
      </c>
      <c r="C4006" s="3" t="str">
        <f>HYPERLINK("http://www.ncbi.nlm.nih.gov/protein/407261941","LOC101055913")</f>
        <v>LOC101055913</v>
      </c>
      <c r="E4006" t="str">
        <f>HYPERLINK("J:\Depot - mpkCCD Fractions\Main Web Page\Web Pages_old\proteomic_fractions_linear_files/Yang_linear_img/407261941.jpg","show blot")</f>
        <v>show blot</v>
      </c>
      <c r="G4006" t="s">
        <v>3834</v>
      </c>
      <c r="I4006" s="6">
        <v>4.3986230461421041</v>
      </c>
      <c r="K4006" s="8"/>
    </row>
    <row r="4007" spans="1:11" ht="15" x14ac:dyDescent="0.25">
      <c r="A4007" s="3" t="str">
        <f>HYPERLINK("proteomic_fractions_linear_files/Yang_linear_img/407262980.jpg", "407262980")</f>
        <v>407262980</v>
      </c>
      <c r="C4007" s="3" t="str">
        <f>HYPERLINK("http://www.ncbi.nlm.nih.gov/protein/407262980","LOC101055915")</f>
        <v>LOC101055915</v>
      </c>
      <c r="E4007" t="str">
        <f>HYPERLINK("J:\Depot - mpkCCD Fractions\Main Web Page\Web Pages_old\proteomic_fractions_linear_files/Yang_linear_img/407262980.jpg","show blot")</f>
        <v>show blot</v>
      </c>
      <c r="G4007" t="s">
        <v>3835</v>
      </c>
      <c r="I4007" s="6">
        <v>6.9335176895464343</v>
      </c>
      <c r="K4007" s="8"/>
    </row>
    <row r="4008" spans="1:11" ht="15" x14ac:dyDescent="0.25">
      <c r="A4008" s="3" t="str">
        <f>HYPERLINK("proteomic_fractions_linear_files/Yang_linear_img/407262455.jpg", "407262455")</f>
        <v>407262455</v>
      </c>
      <c r="C4008" s="3" t="str">
        <f>HYPERLINK("http://www.ncbi.nlm.nih.gov/protein/407262455","LOC101055925")</f>
        <v>LOC101055925</v>
      </c>
      <c r="E4008" t="str">
        <f>HYPERLINK("J:\Depot - mpkCCD Fractions\Main Web Page\Web Pages_old\proteomic_fractions_linear_files/Yang_linear_img/407262455.jpg","show blot")</f>
        <v>show blot</v>
      </c>
      <c r="G4008" t="s">
        <v>3836</v>
      </c>
      <c r="I4008" s="6">
        <v>6.6120292111318024</v>
      </c>
      <c r="K4008" s="8"/>
    </row>
    <row r="4009" spans="1:11" ht="15" x14ac:dyDescent="0.25">
      <c r="A4009" s="3" t="str">
        <f>HYPERLINK("proteomic_fractions_linear_files/Yang_linear_img/407262470.jpg", "407262470")</f>
        <v>407262470</v>
      </c>
      <c r="C4009" s="3" t="str">
        <f>HYPERLINK("http://www.ncbi.nlm.nih.gov/protein/407262470","LOC101055936")</f>
        <v>LOC101055936</v>
      </c>
      <c r="E4009" t="str">
        <f>HYPERLINK("J:\Depot - mpkCCD Fractions\Main Web Page\Web Pages_old\proteomic_fractions_linear_files/Yang_linear_img/407262470.jpg","show blot")</f>
        <v>show blot</v>
      </c>
      <c r="G4009" t="s">
        <v>2771</v>
      </c>
      <c r="I4009" s="6">
        <v>4.853048082094201</v>
      </c>
      <c r="K4009" s="8"/>
    </row>
    <row r="4010" spans="1:11" ht="15" x14ac:dyDescent="0.25">
      <c r="A4010" s="3" t="str">
        <f>HYPERLINK("proteomic_fractions_linear_files/Yang_linear_img/407264353.jpg", "407264353")</f>
        <v>407264353</v>
      </c>
      <c r="C4010" s="3" t="str">
        <f>HYPERLINK("http://www.ncbi.nlm.nih.gov/protein/407264353","LOC101055936")</f>
        <v>LOC101055936</v>
      </c>
      <c r="E4010" t="str">
        <f>HYPERLINK("J:\Depot - mpkCCD Fractions\Main Web Page\Web Pages_old\proteomic_fractions_linear_files/Yang_linear_img/407264353.jpg","show blot")</f>
        <v>show blot</v>
      </c>
      <c r="G4010" t="s">
        <v>2771</v>
      </c>
      <c r="I4010" s="6">
        <v>4.853048082094201</v>
      </c>
      <c r="K4010" s="8"/>
    </row>
    <row r="4011" spans="1:11" ht="15" x14ac:dyDescent="0.25">
      <c r="A4011" s="3" t="str">
        <f>HYPERLINK("proteomic_fractions_linear_files/Yang_linear_img/407261474.jpg", "407261474")</f>
        <v>407261474</v>
      </c>
      <c r="C4011" s="3" t="str">
        <f>HYPERLINK("http://www.ncbi.nlm.nih.gov/protein/407261474","LOC101055953")</f>
        <v>LOC101055953</v>
      </c>
      <c r="E4011" t="str">
        <f>HYPERLINK("J:\Depot - mpkCCD Fractions\Main Web Page\Web Pages_old\proteomic_fractions_linear_files/Yang_linear_img/407261474.jpg","show blot")</f>
        <v>show blot</v>
      </c>
      <c r="G4011" t="s">
        <v>3837</v>
      </c>
      <c r="I4011" s="6">
        <v>4.5333843542213996</v>
      </c>
      <c r="K4011" s="8"/>
    </row>
    <row r="4012" spans="1:11" ht="15" x14ac:dyDescent="0.25">
      <c r="A4012" s="3" t="str">
        <f>HYPERLINK("proteomic_fractions_linear_files/Yang_linear_img/407264058.jpg", "407264058")</f>
        <v>407264058</v>
      </c>
      <c r="C4012" s="3" t="str">
        <f>HYPERLINK("http://www.ncbi.nlm.nih.gov/protein/407264058","LOC101055956")</f>
        <v>LOC101055956</v>
      </c>
      <c r="E4012" t="str">
        <f>HYPERLINK("J:\Depot - mpkCCD Fractions\Main Web Page\Web Pages_old\proteomic_fractions_linear_files/Yang_linear_img/407264058.jpg","show blot")</f>
        <v>show blot</v>
      </c>
      <c r="G4012" t="s">
        <v>3838</v>
      </c>
      <c r="I4012" s="6">
        <v>5.681640399892478</v>
      </c>
      <c r="K4012" s="8"/>
    </row>
    <row r="4013" spans="1:11" ht="15" x14ac:dyDescent="0.25">
      <c r="A4013" s="3" t="str">
        <f>HYPERLINK("proteomic_fractions_linear_files/Yang_linear_img/407262130.jpg", "407262130")</f>
        <v>407262130</v>
      </c>
      <c r="C4013" s="3" t="str">
        <f>HYPERLINK("http://www.ncbi.nlm.nih.gov/protein/407262130","LOC101056029")</f>
        <v>LOC101056029</v>
      </c>
      <c r="E4013" t="str">
        <f>HYPERLINK("J:\Depot - mpkCCD Fractions\Main Web Page\Web Pages_old\proteomic_fractions_linear_files/Yang_linear_img/407262130.jpg","show blot")</f>
        <v>show blot</v>
      </c>
      <c r="G4013" t="s">
        <v>2823</v>
      </c>
      <c r="I4013" s="6">
        <v>6.7356579817283624</v>
      </c>
      <c r="K4013" s="8"/>
    </row>
    <row r="4014" spans="1:11" ht="15" x14ac:dyDescent="0.25">
      <c r="A4014" s="3" t="str">
        <f>HYPERLINK("proteomic_fractions_linear_files/Yang_linear_img/407264033.jpg", "407264033")</f>
        <v>407264033</v>
      </c>
      <c r="C4014" s="3" t="str">
        <f>HYPERLINK("http://www.ncbi.nlm.nih.gov/protein/407264033","LOC101056029")</f>
        <v>LOC101056029</v>
      </c>
      <c r="E4014" t="str">
        <f>HYPERLINK("J:\Depot - mpkCCD Fractions\Main Web Page\Web Pages_old\proteomic_fractions_linear_files/Yang_linear_img/407264033.jpg","show blot")</f>
        <v>show blot</v>
      </c>
      <c r="G4014" t="s">
        <v>2823</v>
      </c>
      <c r="I4014" s="6">
        <v>6.7356579817283624</v>
      </c>
      <c r="K4014" s="8"/>
    </row>
    <row r="4015" spans="1:11" ht="15" x14ac:dyDescent="0.25">
      <c r="A4015" s="3" t="str">
        <f>HYPERLINK("proteomic_fractions_linear_files/Yang_linear_img/407261723.jpg", "407261723")</f>
        <v>407261723</v>
      </c>
      <c r="C4015" s="3" t="str">
        <f>HYPERLINK("http://www.ncbi.nlm.nih.gov/protein/407261723","LOC101056044")</f>
        <v>LOC101056044</v>
      </c>
      <c r="E4015" t="str">
        <f>HYPERLINK("J:\Depot - mpkCCD Fractions\Main Web Page\Web Pages_old\proteomic_fractions_linear_files/Yang_linear_img/407261723.jpg","show blot")</f>
        <v>show blot</v>
      </c>
      <c r="G4015" t="s">
        <v>3839</v>
      </c>
      <c r="I4015" s="6">
        <v>5.7915234559075923</v>
      </c>
      <c r="K4015" s="8"/>
    </row>
    <row r="4016" spans="1:11" ht="15" x14ac:dyDescent="0.25">
      <c r="A4016" s="3" t="str">
        <f>HYPERLINK("proteomic_fractions_linear_files/Yang_linear_img/407262307.jpg", "407262307")</f>
        <v>407262307</v>
      </c>
      <c r="C4016" s="3" t="str">
        <f>HYPERLINK("http://www.ncbi.nlm.nih.gov/protein/407262307","LOC101056061")</f>
        <v>LOC101056061</v>
      </c>
      <c r="E4016" t="str">
        <f>HYPERLINK("J:\Depot - mpkCCD Fractions\Main Web Page\Web Pages_old\proteomic_fractions_linear_files/Yang_linear_img/407262307.jpg","show blot")</f>
        <v>show blot</v>
      </c>
      <c r="G4016" t="s">
        <v>3840</v>
      </c>
      <c r="I4016" s="6">
        <v>5.7357768529546789</v>
      </c>
      <c r="K4016" s="8"/>
    </row>
    <row r="4017" spans="1:11" ht="15" x14ac:dyDescent="0.25">
      <c r="A4017" s="3" t="str">
        <f>HYPERLINK("proteomic_fractions_linear_files/Yang_linear_img/407263189.jpg", "407263189")</f>
        <v>407263189</v>
      </c>
      <c r="C4017" s="3" t="str">
        <f>HYPERLINK("http://www.ncbi.nlm.nih.gov/protein/407263189","LOC101056102")</f>
        <v>LOC101056102</v>
      </c>
      <c r="E4017" t="str">
        <f>HYPERLINK("J:\Depot - mpkCCD Fractions\Main Web Page\Web Pages_old\proteomic_fractions_linear_files/Yang_linear_img/407263189.jpg","show blot")</f>
        <v>show blot</v>
      </c>
      <c r="G4017" t="s">
        <v>3841</v>
      </c>
      <c r="I4017" s="6">
        <v>4.5422440230070533</v>
      </c>
      <c r="K4017" s="8"/>
    </row>
    <row r="4018" spans="1:11" ht="15" x14ac:dyDescent="0.25">
      <c r="A4018" s="3" t="str">
        <f>HYPERLINK("proteomic_fractions_linear_files/Yang_linear_img/407261583.jpg", "407261583")</f>
        <v>407261583</v>
      </c>
      <c r="C4018" s="3" t="str">
        <f>HYPERLINK("http://www.ncbi.nlm.nih.gov/protein/407261583","LOC101056128")</f>
        <v>LOC101056128</v>
      </c>
      <c r="E4018" t="str">
        <f>HYPERLINK("J:\Depot - mpkCCD Fractions\Main Web Page\Web Pages_old\proteomic_fractions_linear_files/Yang_linear_img/407261583.jpg","show blot")</f>
        <v>show blot</v>
      </c>
      <c r="G4018" t="s">
        <v>3842</v>
      </c>
      <c r="I4018" s="6">
        <v>4.2042643955081767</v>
      </c>
      <c r="K4018" s="8"/>
    </row>
    <row r="4019" spans="1:11" ht="15" x14ac:dyDescent="0.25">
      <c r="A4019" s="3" t="str">
        <f>HYPERLINK("proteomic_fractions_linear_files/Yang_linear_img/407262373.jpg", "407262373")</f>
        <v>407262373</v>
      </c>
      <c r="C4019" s="3" t="str">
        <f>HYPERLINK("http://www.ncbi.nlm.nih.gov/protein/407262373","LOC101056140")</f>
        <v>LOC101056140</v>
      </c>
      <c r="E4019" t="str">
        <f>HYPERLINK("J:\Depot - mpkCCD Fractions\Main Web Page\Web Pages_old\proteomic_fractions_linear_files/Yang_linear_img/407262373.jpg","show blot")</f>
        <v>show blot</v>
      </c>
      <c r="G4019" t="s">
        <v>3843</v>
      </c>
      <c r="I4019" s="6">
        <v>6.3462856128936496</v>
      </c>
      <c r="K4019" s="8"/>
    </row>
    <row r="4020" spans="1:11" ht="15" x14ac:dyDescent="0.25">
      <c r="A4020" s="3" t="str">
        <f>HYPERLINK("proteomic_fractions_linear_files/Yang_linear_img/407264228.jpg", "407264228")</f>
        <v>407264228</v>
      </c>
      <c r="C4020" s="3" t="str">
        <f>HYPERLINK("http://www.ncbi.nlm.nih.gov/protein/407264228","LOC101056140")</f>
        <v>LOC101056140</v>
      </c>
      <c r="E4020" t="str">
        <f>HYPERLINK("J:\Depot - mpkCCD Fractions\Main Web Page\Web Pages_old\proteomic_fractions_linear_files/Yang_linear_img/407264228.jpg","show blot")</f>
        <v>show blot</v>
      </c>
      <c r="G4020" t="s">
        <v>3844</v>
      </c>
      <c r="I4020" s="6">
        <v>6.3462856128936496</v>
      </c>
      <c r="K4020" s="8"/>
    </row>
    <row r="4021" spans="1:11" ht="15" x14ac:dyDescent="0.25">
      <c r="A4021" s="3" t="str">
        <f>HYPERLINK("proteomic_fractions_linear_files/Yang_linear_img/407261282.jpg", "407261282")</f>
        <v>407261282</v>
      </c>
      <c r="C4021" s="3" t="str">
        <f>HYPERLINK("http://www.ncbi.nlm.nih.gov/protein/407261282","LOC101056154")</f>
        <v>LOC101056154</v>
      </c>
      <c r="E4021" t="str">
        <f>HYPERLINK("J:\Depot - mpkCCD Fractions\Main Web Page\Web Pages_old\proteomic_fractions_linear_files/Yang_linear_img/407261282.jpg","show blot")</f>
        <v>show blot</v>
      </c>
      <c r="G4021" t="s">
        <v>2741</v>
      </c>
      <c r="I4021" s="6">
        <v>5.6034260743149789</v>
      </c>
      <c r="K4021" s="8"/>
    </row>
    <row r="4022" spans="1:11" ht="15" x14ac:dyDescent="0.25">
      <c r="A4022" s="3" t="str">
        <f>HYPERLINK("proteomic_fractions_linear_files/Yang_linear_img/407263193.jpg", "407263193")</f>
        <v>407263193</v>
      </c>
      <c r="C4022" s="3" t="str">
        <f>HYPERLINK("http://www.ncbi.nlm.nih.gov/protein/407263193","LOC101056154")</f>
        <v>LOC101056154</v>
      </c>
      <c r="E4022" t="str">
        <f>HYPERLINK("J:\Depot - mpkCCD Fractions\Main Web Page\Web Pages_old\proteomic_fractions_linear_files/Yang_linear_img/407263193.jpg","show blot")</f>
        <v>show blot</v>
      </c>
      <c r="G4022" t="s">
        <v>2741</v>
      </c>
      <c r="I4022" s="6">
        <v>5.6034260743149789</v>
      </c>
      <c r="K4022" s="8"/>
    </row>
    <row r="4023" spans="1:11" ht="15" x14ac:dyDescent="0.25">
      <c r="A4023" s="3" t="str">
        <f>HYPERLINK("proteomic_fractions_linear_files/Yang_linear_img/407263038.jpg", "407263038")</f>
        <v>407263038</v>
      </c>
      <c r="C4023" s="3" t="str">
        <f>HYPERLINK("http://www.ncbi.nlm.nih.gov/protein/407263038","LOC101056241")</f>
        <v>LOC101056241</v>
      </c>
      <c r="E4023" t="str">
        <f>HYPERLINK("J:\Depot - mpkCCD Fractions\Main Web Page\Web Pages_old\proteomic_fractions_linear_files/Yang_linear_img/407263038.jpg","show blot")</f>
        <v>show blot</v>
      </c>
      <c r="G4023" t="s">
        <v>3845</v>
      </c>
      <c r="I4023" s="6">
        <v>4.02557729122673</v>
      </c>
      <c r="K4023" s="8"/>
    </row>
    <row r="4024" spans="1:11" ht="15" x14ac:dyDescent="0.25">
      <c r="A4024" s="3" t="str">
        <f>HYPERLINK("proteomic_fractions_linear_files/Yang_linear_img/407261825.jpg", "407261825")</f>
        <v>407261825</v>
      </c>
      <c r="C4024" s="3" t="str">
        <f>HYPERLINK("http://www.ncbi.nlm.nih.gov/protein/407261825","LOC101056244")</f>
        <v>LOC101056244</v>
      </c>
      <c r="E4024" t="str">
        <f>HYPERLINK("J:\Depot - mpkCCD Fractions\Main Web Page\Web Pages_old\proteomic_fractions_linear_files/Yang_linear_img/407261825.jpg","show blot")</f>
        <v>show blot</v>
      </c>
      <c r="G4024" t="s">
        <v>3846</v>
      </c>
      <c r="I4024" s="6">
        <v>3.9154890560586706</v>
      </c>
      <c r="K4024" s="8"/>
    </row>
    <row r="4025" spans="1:11" ht="15" x14ac:dyDescent="0.25">
      <c r="A4025" s="3" t="str">
        <f>HYPERLINK("proteomic_fractions_linear_files/Yang_linear_img/407261113.jpg", "407261113")</f>
        <v>407261113</v>
      </c>
      <c r="C4025" s="3" t="str">
        <f>HYPERLINK("http://www.ncbi.nlm.nih.gov/protein/407261113","LOC101056341")</f>
        <v>LOC101056341</v>
      </c>
      <c r="E4025" t="str">
        <f>HYPERLINK("J:\Depot - mpkCCD Fractions\Main Web Page\Web Pages_old\proteomic_fractions_linear_files/Yang_linear_img/407261113.jpg","show blot")</f>
        <v>show blot</v>
      </c>
      <c r="G4025" t="s">
        <v>3847</v>
      </c>
      <c r="I4025" s="6">
        <v>7.6433626289633958</v>
      </c>
      <c r="K4025" s="8"/>
    </row>
    <row r="4026" spans="1:11" ht="15" x14ac:dyDescent="0.25">
      <c r="A4026" s="3" t="str">
        <f>HYPERLINK("proteomic_fractions_linear_files/Yang_linear_img/407262753.jpg", "407262753")</f>
        <v>407262753</v>
      </c>
      <c r="C4026" s="3" t="str">
        <f>HYPERLINK("http://www.ncbi.nlm.nih.gov/protein/407262753","LOC101056348")</f>
        <v>LOC101056348</v>
      </c>
      <c r="E4026" t="str">
        <f>HYPERLINK("J:\Depot - mpkCCD Fractions\Main Web Page\Web Pages_old\proteomic_fractions_linear_files/Yang_linear_img/407262753.jpg","show blot")</f>
        <v>show blot</v>
      </c>
      <c r="G4026" t="s">
        <v>3848</v>
      </c>
      <c r="I4026" s="6">
        <v>4.8971038125250477</v>
      </c>
      <c r="K4026" s="8"/>
    </row>
    <row r="4027" spans="1:11" ht="15" x14ac:dyDescent="0.25">
      <c r="A4027" s="3" t="str">
        <f>HYPERLINK("proteomic_fractions_linear_files/Yang_linear_img/407261656.jpg", "407261656")</f>
        <v>407261656</v>
      </c>
      <c r="C4027" s="3" t="str">
        <f>HYPERLINK("http://www.ncbi.nlm.nih.gov/protein/407261656","LOC101056352")</f>
        <v>LOC101056352</v>
      </c>
      <c r="E4027" t="str">
        <f>HYPERLINK("J:\Depot - mpkCCD Fractions\Main Web Page\Web Pages_old\proteomic_fractions_linear_files/Yang_linear_img/407261656.jpg","show blot")</f>
        <v>show blot</v>
      </c>
      <c r="G4027" t="s">
        <v>3849</v>
      </c>
      <c r="I4027" s="6">
        <v>5.771594092512065</v>
      </c>
      <c r="K4027" s="8"/>
    </row>
    <row r="4028" spans="1:11" ht="15" x14ac:dyDescent="0.25">
      <c r="A4028" s="3" t="str">
        <f>HYPERLINK("proteomic_fractions_linear_files/Yang_linear_img/407262207.jpg", "407262207")</f>
        <v>407262207</v>
      </c>
      <c r="C4028" s="3" t="str">
        <f>HYPERLINK("http://www.ncbi.nlm.nih.gov/protein/407262207","LOC101056365")</f>
        <v>LOC101056365</v>
      </c>
      <c r="E4028" t="str">
        <f>HYPERLINK("J:\Depot - mpkCCD Fractions\Main Web Page\Web Pages_old\proteomic_fractions_linear_files/Yang_linear_img/407262207.jpg","show blot")</f>
        <v>show blot</v>
      </c>
      <c r="G4028" t="s">
        <v>3850</v>
      </c>
      <c r="I4028" s="6">
        <v>6.3331088607243808</v>
      </c>
      <c r="K4028" s="8"/>
    </row>
    <row r="4029" spans="1:11" ht="15" x14ac:dyDescent="0.25">
      <c r="A4029" s="3" t="str">
        <f>HYPERLINK("proteomic_fractions_linear_files/Yang_linear_img/407262376.jpg", "407262376")</f>
        <v>407262376</v>
      </c>
      <c r="C4029" s="3" t="str">
        <f>HYPERLINK("http://www.ncbi.nlm.nih.gov/protein/407262376","LOC101056370")</f>
        <v>LOC101056370</v>
      </c>
      <c r="E4029" t="str">
        <f>HYPERLINK("J:\Depot - mpkCCD Fractions\Main Web Page\Web Pages_old\proteomic_fractions_linear_files/Yang_linear_img/407262376.jpg","show blot")</f>
        <v>show blot</v>
      </c>
      <c r="G4029" t="s">
        <v>3851</v>
      </c>
      <c r="I4029" s="6">
        <v>6.5112744176893864</v>
      </c>
      <c r="K4029" s="8"/>
    </row>
    <row r="4030" spans="1:11" ht="15" x14ac:dyDescent="0.25">
      <c r="A4030" s="3" t="str">
        <f>HYPERLINK("proteomic_fractions_linear_files/Yang_linear_img/407261123.jpg", "407261123")</f>
        <v>407261123</v>
      </c>
      <c r="C4030" s="3" t="str">
        <f>HYPERLINK("http://www.ncbi.nlm.nih.gov/protein/407261123","LOC101056383")</f>
        <v>LOC101056383</v>
      </c>
      <c r="E4030" t="str">
        <f>HYPERLINK("J:\Depot - mpkCCD Fractions\Main Web Page\Web Pages_old\proteomic_fractions_linear_files/Yang_linear_img/407261123.jpg","show blot")</f>
        <v>show blot</v>
      </c>
      <c r="G4030" t="s">
        <v>3845</v>
      </c>
      <c r="I4030" s="6">
        <v>4.1047585372743542</v>
      </c>
      <c r="K4030" s="8"/>
    </row>
    <row r="4031" spans="1:11" ht="15" x14ac:dyDescent="0.25">
      <c r="A4031" s="3" t="str">
        <f>HYPERLINK("proteomic_fractions_linear_files/Yang_linear_img/407261888.jpg", "407261888")</f>
        <v>407261888</v>
      </c>
      <c r="C4031" s="3" t="str">
        <f>HYPERLINK("http://www.ncbi.nlm.nih.gov/protein/407261888","LOC101056386")</f>
        <v>LOC101056386</v>
      </c>
      <c r="E4031" t="str">
        <f>HYPERLINK("J:\Depot - mpkCCD Fractions\Main Web Page\Web Pages_old\proteomic_fractions_linear_files/Yang_linear_img/407261888.jpg","show blot")</f>
        <v>show blot</v>
      </c>
      <c r="G4031" t="s">
        <v>2780</v>
      </c>
      <c r="I4031" s="6">
        <v>6.9588950345639722</v>
      </c>
      <c r="K4031" s="8"/>
    </row>
    <row r="4032" spans="1:11" ht="15" x14ac:dyDescent="0.25">
      <c r="A4032" s="3" t="str">
        <f>HYPERLINK("proteomic_fractions_linear_files/Yang_linear_img/407260886.jpg", "407260886")</f>
        <v>407260886</v>
      </c>
      <c r="C4032" s="3" t="str">
        <f>HYPERLINK("http://www.ncbi.nlm.nih.gov/protein/407260886","LOC101056391")</f>
        <v>LOC101056391</v>
      </c>
      <c r="E4032" t="str">
        <f>HYPERLINK("J:\Depot - mpkCCD Fractions\Main Web Page\Web Pages_old\proteomic_fractions_linear_files/Yang_linear_img/407260886.jpg","show blot")</f>
        <v>show blot</v>
      </c>
      <c r="G4032" t="s">
        <v>3852</v>
      </c>
      <c r="I4032" s="6">
        <v>4.5115838747926418</v>
      </c>
      <c r="K4032" s="8"/>
    </row>
    <row r="4033" spans="1:11" ht="15" x14ac:dyDescent="0.25">
      <c r="A4033" s="3" t="str">
        <f>HYPERLINK("proteomic_fractions_linear_files/Yang_linear_img/407261870;31543471.jpg", "407261870;31543471")</f>
        <v>407261870;31543471</v>
      </c>
      <c r="C4033" s="3" t="str">
        <f>HYPERLINK("http://www.ncbi.nlm.nih.gov/protein/407261870;31543471","LOC101056392")</f>
        <v>LOC101056392</v>
      </c>
      <c r="E4033" t="str">
        <f>HYPERLINK("J:\Depot - mpkCCD Fractions\Main Web Page\Web Pages_old\proteomic_fractions_linear_files/Yang_linear_img/407261870;31543471.jpg","show blot")</f>
        <v>show blot</v>
      </c>
      <c r="G4033" t="s">
        <v>3853</v>
      </c>
      <c r="I4033" s="6">
        <v>2.6132650694912996</v>
      </c>
      <c r="K4033" s="8"/>
    </row>
    <row r="4034" spans="1:11" ht="15" x14ac:dyDescent="0.25">
      <c r="A4034" s="3" t="str">
        <f>HYPERLINK("proteomic_fractions_linear_files/Yang_linear_img/407262029.jpg", "407262029")</f>
        <v>407262029</v>
      </c>
      <c r="C4034" s="3" t="str">
        <f>HYPERLINK("http://www.ncbi.nlm.nih.gov/protein/407262029","LOC101056437")</f>
        <v>LOC101056437</v>
      </c>
      <c r="E4034" t="str">
        <f>HYPERLINK("J:\Depot - mpkCCD Fractions\Main Web Page\Web Pages_old\proteomic_fractions_linear_files/Yang_linear_img/407262029.jpg","show blot")</f>
        <v>show blot</v>
      </c>
      <c r="G4034" t="s">
        <v>3854</v>
      </c>
      <c r="I4034" s="6">
        <v>5.3041802544086654</v>
      </c>
      <c r="K4034" s="8"/>
    </row>
    <row r="4035" spans="1:11" ht="15" x14ac:dyDescent="0.25">
      <c r="A4035" s="3" t="str">
        <f>HYPERLINK("proteomic_fractions_linear_files/Yang_linear_img/407262314.jpg", "407262314")</f>
        <v>407262314</v>
      </c>
      <c r="C4035" s="3" t="str">
        <f>HYPERLINK("http://www.ncbi.nlm.nih.gov/protein/407262314","LOC101056444")</f>
        <v>LOC101056444</v>
      </c>
      <c r="E4035" t="str">
        <f>HYPERLINK("J:\Depot - mpkCCD Fractions\Main Web Page\Web Pages_old\proteomic_fractions_linear_files/Yang_linear_img/407262314.jpg","show blot")</f>
        <v>show blot</v>
      </c>
      <c r="G4035" t="s">
        <v>3855</v>
      </c>
      <c r="I4035" s="6">
        <v>7.2932320595680773</v>
      </c>
      <c r="K4035" s="8"/>
    </row>
    <row r="4036" spans="1:11" ht="15" x14ac:dyDescent="0.25">
      <c r="A4036" s="3" t="str">
        <f>HYPERLINK("proteomic_fractions_linear_files/Yang_linear_img/407262619.jpg", "407262619")</f>
        <v>407262619</v>
      </c>
      <c r="C4036" s="3" t="str">
        <f>HYPERLINK("http://www.ncbi.nlm.nih.gov/protein/407262619","LOC101056446")</f>
        <v>LOC101056446</v>
      </c>
      <c r="E4036" t="str">
        <f>HYPERLINK("J:\Depot - mpkCCD Fractions\Main Web Page\Web Pages_old\proteomic_fractions_linear_files/Yang_linear_img/407262619.jpg","show blot")</f>
        <v>show blot</v>
      </c>
      <c r="G4036" t="s">
        <v>3856</v>
      </c>
      <c r="I4036" s="6">
        <v>4.3419777307299103</v>
      </c>
      <c r="K4036" s="8"/>
    </row>
    <row r="4037" spans="1:11" ht="15" x14ac:dyDescent="0.25">
      <c r="A4037" s="3" t="str">
        <f>HYPERLINK("proteomic_fractions_linear_files/Yang_linear_img/407262621.jpg", "407262621")</f>
        <v>407262621</v>
      </c>
      <c r="C4037" s="3" t="str">
        <f>HYPERLINK("http://www.ncbi.nlm.nih.gov/protein/407262621","LOC101056446")</f>
        <v>LOC101056446</v>
      </c>
      <c r="E4037" t="str">
        <f>HYPERLINK("J:\Depot - mpkCCD Fractions\Main Web Page\Web Pages_old\proteomic_fractions_linear_files/Yang_linear_img/407262621.jpg","show blot")</f>
        <v>show blot</v>
      </c>
      <c r="G4037" t="s">
        <v>3857</v>
      </c>
      <c r="I4037" s="6">
        <v>4.3419777307299103</v>
      </c>
      <c r="K4037" s="8"/>
    </row>
    <row r="4038" spans="1:11" ht="15" x14ac:dyDescent="0.25">
      <c r="A4038" s="3" t="str">
        <f>HYPERLINK("proteomic_fractions_linear_files/Yang_linear_img/407262603.jpg", "407262603")</f>
        <v>407262603</v>
      </c>
      <c r="C4038" s="3" t="str">
        <f>HYPERLINK("http://www.ncbi.nlm.nih.gov/protein/407262603","LOC101056446")</f>
        <v>LOC101056446</v>
      </c>
      <c r="E4038" t="str">
        <f>HYPERLINK("J:\Depot - mpkCCD Fractions\Main Web Page\Web Pages_old\proteomic_fractions_linear_files/Yang_linear_img/407262603.jpg","show blot")</f>
        <v>show blot</v>
      </c>
      <c r="G4038" t="s">
        <v>3858</v>
      </c>
      <c r="I4038" s="6">
        <v>4.3419777307299103</v>
      </c>
      <c r="K4038" s="8"/>
    </row>
    <row r="4039" spans="1:11" ht="15" x14ac:dyDescent="0.25">
      <c r="A4039" s="3" t="str">
        <f>HYPERLINK("proteomic_fractions_linear_files/Yang_linear_img/407262605.jpg", "407262605")</f>
        <v>407262605</v>
      </c>
      <c r="C4039" s="3" t="str">
        <f>HYPERLINK("http://www.ncbi.nlm.nih.gov/protein/407262605","LOC101056446")</f>
        <v>LOC101056446</v>
      </c>
      <c r="E4039" t="str">
        <f>HYPERLINK("J:\Depot - mpkCCD Fractions\Main Web Page\Web Pages_old\proteomic_fractions_linear_files/Yang_linear_img/407262605.jpg","show blot")</f>
        <v>show blot</v>
      </c>
      <c r="G4039" t="s">
        <v>3859</v>
      </c>
      <c r="I4039" s="6">
        <v>4.3419777307299103</v>
      </c>
      <c r="K4039" s="8"/>
    </row>
    <row r="4040" spans="1:11" ht="15" x14ac:dyDescent="0.25">
      <c r="A4040" s="3" t="str">
        <f>HYPERLINK("proteomic_fractions_linear_files/Yang_linear_img/407262607.jpg", "407262607")</f>
        <v>407262607</v>
      </c>
      <c r="C4040" s="3" t="str">
        <f>HYPERLINK("http://www.ncbi.nlm.nih.gov/protein/407262607","LOC101056446")</f>
        <v>LOC101056446</v>
      </c>
      <c r="E4040" t="str">
        <f>HYPERLINK("J:\Depot - mpkCCD Fractions\Main Web Page\Web Pages_old\proteomic_fractions_linear_files/Yang_linear_img/407262607.jpg","show blot")</f>
        <v>show blot</v>
      </c>
      <c r="G4040" t="s">
        <v>3860</v>
      </c>
      <c r="I4040" s="6">
        <v>4.3419777307299103</v>
      </c>
      <c r="K4040" s="8"/>
    </row>
    <row r="4041" spans="1:11" ht="15" x14ac:dyDescent="0.25">
      <c r="A4041" s="3" t="str">
        <f>HYPERLINK("proteomic_fractions_linear_files/Yang_linear_img/407262609.jpg", "407262609")</f>
        <v>407262609</v>
      </c>
      <c r="C4041" s="3" t="str">
        <f>HYPERLINK("http://www.ncbi.nlm.nih.gov/protein/407262609","LOC101056446")</f>
        <v>LOC101056446</v>
      </c>
      <c r="E4041" t="str">
        <f>HYPERLINK("J:\Depot - mpkCCD Fractions\Main Web Page\Web Pages_old\proteomic_fractions_linear_files/Yang_linear_img/407262609.jpg","show blot")</f>
        <v>show blot</v>
      </c>
      <c r="G4041" t="s">
        <v>3861</v>
      </c>
      <c r="I4041" s="6">
        <v>4.3419777307299103</v>
      </c>
      <c r="K4041" s="8"/>
    </row>
    <row r="4042" spans="1:11" ht="15" x14ac:dyDescent="0.25">
      <c r="A4042" s="3" t="str">
        <f>HYPERLINK("proteomic_fractions_linear_files/Yang_linear_img/407262611.jpg", "407262611")</f>
        <v>407262611</v>
      </c>
      <c r="C4042" s="3" t="str">
        <f>HYPERLINK("http://www.ncbi.nlm.nih.gov/protein/407262611","LOC101056446")</f>
        <v>LOC101056446</v>
      </c>
      <c r="E4042" t="str">
        <f>HYPERLINK("J:\Depot - mpkCCD Fractions\Main Web Page\Web Pages_old\proteomic_fractions_linear_files/Yang_linear_img/407262611.jpg","show blot")</f>
        <v>show blot</v>
      </c>
      <c r="G4042" t="s">
        <v>3862</v>
      </c>
      <c r="I4042" s="6">
        <v>4.3419777307299103</v>
      </c>
      <c r="K4042" s="8"/>
    </row>
    <row r="4043" spans="1:11" ht="15" x14ac:dyDescent="0.25">
      <c r="A4043" s="3" t="str">
        <f>HYPERLINK("proteomic_fractions_linear_files/Yang_linear_img/407262613.jpg", "407262613")</f>
        <v>407262613</v>
      </c>
      <c r="C4043" s="3" t="str">
        <f>HYPERLINK("http://www.ncbi.nlm.nih.gov/protein/407262613","LOC101056446")</f>
        <v>LOC101056446</v>
      </c>
      <c r="E4043" t="str">
        <f>HYPERLINK("J:\Depot - mpkCCD Fractions\Main Web Page\Web Pages_old\proteomic_fractions_linear_files/Yang_linear_img/407262613.jpg","show blot")</f>
        <v>show blot</v>
      </c>
      <c r="G4043" t="s">
        <v>3863</v>
      </c>
      <c r="I4043" s="6">
        <v>4.3419777307299103</v>
      </c>
      <c r="K4043" s="8"/>
    </row>
    <row r="4044" spans="1:11" ht="15" x14ac:dyDescent="0.25">
      <c r="A4044" s="3" t="str">
        <f>HYPERLINK("proteomic_fractions_linear_files/Yang_linear_img/407262615.jpg", "407262615")</f>
        <v>407262615</v>
      </c>
      <c r="C4044" s="3" t="str">
        <f>HYPERLINK("http://www.ncbi.nlm.nih.gov/protein/407262615","LOC101056446")</f>
        <v>LOC101056446</v>
      </c>
      <c r="E4044" t="str">
        <f>HYPERLINK("J:\Depot - mpkCCD Fractions\Main Web Page\Web Pages_old\proteomic_fractions_linear_files/Yang_linear_img/407262615.jpg","show blot")</f>
        <v>show blot</v>
      </c>
      <c r="G4044" t="s">
        <v>3864</v>
      </c>
      <c r="I4044" s="6">
        <v>4.3419777307299103</v>
      </c>
      <c r="K4044" s="8"/>
    </row>
    <row r="4045" spans="1:11" ht="15" x14ac:dyDescent="0.25">
      <c r="A4045" s="3" t="str">
        <f>HYPERLINK("proteomic_fractions_linear_files/Yang_linear_img/407262617.jpg", "407262617")</f>
        <v>407262617</v>
      </c>
      <c r="C4045" s="3" t="str">
        <f>HYPERLINK("http://www.ncbi.nlm.nih.gov/protein/407262617","LOC101056446")</f>
        <v>LOC101056446</v>
      </c>
      <c r="E4045" t="str">
        <f>HYPERLINK("J:\Depot - mpkCCD Fractions\Main Web Page\Web Pages_old\proteomic_fractions_linear_files/Yang_linear_img/407262617.jpg","show blot")</f>
        <v>show blot</v>
      </c>
      <c r="G4045" t="s">
        <v>3865</v>
      </c>
      <c r="I4045" s="6">
        <v>4.3419777307299103</v>
      </c>
      <c r="K4045" s="8"/>
    </row>
    <row r="4046" spans="1:11" ht="15" x14ac:dyDescent="0.25">
      <c r="A4046" s="3" t="str">
        <f>HYPERLINK("proteomic_fractions_linear_files/Yang_linear_img/407262576.jpg", "407262576")</f>
        <v>407262576</v>
      </c>
      <c r="C4046" s="3" t="str">
        <f>HYPERLINK("http://www.ncbi.nlm.nih.gov/protein/407262576","LOC101056452")</f>
        <v>LOC101056452</v>
      </c>
      <c r="E4046" t="str">
        <f>HYPERLINK("J:\Depot - mpkCCD Fractions\Main Web Page\Web Pages_old\proteomic_fractions_linear_files/Yang_linear_img/407262576.jpg","show blot")</f>
        <v>show blot</v>
      </c>
      <c r="G4046" t="s">
        <v>3866</v>
      </c>
      <c r="I4046" s="6">
        <v>6.1234738088092513</v>
      </c>
      <c r="K4046" s="8"/>
    </row>
    <row r="4047" spans="1:11" ht="15" x14ac:dyDescent="0.25">
      <c r="A4047" s="3" t="str">
        <f>HYPERLINK("proteomic_fractions_linear_files/Yang_linear_img/407262333.jpg", "407262333")</f>
        <v>407262333</v>
      </c>
      <c r="C4047" s="3" t="str">
        <f>HYPERLINK("http://www.ncbi.nlm.nih.gov/protein/407262333","LOC101056456")</f>
        <v>LOC101056456</v>
      </c>
      <c r="E4047" t="str">
        <f>HYPERLINK("J:\Depot - mpkCCD Fractions\Main Web Page\Web Pages_old\proteomic_fractions_linear_files/Yang_linear_img/407262333.jpg","show blot")</f>
        <v>show blot</v>
      </c>
      <c r="G4047" t="s">
        <v>3867</v>
      </c>
      <c r="I4047" s="6">
        <v>4.8436600622762898</v>
      </c>
      <c r="K4047" s="8"/>
    </row>
    <row r="4048" spans="1:11" ht="15" x14ac:dyDescent="0.25">
      <c r="A4048" s="3" t="str">
        <f>HYPERLINK("proteomic_fractions_linear_files/Yang_linear_img/407262335.jpg", "407262335")</f>
        <v>407262335</v>
      </c>
      <c r="C4048" s="3" t="str">
        <f>HYPERLINK("http://www.ncbi.nlm.nih.gov/protein/407262335","LOC101056456")</f>
        <v>LOC101056456</v>
      </c>
      <c r="E4048" t="str">
        <f>HYPERLINK("J:\Depot - mpkCCD Fractions\Main Web Page\Web Pages_old\proteomic_fractions_linear_files/Yang_linear_img/407262335.jpg","show blot")</f>
        <v>show blot</v>
      </c>
      <c r="G4048" t="s">
        <v>3868</v>
      </c>
      <c r="I4048" s="6">
        <v>4.8436600622762898</v>
      </c>
      <c r="K4048" s="8"/>
    </row>
    <row r="4049" spans="1:11" ht="15" x14ac:dyDescent="0.25">
      <c r="A4049" s="3" t="str">
        <f>HYPERLINK("proteomic_fractions_linear_files/Yang_linear_img/407262339.jpg", "407262339")</f>
        <v>407262339</v>
      </c>
      <c r="C4049" s="3" t="str">
        <f>HYPERLINK("http://www.ncbi.nlm.nih.gov/protein/407262339","LOC101056456")</f>
        <v>LOC101056456</v>
      </c>
      <c r="E4049" t="str">
        <f>HYPERLINK("J:\Depot - mpkCCD Fractions\Main Web Page\Web Pages_old\proteomic_fractions_linear_files/Yang_linear_img/407262339.jpg","show blot")</f>
        <v>show blot</v>
      </c>
      <c r="G4049" t="s">
        <v>3869</v>
      </c>
      <c r="I4049" s="6">
        <v>4.8436600622762898</v>
      </c>
      <c r="K4049" s="8"/>
    </row>
    <row r="4050" spans="1:11" ht="15" x14ac:dyDescent="0.25">
      <c r="A4050" s="3" t="str">
        <f>HYPERLINK("proteomic_fractions_linear_files/Yang_linear_img/407262341.jpg", "407262341")</f>
        <v>407262341</v>
      </c>
      <c r="C4050" s="3" t="str">
        <f>HYPERLINK("http://www.ncbi.nlm.nih.gov/protein/407262341","LOC101056456")</f>
        <v>LOC101056456</v>
      </c>
      <c r="E4050" t="str">
        <f>HYPERLINK("J:\Depot - mpkCCD Fractions\Main Web Page\Web Pages_old\proteomic_fractions_linear_files/Yang_linear_img/407262341.jpg","show blot")</f>
        <v>show blot</v>
      </c>
      <c r="G4050" t="s">
        <v>3870</v>
      </c>
      <c r="I4050" s="6">
        <v>4.8436600622762898</v>
      </c>
      <c r="K4050" s="8"/>
    </row>
    <row r="4051" spans="1:11" ht="15" x14ac:dyDescent="0.25">
      <c r="A4051" s="3" t="str">
        <f>HYPERLINK("proteomic_fractions_linear_files/Yang_linear_img/407262343.jpg", "407262343")</f>
        <v>407262343</v>
      </c>
      <c r="C4051" s="3" t="str">
        <f>HYPERLINK("http://www.ncbi.nlm.nih.gov/protein/407262343","LOC101056456")</f>
        <v>LOC101056456</v>
      </c>
      <c r="E4051" t="str">
        <f>HYPERLINK("J:\Depot - mpkCCD Fractions\Main Web Page\Web Pages_old\proteomic_fractions_linear_files/Yang_linear_img/407262343.jpg","show blot")</f>
        <v>show blot</v>
      </c>
      <c r="G4051" t="s">
        <v>3871</v>
      </c>
      <c r="I4051" s="6">
        <v>4.8436600622762898</v>
      </c>
      <c r="K4051" s="8"/>
    </row>
    <row r="4052" spans="1:11" ht="15" x14ac:dyDescent="0.25">
      <c r="A4052" s="3" t="str">
        <f>HYPERLINK("proteomic_fractions_linear_files/Yang_linear_img/407261812.jpg", "407261812")</f>
        <v>407261812</v>
      </c>
      <c r="C4052" s="3" t="str">
        <f>HYPERLINK("http://www.ncbi.nlm.nih.gov/protein/407261812","LOC101056470")</f>
        <v>LOC101056470</v>
      </c>
      <c r="E4052" t="str">
        <f>HYPERLINK("J:\Depot - mpkCCD Fractions\Main Web Page\Web Pages_old\proteomic_fractions_linear_files/Yang_linear_img/407261812.jpg","show blot")</f>
        <v>show blot</v>
      </c>
      <c r="G4052" t="s">
        <v>3872</v>
      </c>
      <c r="I4052" s="6">
        <v>6.2701939107100975</v>
      </c>
      <c r="K4052" s="8"/>
    </row>
    <row r="4053" spans="1:11" ht="15" x14ac:dyDescent="0.25">
      <c r="A4053" s="3" t="str">
        <f>HYPERLINK("proteomic_fractions_linear_files/Yang_linear_img/407262623.jpg", "407262623")</f>
        <v>407262623</v>
      </c>
      <c r="C4053" s="3" t="str">
        <f>HYPERLINK("http://www.ncbi.nlm.nih.gov/protein/407262623","LOC101056478")</f>
        <v>LOC101056478</v>
      </c>
      <c r="E4053" t="str">
        <f>HYPERLINK("J:\Depot - mpkCCD Fractions\Main Web Page\Web Pages_old\proteomic_fractions_linear_files/Yang_linear_img/407262623.jpg","show blot")</f>
        <v>show blot</v>
      </c>
      <c r="G4053" t="s">
        <v>2784</v>
      </c>
      <c r="I4053" s="6">
        <v>6.165591552372808</v>
      </c>
      <c r="K4053" s="8"/>
    </row>
    <row r="4054" spans="1:11" ht="15" x14ac:dyDescent="0.25">
      <c r="A4054" s="3" t="str">
        <f>HYPERLINK("proteomic_fractions_linear_files/Yang_linear_img/407262528.jpg", "407262528")</f>
        <v>407262528</v>
      </c>
      <c r="C4054" s="3" t="str">
        <f>HYPERLINK("http://www.ncbi.nlm.nih.gov/protein/407262528","LOC101056486")</f>
        <v>LOC101056486</v>
      </c>
      <c r="E4054" t="str">
        <f>HYPERLINK("J:\Depot - mpkCCD Fractions\Main Web Page\Web Pages_old\proteomic_fractions_linear_files/Yang_linear_img/407262528.jpg","show blot")</f>
        <v>show blot</v>
      </c>
      <c r="G4054" t="s">
        <v>2778</v>
      </c>
      <c r="I4054" s="6">
        <v>5.650770137642998</v>
      </c>
      <c r="K4054" s="8"/>
    </row>
    <row r="4055" spans="1:11" ht="15" x14ac:dyDescent="0.25">
      <c r="A4055" s="3" t="str">
        <f>HYPERLINK("proteomic_fractions_linear_files/Yang_linear_img/407262506.jpg", "407262506")</f>
        <v>407262506</v>
      </c>
      <c r="C4055" s="3" t="str">
        <f>HYPERLINK("http://www.ncbi.nlm.nih.gov/protein/407262506","LOC101056523")</f>
        <v>LOC101056523</v>
      </c>
      <c r="E4055" t="str">
        <f>HYPERLINK("J:\Depot - mpkCCD Fractions\Main Web Page\Web Pages_old\proteomic_fractions_linear_files/Yang_linear_img/407262506.jpg","show blot")</f>
        <v>show blot</v>
      </c>
      <c r="G4055" t="s">
        <v>3873</v>
      </c>
      <c r="I4055" s="6">
        <v>5.3206315862951552</v>
      </c>
      <c r="K4055" s="8"/>
    </row>
    <row r="4056" spans="1:11" ht="15" x14ac:dyDescent="0.25">
      <c r="A4056" s="3" t="str">
        <f>HYPERLINK("proteomic_fractions_linear_files/Yang_linear_img/407261989.jpg", "407261989")</f>
        <v>407261989</v>
      </c>
      <c r="C4056" s="3" t="str">
        <f>HYPERLINK("http://www.ncbi.nlm.nih.gov/protein/407261989","LOC101056543")</f>
        <v>LOC101056543</v>
      </c>
      <c r="E4056" t="str">
        <f>HYPERLINK("J:\Depot - mpkCCD Fractions\Main Web Page\Web Pages_old\proteomic_fractions_linear_files/Yang_linear_img/407261989.jpg","show blot")</f>
        <v>show blot</v>
      </c>
      <c r="G4056" t="s">
        <v>2843</v>
      </c>
      <c r="I4056" s="6">
        <v>6.1100215903886932</v>
      </c>
      <c r="K4056" s="8"/>
    </row>
    <row r="4057" spans="1:11" ht="15" x14ac:dyDescent="0.25">
      <c r="A4057" s="3" t="str">
        <f>HYPERLINK("proteomic_fractions_linear_files/Yang_linear_img/407262193.jpg", "407262193")</f>
        <v>407262193</v>
      </c>
      <c r="C4057" s="3" t="str">
        <f>HYPERLINK("http://www.ncbi.nlm.nih.gov/protein/407262193","LOC101056544")</f>
        <v>LOC101056544</v>
      </c>
      <c r="E4057" t="str">
        <f>HYPERLINK("J:\Depot - mpkCCD Fractions\Main Web Page\Web Pages_old\proteomic_fractions_linear_files/Yang_linear_img/407262193.jpg","show blot")</f>
        <v>show blot</v>
      </c>
      <c r="G4057" t="s">
        <v>3874</v>
      </c>
      <c r="I4057" s="6">
        <v>6.727183933323043</v>
      </c>
      <c r="K4057" s="8"/>
    </row>
    <row r="4058" spans="1:11" ht="15" x14ac:dyDescent="0.25">
      <c r="A4058" s="3" t="str">
        <f>HYPERLINK("proteomic_fractions_linear_files/Yang_linear_img/407262152.jpg", "407262152")</f>
        <v>407262152</v>
      </c>
      <c r="C4058" s="3" t="str">
        <f>HYPERLINK("http://www.ncbi.nlm.nih.gov/protein/407262152","LOC101056551")</f>
        <v>LOC101056551</v>
      </c>
      <c r="E4058" t="str">
        <f>HYPERLINK("J:\Depot - mpkCCD Fractions\Main Web Page\Web Pages_old\proteomic_fractions_linear_files/Yang_linear_img/407262152.jpg","show blot")</f>
        <v>show blot</v>
      </c>
      <c r="G4058" t="s">
        <v>3875</v>
      </c>
      <c r="I4058" s="6">
        <v>3.5471165272521543</v>
      </c>
      <c r="K4058" s="8"/>
    </row>
    <row r="4059" spans="1:11" ht="15" x14ac:dyDescent="0.25">
      <c r="A4059" s="3" t="str">
        <f>HYPERLINK("proteomic_fractions_linear_files/Yang_linear_img/407262277.jpg", "407262277")</f>
        <v>407262277</v>
      </c>
      <c r="C4059" s="3" t="str">
        <f>HYPERLINK("http://www.ncbi.nlm.nih.gov/protein/407262277","LOC101056557")</f>
        <v>LOC101056557</v>
      </c>
      <c r="E4059" t="str">
        <f>HYPERLINK("J:\Depot - mpkCCD Fractions\Main Web Page\Web Pages_old\proteomic_fractions_linear_files/Yang_linear_img/407262277.jpg","show blot")</f>
        <v>show blot</v>
      </c>
      <c r="G4059" t="s">
        <v>3876</v>
      </c>
      <c r="I4059" s="6">
        <v>7.3011580398114742</v>
      </c>
      <c r="K4059" s="8"/>
    </row>
    <row r="4060" spans="1:11" ht="15" x14ac:dyDescent="0.25">
      <c r="A4060" s="3" t="str">
        <f>HYPERLINK("proteomic_fractions_linear_files/Yang_linear_img/407262168.jpg", "407262168")</f>
        <v>407262168</v>
      </c>
      <c r="C4060" s="3" t="str">
        <f>HYPERLINK("http://www.ncbi.nlm.nih.gov/protein/407262168","LOC101056558")</f>
        <v>LOC101056558</v>
      </c>
      <c r="E4060" t="str">
        <f>HYPERLINK("J:\Depot - mpkCCD Fractions\Main Web Page\Web Pages_old\proteomic_fractions_linear_files/Yang_linear_img/407262168.jpg","show blot")</f>
        <v>show blot</v>
      </c>
      <c r="G4060" t="s">
        <v>3877</v>
      </c>
      <c r="I4060" s="6">
        <v>5.0656400642569483</v>
      </c>
      <c r="K4060" s="8"/>
    </row>
    <row r="4061" spans="1:11" ht="15" x14ac:dyDescent="0.25">
      <c r="A4061" s="3" t="str">
        <f>HYPERLINK("proteomic_fractions_linear_files/Yang_linear_img/407262168;238776830.jpg", "407262168;238776830")</f>
        <v>407262168;238776830</v>
      </c>
      <c r="C4061" s="3" t="str">
        <f>HYPERLINK("http://www.ncbi.nlm.nih.gov/protein/407262168;238776830","LOC101056558")</f>
        <v>LOC101056558</v>
      </c>
      <c r="E4061" t="str">
        <f>HYPERLINK("J:\Depot - mpkCCD Fractions\Main Web Page\Web Pages_old\proteomic_fractions_linear_files/Yang_linear_img/407262168;238776830.jpg","show blot")</f>
        <v>show blot</v>
      </c>
      <c r="G4061" t="s">
        <v>3877</v>
      </c>
      <c r="I4061" s="6">
        <v>5.0656400642569483</v>
      </c>
      <c r="K4061" s="8"/>
    </row>
    <row r="4062" spans="1:11" ht="15" x14ac:dyDescent="0.25">
      <c r="A4062" s="3" t="str">
        <f>HYPERLINK("proteomic_fractions_linear_files/Yang_linear_img/407261780.jpg", "407261780")</f>
        <v>407261780</v>
      </c>
      <c r="C4062" s="3" t="str">
        <f>HYPERLINK("http://www.ncbi.nlm.nih.gov/protein/407261780","LOC101056559")</f>
        <v>LOC101056559</v>
      </c>
      <c r="E4062" t="str">
        <f>HYPERLINK("J:\Depot - mpkCCD Fractions\Main Web Page\Web Pages_old\proteomic_fractions_linear_files/Yang_linear_img/407261780.jpg","show blot")</f>
        <v>show blot</v>
      </c>
      <c r="G4062" t="s">
        <v>3878</v>
      </c>
      <c r="I4062" s="6">
        <v>3.1519823954574742</v>
      </c>
      <c r="K4062" s="8"/>
    </row>
    <row r="4063" spans="1:11" ht="15" x14ac:dyDescent="0.25">
      <c r="A4063" s="3" t="str">
        <f>HYPERLINK("proteomic_fractions_linear_files/Yang_linear_img/407262460.jpg", "407262460")</f>
        <v>407262460</v>
      </c>
      <c r="C4063" s="3" t="str">
        <f>HYPERLINK("http://www.ncbi.nlm.nih.gov/protein/407262460","LOC101056577")</f>
        <v>LOC101056577</v>
      </c>
      <c r="E4063" t="str">
        <f>HYPERLINK("J:\Depot - mpkCCD Fractions\Main Web Page\Web Pages_old\proteomic_fractions_linear_files/Yang_linear_img/407262460.jpg","show blot")</f>
        <v>show blot</v>
      </c>
      <c r="G4063" t="s">
        <v>3879</v>
      </c>
      <c r="I4063" s="6">
        <v>4.7509441677242013</v>
      </c>
      <c r="K4063" s="8"/>
    </row>
    <row r="4064" spans="1:11" ht="15" x14ac:dyDescent="0.25">
      <c r="A4064" s="3" t="str">
        <f>HYPERLINK("proteomic_fractions_linear_files/Yang_linear_img/407262586.jpg", "407262586")</f>
        <v>407262586</v>
      </c>
      <c r="C4064" s="3" t="str">
        <f>HYPERLINK("http://www.ncbi.nlm.nih.gov/protein/407262586","LOC101056592")</f>
        <v>LOC101056592</v>
      </c>
      <c r="E4064" t="str">
        <f>HYPERLINK("J:\Depot - mpkCCD Fractions\Main Web Page\Web Pages_old\proteomic_fractions_linear_files/Yang_linear_img/407262586.jpg","show blot")</f>
        <v>show blot</v>
      </c>
      <c r="G4064" t="s">
        <v>3880</v>
      </c>
      <c r="I4064" s="6">
        <v>6.452008360046749</v>
      </c>
      <c r="K4064" s="8"/>
    </row>
    <row r="4065" spans="1:11" ht="15" x14ac:dyDescent="0.25">
      <c r="A4065" s="3" t="str">
        <f>HYPERLINK("proteomic_fractions_linear_files/Yang_linear_img/407262172.jpg", "407262172")</f>
        <v>407262172</v>
      </c>
      <c r="C4065" s="3" t="str">
        <f>HYPERLINK("http://www.ncbi.nlm.nih.gov/protein/407262172","LOC101056595")</f>
        <v>LOC101056595</v>
      </c>
      <c r="E4065" t="str">
        <f>HYPERLINK("J:\Depot - mpkCCD Fractions\Main Web Page\Web Pages_old\proteomic_fractions_linear_files/Yang_linear_img/407262172.jpg","show blot")</f>
        <v>show blot</v>
      </c>
      <c r="G4065" t="s">
        <v>3881</v>
      </c>
      <c r="I4065" s="6">
        <v>6.2952767583946843</v>
      </c>
      <c r="K4065" s="8"/>
    </row>
    <row r="4066" spans="1:11" ht="15" x14ac:dyDescent="0.25">
      <c r="A4066" s="3" t="str">
        <f>HYPERLINK("proteomic_fractions_linear_files/Yang_linear_img/407260973.jpg", "407260973")</f>
        <v>407260973</v>
      </c>
      <c r="C4066" s="3" t="str">
        <f>HYPERLINK("http://www.ncbi.nlm.nih.gov/protein/407260973","LOC101056616")</f>
        <v>LOC101056616</v>
      </c>
      <c r="E4066" t="str">
        <f>HYPERLINK("J:\Depot - mpkCCD Fractions\Main Web Page\Web Pages_old\proteomic_fractions_linear_files/Yang_linear_img/407260973.jpg","show blot")</f>
        <v>show blot</v>
      </c>
      <c r="G4066" t="s">
        <v>2750</v>
      </c>
      <c r="I4066" s="6">
        <v>5.8186354405671121</v>
      </c>
      <c r="K4066" s="8"/>
    </row>
    <row r="4067" spans="1:11" ht="15" x14ac:dyDescent="0.25">
      <c r="A4067" s="3" t="str">
        <f>HYPERLINK("proteomic_fractions_linear_files/Yang_linear_img/407261696.jpg", "407261696")</f>
        <v>407261696</v>
      </c>
      <c r="C4067" s="3" t="str">
        <f>HYPERLINK("http://www.ncbi.nlm.nih.gov/protein/407261696","LOC101056619")</f>
        <v>LOC101056619</v>
      </c>
      <c r="E4067" t="str">
        <f>HYPERLINK("J:\Depot - mpkCCD Fractions\Main Web Page\Web Pages_old\proteomic_fractions_linear_files/Yang_linear_img/407261696.jpg","show blot")</f>
        <v>show blot</v>
      </c>
      <c r="G4067" t="s">
        <v>3882</v>
      </c>
      <c r="I4067" s="6">
        <v>7.6758174672302895</v>
      </c>
      <c r="K4067" s="8"/>
    </row>
    <row r="4068" spans="1:11" ht="15" x14ac:dyDescent="0.25">
      <c r="A4068" s="3" t="str">
        <f>HYPERLINK("proteomic_fractions_linear_files/Yang_linear_img/407261700.jpg", "407261700")</f>
        <v>407261700</v>
      </c>
      <c r="C4068" s="3" t="str">
        <f>HYPERLINK("http://www.ncbi.nlm.nih.gov/protein/407261700","LOC101056619")</f>
        <v>LOC101056619</v>
      </c>
      <c r="E4068" t="str">
        <f>HYPERLINK("J:\Depot - mpkCCD Fractions\Main Web Page\Web Pages_old\proteomic_fractions_linear_files/Yang_linear_img/407261700.jpg","show blot")</f>
        <v>show blot</v>
      </c>
      <c r="G4068" t="s">
        <v>3883</v>
      </c>
      <c r="I4068" s="6">
        <v>7.6758174672302895</v>
      </c>
      <c r="K4068" s="8"/>
    </row>
    <row r="4069" spans="1:11" ht="15" x14ac:dyDescent="0.25">
      <c r="A4069" s="3" t="str">
        <f>HYPERLINK("proteomic_fractions_linear_files/Yang_linear_img/407261702.jpg", "407261702")</f>
        <v>407261702</v>
      </c>
      <c r="C4069" s="3" t="str">
        <f>HYPERLINK("http://www.ncbi.nlm.nih.gov/protein/407261702","LOC101056619")</f>
        <v>LOC101056619</v>
      </c>
      <c r="E4069" t="str">
        <f>HYPERLINK("J:\Depot - mpkCCD Fractions\Main Web Page\Web Pages_old\proteomic_fractions_linear_files/Yang_linear_img/407261702.jpg","show blot")</f>
        <v>show blot</v>
      </c>
      <c r="G4069" t="s">
        <v>3884</v>
      </c>
      <c r="I4069" s="6">
        <v>7.6758174672302895</v>
      </c>
      <c r="K4069" s="8"/>
    </row>
    <row r="4070" spans="1:11" ht="15" x14ac:dyDescent="0.25">
      <c r="A4070" s="3" t="str">
        <f>HYPERLINK("proteomic_fractions_linear_files/Yang_linear_img/407261716.jpg", "407261716")</f>
        <v>407261716</v>
      </c>
      <c r="C4070" s="3" t="str">
        <f>HYPERLINK("http://www.ncbi.nlm.nih.gov/protein/407261716","LOC101056619")</f>
        <v>LOC101056619</v>
      </c>
      <c r="E4070" t="str">
        <f>HYPERLINK("J:\Depot - mpkCCD Fractions\Main Web Page\Web Pages_old\proteomic_fractions_linear_files/Yang_linear_img/407261716.jpg","show blot")</f>
        <v>show blot</v>
      </c>
      <c r="G4070" t="s">
        <v>3885</v>
      </c>
      <c r="I4070" s="6">
        <v>7.6758174672302895</v>
      </c>
      <c r="K4070" s="8"/>
    </row>
    <row r="4071" spans="1:11" ht="15" x14ac:dyDescent="0.25">
      <c r="A4071" s="3" t="str">
        <f>HYPERLINK("proteomic_fractions_linear_files/Yang_linear_img/407261718.jpg", "407261718")</f>
        <v>407261718</v>
      </c>
      <c r="C4071" s="3" t="str">
        <f>HYPERLINK("http://www.ncbi.nlm.nih.gov/protein/407261718","LOC101056619")</f>
        <v>LOC101056619</v>
      </c>
      <c r="E4071" t="str">
        <f>HYPERLINK("J:\Depot - mpkCCD Fractions\Main Web Page\Web Pages_old\proteomic_fractions_linear_files/Yang_linear_img/407261718.jpg","show blot")</f>
        <v>show blot</v>
      </c>
      <c r="G4071" t="s">
        <v>3886</v>
      </c>
      <c r="I4071" s="6">
        <v>7.6758174672302895</v>
      </c>
      <c r="K4071" s="8"/>
    </row>
    <row r="4072" spans="1:11" ht="15" x14ac:dyDescent="0.25">
      <c r="A4072" s="3" t="str">
        <f>HYPERLINK("proteomic_fractions_linear_files/Yang_linear_img/407262235.jpg", "407262235")</f>
        <v>407262235</v>
      </c>
      <c r="C4072" s="3" t="str">
        <f>HYPERLINK("http://www.ncbi.nlm.nih.gov/protein/407262235","LOC101056658")</f>
        <v>LOC101056658</v>
      </c>
      <c r="E4072" t="str">
        <f>HYPERLINK("J:\Depot - mpkCCD Fractions\Main Web Page\Web Pages_old\proteomic_fractions_linear_files/Yang_linear_img/407262235.jpg","show blot")</f>
        <v>show blot</v>
      </c>
      <c r="G4072" t="s">
        <v>3887</v>
      </c>
      <c r="I4072" s="6">
        <v>6.6963261554854272</v>
      </c>
      <c r="K4072" s="8"/>
    </row>
    <row r="4073" spans="1:11" ht="15" x14ac:dyDescent="0.25">
      <c r="A4073" s="3" t="str">
        <f>HYPERLINK("proteomic_fractions_linear_files/Yang_linear_img/407262590.jpg", "407262590")</f>
        <v>407262590</v>
      </c>
      <c r="C4073" s="3" t="str">
        <f>HYPERLINK("http://www.ncbi.nlm.nih.gov/protein/407262590","LOC101056659")</f>
        <v>LOC101056659</v>
      </c>
      <c r="E4073" t="str">
        <f>HYPERLINK("J:\Depot - mpkCCD Fractions\Main Web Page\Web Pages_old\proteomic_fractions_linear_files/Yang_linear_img/407262590.jpg","show blot")</f>
        <v>show blot</v>
      </c>
      <c r="G4073" t="s">
        <v>2722</v>
      </c>
      <c r="I4073" s="6">
        <v>6.7176345643347712</v>
      </c>
      <c r="K4073" s="8"/>
    </row>
    <row r="4074" spans="1:11" ht="15" x14ac:dyDescent="0.25">
      <c r="A4074" s="3" t="str">
        <f>HYPERLINK("proteomic_fractions_linear_files/Yang_linear_img/407262435.jpg", "407262435")</f>
        <v>407262435</v>
      </c>
      <c r="C4074" s="3" t="str">
        <f>HYPERLINK("http://www.ncbi.nlm.nih.gov/protein/407262435","LOC101056668")</f>
        <v>LOC101056668</v>
      </c>
      <c r="E4074" t="str">
        <f>HYPERLINK("J:\Depot - mpkCCD Fractions\Main Web Page\Web Pages_old\proteomic_fractions_linear_files/Yang_linear_img/407262435.jpg","show blot")</f>
        <v>show blot</v>
      </c>
      <c r="G4074" t="s">
        <v>3888</v>
      </c>
      <c r="I4074" s="6">
        <v>3.6696399371337591</v>
      </c>
      <c r="K4074" s="8"/>
    </row>
    <row r="4075" spans="1:11" ht="15" x14ac:dyDescent="0.25">
      <c r="A4075" s="3" t="str">
        <f>HYPERLINK("proteomic_fractions_linear_files/Yang_linear_img/407262493.jpg", "407262493")</f>
        <v>407262493</v>
      </c>
      <c r="C4075" s="3" t="str">
        <f>HYPERLINK("http://www.ncbi.nlm.nih.gov/protein/407262493","LOC101056688")</f>
        <v>LOC101056688</v>
      </c>
      <c r="E4075" t="str">
        <f>HYPERLINK("J:\Depot - mpkCCD Fractions\Main Web Page\Web Pages_old\proteomic_fractions_linear_files/Yang_linear_img/407262493.jpg","show blot")</f>
        <v>show blot</v>
      </c>
      <c r="G4075" t="s">
        <v>3889</v>
      </c>
      <c r="I4075" s="6">
        <v>5.9779369360699937</v>
      </c>
      <c r="K4075" s="8"/>
    </row>
    <row r="4076" spans="1:11" ht="15" x14ac:dyDescent="0.25">
      <c r="A4076" s="3" t="str">
        <f>HYPERLINK("proteomic_fractions_linear_files/Yang_linear_img/407260978.jpg", "407260978")</f>
        <v>407260978</v>
      </c>
      <c r="C4076" s="3" t="str">
        <f>HYPERLINK("http://www.ncbi.nlm.nih.gov/protein/407260978","LOC101056690")</f>
        <v>LOC101056690</v>
      </c>
      <c r="E4076" t="str">
        <f>HYPERLINK("J:\Depot - mpkCCD Fractions\Main Web Page\Web Pages_old\proteomic_fractions_linear_files/Yang_linear_img/407260978.jpg","show blot")</f>
        <v>show blot</v>
      </c>
      <c r="G4076" t="s">
        <v>3890</v>
      </c>
      <c r="I4076" s="6">
        <v>4.9971730864741897</v>
      </c>
      <c r="K4076" s="8"/>
    </row>
    <row r="4077" spans="1:11" ht="15" x14ac:dyDescent="0.25">
      <c r="A4077" s="3" t="str">
        <f>HYPERLINK("proteomic_fractions_linear_files/Yang_linear_img/407260980.jpg", "407260980")</f>
        <v>407260980</v>
      </c>
      <c r="C4077" s="3" t="str">
        <f>HYPERLINK("http://www.ncbi.nlm.nih.gov/protein/407260980","LOC101056690")</f>
        <v>LOC101056690</v>
      </c>
      <c r="E4077" t="str">
        <f>HYPERLINK("J:\Depot - mpkCCD Fractions\Main Web Page\Web Pages_old\proteomic_fractions_linear_files/Yang_linear_img/407260980.jpg","show blot")</f>
        <v>show blot</v>
      </c>
      <c r="G4077" t="s">
        <v>3890</v>
      </c>
      <c r="I4077" s="6">
        <v>4.9971730864741897</v>
      </c>
      <c r="K4077" s="8"/>
    </row>
    <row r="4078" spans="1:11" ht="15" x14ac:dyDescent="0.25">
      <c r="A4078" s="3" t="str">
        <f>HYPERLINK("proteomic_fractions_linear_files/Yang_linear_img/407260982.jpg", "407260982")</f>
        <v>407260982</v>
      </c>
      <c r="C4078" s="3" t="str">
        <f>HYPERLINK("http://www.ncbi.nlm.nih.gov/protein/407260982","LOC101056690")</f>
        <v>LOC101056690</v>
      </c>
      <c r="E4078" t="str">
        <f>HYPERLINK("J:\Depot - mpkCCD Fractions\Main Web Page\Web Pages_old\proteomic_fractions_linear_files/Yang_linear_img/407260982.jpg","show blot")</f>
        <v>show blot</v>
      </c>
      <c r="G4078" t="s">
        <v>3890</v>
      </c>
      <c r="I4078" s="6">
        <v>4.9971730864741897</v>
      </c>
      <c r="K4078" s="8"/>
    </row>
    <row r="4079" spans="1:11" ht="15" x14ac:dyDescent="0.25">
      <c r="A4079" s="3" t="str">
        <f>HYPERLINK("proteomic_fractions_linear_files/Yang_linear_img/407260984.jpg", "407260984")</f>
        <v>407260984</v>
      </c>
      <c r="C4079" s="3" t="str">
        <f>HYPERLINK("http://www.ncbi.nlm.nih.gov/protein/407260984","LOC101056690")</f>
        <v>LOC101056690</v>
      </c>
      <c r="E4079" t="str">
        <f>HYPERLINK("J:\Depot - mpkCCD Fractions\Main Web Page\Web Pages_old\proteomic_fractions_linear_files/Yang_linear_img/407260984.jpg","show blot")</f>
        <v>show blot</v>
      </c>
      <c r="G4079" t="s">
        <v>3890</v>
      </c>
      <c r="I4079" s="6">
        <v>4.9971730864741897</v>
      </c>
      <c r="K4079" s="8"/>
    </row>
    <row r="4080" spans="1:11" ht="15" x14ac:dyDescent="0.25">
      <c r="A4080" s="3" t="str">
        <f>HYPERLINK("proteomic_fractions_linear_files/Yang_linear_img/377834539.jpg", "377834539")</f>
        <v>377834539</v>
      </c>
      <c r="C4080" s="3" t="str">
        <f>HYPERLINK("http://www.ncbi.nlm.nih.gov/protein/377834539","LOC215866")</f>
        <v>LOC215866</v>
      </c>
      <c r="E4080" t="str">
        <f>HYPERLINK("J:\Depot - mpkCCD Fractions\Main Web Page\Web Pages_old\proteomic_fractions_linear_files/Yang_linear_img/377834539.jpg","show blot")</f>
        <v>show blot</v>
      </c>
      <c r="G4080" t="s">
        <v>2864</v>
      </c>
      <c r="I4080" s="6">
        <v>4.5526783277093115</v>
      </c>
      <c r="K4080" s="8"/>
    </row>
    <row r="4081" spans="1:11" ht="15" x14ac:dyDescent="0.25">
      <c r="A4081" s="3" t="str">
        <f>HYPERLINK("proteomic_fractions_linear_files/Yang_linear_img/407263623.jpg", "407263623")</f>
        <v>407263623</v>
      </c>
      <c r="C4081" s="3" t="str">
        <f>HYPERLINK("http://www.ncbi.nlm.nih.gov/protein/407263623","LOC215866")</f>
        <v>LOC215866</v>
      </c>
      <c r="E4081" t="str">
        <f>HYPERLINK("J:\Depot - mpkCCD Fractions\Main Web Page\Web Pages_old\proteomic_fractions_linear_files/Yang_linear_img/407263623.jpg","show blot")</f>
        <v>show blot</v>
      </c>
      <c r="G4081" t="s">
        <v>2864</v>
      </c>
      <c r="I4081" s="6">
        <v>4.5526783277093115</v>
      </c>
      <c r="K4081" s="8"/>
    </row>
    <row r="4082" spans="1:11" ht="15" x14ac:dyDescent="0.25">
      <c r="A4082" s="3" t="str">
        <f>HYPERLINK("proteomic_fractions_linear_files/Yang_linear_img/82975294.jpg", "82975294")</f>
        <v>82975294</v>
      </c>
      <c r="C4082" s="3" t="str">
        <f>HYPERLINK("http://www.ncbi.nlm.nih.gov/protein/82975294","LOC386400")</f>
        <v>LOC386400</v>
      </c>
      <c r="E4082" t="str">
        <f>HYPERLINK("J:\Depot - mpkCCD Fractions\Main Web Page\Web Pages_old\proteomic_fractions_linear_files/Yang_linear_img/82975294.jpg","show blot")</f>
        <v>show blot</v>
      </c>
      <c r="G4082" t="s">
        <v>3891</v>
      </c>
      <c r="I4082" s="6">
        <v>5.6990989264855028</v>
      </c>
      <c r="K4082" s="8"/>
    </row>
    <row r="4083" spans="1:11" ht="15" x14ac:dyDescent="0.25">
      <c r="A4083" s="3" t="str">
        <f>HYPERLINK("proteomic_fractions_linear_files/Yang_linear_img/407261848.jpg", "407261848")</f>
        <v>407261848</v>
      </c>
      <c r="C4083" s="3" t="str">
        <f>HYPERLINK("http://www.ncbi.nlm.nih.gov/protein/407261848","LOC434624")</f>
        <v>LOC434624</v>
      </c>
      <c r="E4083" t="str">
        <f>HYPERLINK("J:\Depot - mpkCCD Fractions\Main Web Page\Web Pages_old\proteomic_fractions_linear_files/Yang_linear_img/407261848.jpg","show blot")</f>
        <v>show blot</v>
      </c>
      <c r="G4083" t="s">
        <v>2780</v>
      </c>
      <c r="I4083" s="6">
        <v>6.4102320785872022</v>
      </c>
      <c r="K4083" s="8"/>
    </row>
    <row r="4084" spans="1:11" ht="15" x14ac:dyDescent="0.25">
      <c r="A4084" s="3" t="str">
        <f>HYPERLINK("proteomic_fractions_linear_files/Yang_linear_img/377834670.jpg", "377834670")</f>
        <v>377834670</v>
      </c>
      <c r="C4084" s="3" t="str">
        <f>HYPERLINK("http://www.ncbi.nlm.nih.gov/protein/377834670","LOC547349")</f>
        <v>LOC547349</v>
      </c>
      <c r="E4084" t="str">
        <f>HYPERLINK("J:\Depot - mpkCCD Fractions\Main Web Page\Web Pages_old\proteomic_fractions_linear_files/Yang_linear_img/377834670.jpg","show blot")</f>
        <v>show blot</v>
      </c>
      <c r="G4084" t="s">
        <v>3892</v>
      </c>
      <c r="I4084" s="6">
        <v>3.0806264869218056</v>
      </c>
      <c r="K4084" s="8"/>
    </row>
    <row r="4085" spans="1:11" ht="15" x14ac:dyDescent="0.25">
      <c r="A4085" s="3" t="str">
        <f>HYPERLINK("proteomic_fractions_linear_files/Yang_linear_img/68534959.jpg", "68534959")</f>
        <v>68534959</v>
      </c>
      <c r="C4085" s="3" t="str">
        <f>HYPERLINK("http://www.ncbi.nlm.nih.gov/protein/68534959","LOC547349")</f>
        <v>LOC547349</v>
      </c>
      <c r="E4085" t="str">
        <f>HYPERLINK("J:\Depot - mpkCCD Fractions\Main Web Page\Web Pages_old\proteomic_fractions_linear_files/Yang_linear_img/68534959.jpg","show blot")</f>
        <v>show blot</v>
      </c>
      <c r="G4085" t="s">
        <v>3893</v>
      </c>
      <c r="I4085" s="6">
        <v>3.0806264869218056</v>
      </c>
      <c r="K4085" s="8"/>
    </row>
    <row r="4086" spans="1:11" ht="15" x14ac:dyDescent="0.25">
      <c r="A4086" s="3" t="str">
        <f>HYPERLINK("proteomic_fractions_linear_files/Yang_linear_img/407262567.jpg", "407262567")</f>
        <v>407262567</v>
      </c>
      <c r="C4086" s="3" t="str">
        <f>HYPERLINK("http://www.ncbi.nlm.nih.gov/protein/407262567","LOC630855")</f>
        <v>LOC630855</v>
      </c>
      <c r="E4086" t="str">
        <f>HYPERLINK("J:\Depot - mpkCCD Fractions\Main Web Page\Web Pages_old\proteomic_fractions_linear_files/Yang_linear_img/407262567.jpg","show blot")</f>
        <v>show blot</v>
      </c>
      <c r="G4086" t="s">
        <v>3894</v>
      </c>
      <c r="I4086" s="6">
        <v>6.4648792943065825</v>
      </c>
      <c r="K4086" s="8"/>
    </row>
    <row r="4087" spans="1:11" ht="15" x14ac:dyDescent="0.25">
      <c r="A4087" s="3" t="str">
        <f>HYPERLINK("proteomic_fractions_linear_files/Yang_linear_img/82916992.jpg", "82916992")</f>
        <v>82916992</v>
      </c>
      <c r="C4087" s="3" t="str">
        <f>HYPERLINK("http://www.ncbi.nlm.nih.gov/protein/82916992","LOC631033")</f>
        <v>LOC631033</v>
      </c>
      <c r="E4087" t="str">
        <f>HYPERLINK("J:\Depot - mpkCCD Fractions\Main Web Page\Web Pages_old\proteomic_fractions_linear_files/Yang_linear_img/82916992.jpg","show blot")</f>
        <v>show blot</v>
      </c>
      <c r="G4087" t="s">
        <v>3895</v>
      </c>
      <c r="I4087" s="6">
        <v>6.1965765687033842</v>
      </c>
      <c r="K4087" s="8"/>
    </row>
    <row r="4088" spans="1:11" ht="15" x14ac:dyDescent="0.25">
      <c r="A4088" s="3" t="str">
        <f>HYPERLINK("proteomic_fractions_linear_files/Yang_linear_img/82913708.jpg", "82913708")</f>
        <v>82913708</v>
      </c>
      <c r="C4088" s="3" t="str">
        <f>HYPERLINK("http://www.ncbi.nlm.nih.gov/protein/82913708","LOC631040")</f>
        <v>LOC631040</v>
      </c>
      <c r="E4088" t="str">
        <f>HYPERLINK("J:\Depot - mpkCCD Fractions\Main Web Page\Web Pages_old\proteomic_fractions_linear_files/Yang_linear_img/82913708.jpg","show blot")</f>
        <v>show blot</v>
      </c>
      <c r="G4088" t="s">
        <v>2853</v>
      </c>
      <c r="I4088" s="6">
        <v>4.826852148956978</v>
      </c>
      <c r="K4088" s="8"/>
    </row>
    <row r="4089" spans="1:11" ht="15" x14ac:dyDescent="0.25">
      <c r="A4089" s="3" t="str">
        <f>HYPERLINK("proteomic_fractions_linear_files/Yang_linear_img/407261777.jpg", "407261777")</f>
        <v>407261777</v>
      </c>
      <c r="C4089" s="3" t="str">
        <f>HYPERLINK("http://www.ncbi.nlm.nih.gov/protein/407261777","LOC631286")</f>
        <v>LOC631286</v>
      </c>
      <c r="E4089" t="str">
        <f>HYPERLINK("J:\Depot - mpkCCD Fractions\Main Web Page\Web Pages_old\proteomic_fractions_linear_files/Yang_linear_img/407261777.jpg","show blot")</f>
        <v>show blot</v>
      </c>
      <c r="G4089" t="s">
        <v>3896</v>
      </c>
      <c r="I4089" s="6">
        <v>6.0650918703571639</v>
      </c>
      <c r="K4089" s="8"/>
    </row>
    <row r="4090" spans="1:11" ht="15" x14ac:dyDescent="0.25">
      <c r="A4090" s="3" t="str">
        <f>HYPERLINK("proteomic_fractions_linear_files/Yang_linear_img/82892305.jpg", "82892305")</f>
        <v>82892305</v>
      </c>
      <c r="C4090" s="3" t="str">
        <f>HYPERLINK("http://www.ncbi.nlm.nih.gov/protein/82892305","LOC631287")</f>
        <v>LOC631287</v>
      </c>
      <c r="E4090" t="str">
        <f>HYPERLINK("J:\Depot - mpkCCD Fractions\Main Web Page\Web Pages_old\proteomic_fractions_linear_files/Yang_linear_img/82892305.jpg","show blot")</f>
        <v>show blot</v>
      </c>
      <c r="G4090" t="s">
        <v>2818</v>
      </c>
      <c r="I4090" s="6">
        <v>4.7880961391291885</v>
      </c>
      <c r="K4090" s="8"/>
    </row>
    <row r="4091" spans="1:11" ht="15" x14ac:dyDescent="0.25">
      <c r="A4091" s="3" t="str">
        <f>HYPERLINK("proteomic_fractions_linear_files/Yang_linear_img/82918783.jpg", "82918783")</f>
        <v>82918783</v>
      </c>
      <c r="C4091" s="3" t="str">
        <f>HYPERLINK("http://www.ncbi.nlm.nih.gov/protein/82918783","LOC631966")</f>
        <v>LOC631966</v>
      </c>
      <c r="E4091" t="str">
        <f>HYPERLINK("J:\Depot - mpkCCD Fractions\Main Web Page\Web Pages_old\proteomic_fractions_linear_files/Yang_linear_img/82918783.jpg","show blot")</f>
        <v>show blot</v>
      </c>
      <c r="G4091" t="s">
        <v>2824</v>
      </c>
      <c r="I4091" s="6">
        <v>5.4394058693590983</v>
      </c>
      <c r="K4091" s="8"/>
    </row>
    <row r="4092" spans="1:11" ht="15" x14ac:dyDescent="0.25">
      <c r="A4092" s="3" t="str">
        <f>HYPERLINK("proteomic_fractions_linear_files/Yang_linear_img/149253567.jpg", "149253567")</f>
        <v>149253567</v>
      </c>
      <c r="C4092" s="3" t="str">
        <f>HYPERLINK("http://www.ncbi.nlm.nih.gov/protein/149253567","LOC632465")</f>
        <v>LOC632465</v>
      </c>
      <c r="E4092" t="str">
        <f>HYPERLINK("J:\Depot - mpkCCD Fractions\Main Web Page\Web Pages_old\proteomic_fractions_linear_files/Yang_linear_img/149253567.jpg","show blot")</f>
        <v>show blot</v>
      </c>
      <c r="G4092" t="s">
        <v>3897</v>
      </c>
      <c r="I4092" s="6">
        <v>4.6672974326365742</v>
      </c>
      <c r="K4092" s="8"/>
    </row>
    <row r="4093" spans="1:11" ht="15" x14ac:dyDescent="0.25">
      <c r="A4093" s="3" t="str">
        <f>HYPERLINK("proteomic_fractions_linear_files/Yang_linear_img/82935644.jpg", "82935644")</f>
        <v>82935644</v>
      </c>
      <c r="C4093" s="3" t="str">
        <f>HYPERLINK("http://www.ncbi.nlm.nih.gov/protein/82935644","LOC633406")</f>
        <v>LOC633406</v>
      </c>
      <c r="E4093" t="str">
        <f>HYPERLINK("J:\Depot - mpkCCD Fractions\Main Web Page\Web Pages_old\proteomic_fractions_linear_files/Yang_linear_img/82935644.jpg","show blot")</f>
        <v>show blot</v>
      </c>
      <c r="G4093" t="s">
        <v>3898</v>
      </c>
      <c r="I4093" s="6">
        <v>3.857079527867382</v>
      </c>
      <c r="K4093" s="8"/>
    </row>
    <row r="4094" spans="1:11" ht="15" x14ac:dyDescent="0.25">
      <c r="A4094" s="3" t="str">
        <f>HYPERLINK("proteomic_fractions_linear_files/Yang_linear_img/83013315.jpg", "83013315")</f>
        <v>83013315</v>
      </c>
      <c r="C4094" s="3" t="str">
        <f>HYPERLINK("http://www.ncbi.nlm.nih.gov/protein/83013315","LOC634339")</f>
        <v>LOC634339</v>
      </c>
      <c r="E4094" t="str">
        <f>HYPERLINK("J:\Depot - mpkCCD Fractions\Main Web Page\Web Pages_old\proteomic_fractions_linear_files/Yang_linear_img/83013315.jpg","show blot")</f>
        <v>show blot</v>
      </c>
      <c r="G4094" t="s">
        <v>2714</v>
      </c>
      <c r="I4094" s="6">
        <v>5.8873625647254562</v>
      </c>
      <c r="K4094" s="8"/>
    </row>
    <row r="4095" spans="1:11" ht="15" x14ac:dyDescent="0.25">
      <c r="A4095" s="3" t="str">
        <f>HYPERLINK("proteomic_fractions_linear_files/Yang_linear_img/82916356.jpg", "82916356")</f>
        <v>82916356</v>
      </c>
      <c r="C4095" s="3" t="str">
        <f>HYPERLINK("http://www.ncbi.nlm.nih.gov/protein/82916356","LOC634555")</f>
        <v>LOC634555</v>
      </c>
      <c r="E4095" t="str">
        <f>HYPERLINK("J:\Depot - mpkCCD Fractions\Main Web Page\Web Pages_old\proteomic_fractions_linear_files/Yang_linear_img/82916356.jpg","show blot")</f>
        <v>show blot</v>
      </c>
      <c r="G4095" t="s">
        <v>3899</v>
      </c>
      <c r="I4095" s="6">
        <v>3.484740531755512</v>
      </c>
      <c r="K4095" s="8"/>
    </row>
    <row r="4096" spans="1:11" ht="15" x14ac:dyDescent="0.25">
      <c r="A4096" s="3" t="str">
        <f>HYPERLINK("proteomic_fractions_linear_files/Yang_linear_img/82931574.jpg", "82931574")</f>
        <v>82931574</v>
      </c>
      <c r="C4096" s="3" t="str">
        <f>HYPERLINK("http://www.ncbi.nlm.nih.gov/protein/82931574","LOC635999")</f>
        <v>LOC635999</v>
      </c>
      <c r="E4096" t="str">
        <f>HYPERLINK("J:\Depot - mpkCCD Fractions\Main Web Page\Web Pages_old\proteomic_fractions_linear_files/Yang_linear_img/82931574.jpg","show blot")</f>
        <v>show blot</v>
      </c>
      <c r="G4096" t="s">
        <v>2860</v>
      </c>
      <c r="I4096" s="6">
        <v>4.9881207268042251</v>
      </c>
      <c r="K4096" s="8"/>
    </row>
    <row r="4097" spans="1:11" ht="15" x14ac:dyDescent="0.25">
      <c r="A4097" s="3" t="str">
        <f>HYPERLINK("proteomic_fractions_linear_files/Yang_linear_img/82905443.jpg", "82905443")</f>
        <v>82905443</v>
      </c>
      <c r="C4097" s="3" t="str">
        <f>HYPERLINK("http://www.ncbi.nlm.nih.gov/protein/82905443","LOC636901")</f>
        <v>LOC636901</v>
      </c>
      <c r="E4097" t="str">
        <f>HYPERLINK("J:\Depot - mpkCCD Fractions\Main Web Page\Web Pages_old\proteomic_fractions_linear_files/Yang_linear_img/82905443.jpg","show blot")</f>
        <v>show blot</v>
      </c>
      <c r="G4097" t="s">
        <v>3900</v>
      </c>
      <c r="I4097" s="6">
        <v>6.8105202291065607</v>
      </c>
      <c r="K4097" s="8"/>
    </row>
    <row r="4098" spans="1:11" ht="15" x14ac:dyDescent="0.25">
      <c r="A4098" s="3" t="str">
        <f>HYPERLINK("proteomic_fractions_linear_files/Yang_linear_img/82898629.jpg", "82898629")</f>
        <v>82898629</v>
      </c>
      <c r="C4098" s="3" t="str">
        <f>HYPERLINK("http://www.ncbi.nlm.nih.gov/protein/82898629","LOC637553")</f>
        <v>LOC637553</v>
      </c>
      <c r="E4098" t="str">
        <f>HYPERLINK("J:\Depot - mpkCCD Fractions\Main Web Page\Web Pages_old\proteomic_fractions_linear_files/Yang_linear_img/82898629.jpg","show blot")</f>
        <v>show blot</v>
      </c>
      <c r="G4098" t="s">
        <v>2803</v>
      </c>
      <c r="I4098" s="6">
        <v>6.8629713902359795</v>
      </c>
      <c r="K4098" s="8"/>
    </row>
    <row r="4099" spans="1:11" ht="15" x14ac:dyDescent="0.25">
      <c r="A4099" s="3" t="str">
        <f>HYPERLINK("proteomic_fractions_linear_files/Yang_linear_img/83009766.jpg", "83009766")</f>
        <v>83009766</v>
      </c>
      <c r="C4099" s="3" t="str">
        <f>HYPERLINK("http://www.ncbi.nlm.nih.gov/protein/83009766","LOC637657")</f>
        <v>LOC637657</v>
      </c>
      <c r="E4099" t="str">
        <f>HYPERLINK("J:\Depot - mpkCCD Fractions\Main Web Page\Web Pages_old\proteomic_fractions_linear_files/Yang_linear_img/83009766.jpg","show blot")</f>
        <v>show blot</v>
      </c>
      <c r="G4099" t="s">
        <v>3901</v>
      </c>
      <c r="I4099" s="6">
        <v>4.4823410192732505</v>
      </c>
      <c r="K4099" s="8"/>
    </row>
    <row r="4100" spans="1:11" ht="15" x14ac:dyDescent="0.25">
      <c r="A4100" s="3" t="str">
        <f>HYPERLINK("proteomic_fractions_linear_files/Yang_linear_img/83014391.jpg", "83014391")</f>
        <v>83014391</v>
      </c>
      <c r="C4100" s="3" t="str">
        <f>HYPERLINK("http://www.ncbi.nlm.nih.gov/protein/83014391","LOC637733")</f>
        <v>LOC637733</v>
      </c>
      <c r="E4100" t="str">
        <f>HYPERLINK("J:\Depot - mpkCCD Fractions\Main Web Page\Web Pages_old\proteomic_fractions_linear_files/Yang_linear_img/83014391.jpg","show blot")</f>
        <v>show blot</v>
      </c>
      <c r="G4100" t="s">
        <v>2784</v>
      </c>
      <c r="I4100" s="6">
        <v>6.7091408463872835</v>
      </c>
      <c r="K4100" s="8"/>
    </row>
    <row r="4101" spans="1:11" ht="15" x14ac:dyDescent="0.25">
      <c r="A4101" s="3" t="str">
        <f>HYPERLINK("proteomic_fractions_linear_files/Yang_linear_img/309263460.jpg", "309263460")</f>
        <v>309263460</v>
      </c>
      <c r="C4101" s="3" t="str">
        <f>HYPERLINK("http://www.ncbi.nlm.nih.gov/protein/309263460","LOC638236")</f>
        <v>LOC638236</v>
      </c>
      <c r="E4101" t="str">
        <f>HYPERLINK("J:\Depot - mpkCCD Fractions\Main Web Page\Web Pages_old\proteomic_fractions_linear_files/Yang_linear_img/309263460.jpg","show blot")</f>
        <v>show blot</v>
      </c>
      <c r="G4101" t="s">
        <v>3902</v>
      </c>
      <c r="I4101" s="6">
        <v>6.6930173151134298</v>
      </c>
      <c r="K4101" s="8"/>
    </row>
    <row r="4102" spans="1:11" ht="15" x14ac:dyDescent="0.25">
      <c r="A4102" s="3" t="str">
        <f>HYPERLINK("proteomic_fractions_linear_files/Yang_linear_img/82898755.jpg", "82898755")</f>
        <v>82898755</v>
      </c>
      <c r="C4102" s="3" t="str">
        <f>HYPERLINK("http://www.ncbi.nlm.nih.gov/protein/82898755","LOC638399")</f>
        <v>LOC638399</v>
      </c>
      <c r="E4102" t="str">
        <f>HYPERLINK("J:\Depot - mpkCCD Fractions\Main Web Page\Web Pages_old\proteomic_fractions_linear_files/Yang_linear_img/82898755.jpg","show blot")</f>
        <v>show blot</v>
      </c>
      <c r="G4102" t="s">
        <v>3903</v>
      </c>
      <c r="I4102" s="6">
        <v>6.6425347590981607</v>
      </c>
      <c r="K4102" s="8"/>
    </row>
    <row r="4103" spans="1:11" ht="15" x14ac:dyDescent="0.25">
      <c r="A4103" s="3" t="str">
        <f>HYPERLINK("proteomic_fractions_linear_files/Yang_linear_img/377833703.jpg", "377833703")</f>
        <v>377833703</v>
      </c>
      <c r="C4103" s="3" t="str">
        <f>HYPERLINK("http://www.ncbi.nlm.nih.gov/protein/377833703","LOC639541")</f>
        <v>LOC639541</v>
      </c>
      <c r="E4103" t="str">
        <f>HYPERLINK("J:\Depot - mpkCCD Fractions\Main Web Page\Web Pages_old\proteomic_fractions_linear_files/Yang_linear_img/377833703.jpg","show blot")</f>
        <v>show blot</v>
      </c>
      <c r="G4103" t="s">
        <v>3904</v>
      </c>
      <c r="I4103" s="6">
        <v>4.9412564712023324</v>
      </c>
      <c r="K4103" s="8"/>
    </row>
    <row r="4104" spans="1:11" ht="15" x14ac:dyDescent="0.25">
      <c r="A4104" s="3" t="str">
        <f>HYPERLINK("proteomic_fractions_linear_files/Yang_linear_img/82885488.jpg", "82885488")</f>
        <v>82885488</v>
      </c>
      <c r="C4104" s="3" t="str">
        <f>HYPERLINK("http://www.ncbi.nlm.nih.gov/protein/82885488","LOC639905")</f>
        <v>LOC639905</v>
      </c>
      <c r="E4104" t="str">
        <f>HYPERLINK("J:\Depot - mpkCCD Fractions\Main Web Page\Web Pages_old\proteomic_fractions_linear_files/Yang_linear_img/82885488.jpg","show blot")</f>
        <v>show blot</v>
      </c>
      <c r="G4104" t="s">
        <v>3905</v>
      </c>
      <c r="I4104" s="6">
        <v>4.471150281954638</v>
      </c>
      <c r="K4104" s="8"/>
    </row>
    <row r="4105" spans="1:11" ht="15" x14ac:dyDescent="0.25">
      <c r="A4105" s="3" t="str">
        <f>HYPERLINK("proteomic_fractions_linear_files/Yang_linear_img/82942326.jpg", "82942326")</f>
        <v>82942326</v>
      </c>
      <c r="C4105" s="3" t="str">
        <f>HYPERLINK("http://www.ncbi.nlm.nih.gov/protein/82942326","LOC639931")</f>
        <v>LOC639931</v>
      </c>
      <c r="E4105" t="str">
        <f>HYPERLINK("J:\Depot - mpkCCD Fractions\Main Web Page\Web Pages_old\proteomic_fractions_linear_files/Yang_linear_img/82942326.jpg","show blot")</f>
        <v>show blot</v>
      </c>
      <c r="G4105" t="s">
        <v>3897</v>
      </c>
      <c r="I4105" s="6">
        <v>4.6672974326365742</v>
      </c>
      <c r="K4105" s="8"/>
    </row>
    <row r="4106" spans="1:11" ht="15" x14ac:dyDescent="0.25">
      <c r="A4106" s="3" t="str">
        <f>HYPERLINK("proteomic_fractions_linear_files/Yang_linear_img/309264229.jpg", "309264229")</f>
        <v>309264229</v>
      </c>
      <c r="C4106" s="3" t="str">
        <f>HYPERLINK("http://www.ncbi.nlm.nih.gov/protein/309264229","LOC640611")</f>
        <v>LOC640611</v>
      </c>
      <c r="E4106" t="str">
        <f>HYPERLINK("J:\Depot - mpkCCD Fractions\Main Web Page\Web Pages_old\proteomic_fractions_linear_files/Yang_linear_img/309264229.jpg","show blot")</f>
        <v>show blot</v>
      </c>
      <c r="G4106" t="s">
        <v>3906</v>
      </c>
      <c r="I4106" s="6">
        <v>5.6086139480231054</v>
      </c>
      <c r="K4106" s="8"/>
    </row>
    <row r="4107" spans="1:11" ht="15" x14ac:dyDescent="0.25">
      <c r="A4107" s="3" t="str">
        <f>HYPERLINK("proteomic_fractions_linear_files/Yang_linear_img/309267099.jpg", "309267099")</f>
        <v>309267099</v>
      </c>
      <c r="C4107" s="3" t="str">
        <f>HYPERLINK("http://www.ncbi.nlm.nih.gov/protein/309267099","LOC640856")</f>
        <v>LOC640856</v>
      </c>
      <c r="E4107" t="str">
        <f>HYPERLINK("J:\Depot - mpkCCD Fractions\Main Web Page\Web Pages_old\proteomic_fractions_linear_files/Yang_linear_img/309267099.jpg","show blot")</f>
        <v>show blot</v>
      </c>
      <c r="G4107" t="s">
        <v>3907</v>
      </c>
      <c r="I4107" s="6">
        <v>5.0308620375027493</v>
      </c>
      <c r="K4107" s="8"/>
    </row>
    <row r="4108" spans="1:11" ht="15" x14ac:dyDescent="0.25">
      <c r="A4108" s="3" t="str">
        <f>HYPERLINK("proteomic_fractions_linear_files/Yang_linear_img/149274459.jpg", "149274459")</f>
        <v>149274459</v>
      </c>
      <c r="C4108" s="3" t="str">
        <f>HYPERLINK("http://www.ncbi.nlm.nih.gov/protein/149274459","LOC668643")</f>
        <v>LOC668643</v>
      </c>
      <c r="E4108" t="str">
        <f>HYPERLINK("J:\Depot - mpkCCD Fractions\Main Web Page\Web Pages_old\proteomic_fractions_linear_files/Yang_linear_img/149274459.jpg","show blot")</f>
        <v>show blot</v>
      </c>
      <c r="G4108" t="s">
        <v>3908</v>
      </c>
      <c r="I4108" s="6">
        <v>2.6469709259832337</v>
      </c>
      <c r="K4108" s="8"/>
    </row>
    <row r="4109" spans="1:11" ht="15" x14ac:dyDescent="0.25">
      <c r="A4109" s="3" t="str">
        <f>HYPERLINK("proteomic_fractions_linear_files/Yang_linear_img/94394659.jpg", "94394659")</f>
        <v>94394659</v>
      </c>
      <c r="C4109" s="3" t="str">
        <f>HYPERLINK("http://www.ncbi.nlm.nih.gov/protein/94394659","LOC674321")</f>
        <v>LOC674321</v>
      </c>
      <c r="E4109" t="str">
        <f>HYPERLINK("J:\Depot - mpkCCD Fractions\Main Web Page\Web Pages_old\proteomic_fractions_linear_files/Yang_linear_img/94394659.jpg","show blot")</f>
        <v>show blot</v>
      </c>
      <c r="G4109" t="s">
        <v>3909</v>
      </c>
      <c r="I4109" s="6">
        <v>4.5659947305987432</v>
      </c>
      <c r="K4109" s="8"/>
    </row>
    <row r="4110" spans="1:11" ht="15" x14ac:dyDescent="0.25">
      <c r="A4110" s="3" t="str">
        <f>HYPERLINK("proteomic_fractions_linear_files/Yang_linear_img/377833655.jpg", "377833655")</f>
        <v>377833655</v>
      </c>
      <c r="C4110" s="3" t="str">
        <f>HYPERLINK("http://www.ncbi.nlm.nih.gov/protein/377833655","LOC674595")</f>
        <v>LOC674595</v>
      </c>
      <c r="E4110" t="str">
        <f>HYPERLINK("J:\Depot - mpkCCD Fractions\Main Web Page\Web Pages_old\proteomic_fractions_linear_files/Yang_linear_img/377833655.jpg","show blot")</f>
        <v>show blot</v>
      </c>
      <c r="G4110" t="s">
        <v>3910</v>
      </c>
      <c r="I4110" s="6">
        <v>5.6316686140527068</v>
      </c>
      <c r="K4110" s="8"/>
    </row>
    <row r="4111" spans="1:11" ht="15" x14ac:dyDescent="0.25">
      <c r="A4111" s="3" t="str">
        <f>HYPERLINK("proteomic_fractions_linear_files/Yang_linear_img/309263209.jpg", "309263209")</f>
        <v>309263209</v>
      </c>
      <c r="C4111" s="3" t="str">
        <f>HYPERLINK("http://www.ncbi.nlm.nih.gov/protein/309263209","LOC674846")</f>
        <v>LOC674846</v>
      </c>
      <c r="E4111" t="str">
        <f>HYPERLINK("J:\Depot - mpkCCD Fractions\Main Web Page\Web Pages_old\proteomic_fractions_linear_files/Yang_linear_img/309263209.jpg","show blot")</f>
        <v>show blot</v>
      </c>
      <c r="G4111" t="s">
        <v>3911</v>
      </c>
      <c r="I4111" s="6">
        <v>3.9249641385282286</v>
      </c>
      <c r="K4111" s="8"/>
    </row>
    <row r="4112" spans="1:11" ht="15" x14ac:dyDescent="0.25">
      <c r="A4112" s="3" t="str">
        <f>HYPERLINK("proteomic_fractions_linear_files/Yang_linear_img/407262183.jpg", "407262183")</f>
        <v>407262183</v>
      </c>
      <c r="C4112" s="3" t="str">
        <f>HYPERLINK("http://www.ncbi.nlm.nih.gov/protein/407262183","LOC675851")</f>
        <v>LOC675851</v>
      </c>
      <c r="E4112" t="str">
        <f>HYPERLINK("J:\Depot - mpkCCD Fractions\Main Web Page\Web Pages_old\proteomic_fractions_linear_files/Yang_linear_img/407262183.jpg","show blot")</f>
        <v>show blot</v>
      </c>
      <c r="G4112" t="s">
        <v>3912</v>
      </c>
      <c r="I4112" s="6">
        <v>5.4078074063421884</v>
      </c>
      <c r="K4112" s="8"/>
    </row>
    <row r="4113" spans="1:11" ht="15" x14ac:dyDescent="0.25">
      <c r="A4113" s="3" t="str">
        <f>HYPERLINK("proteomic_fractions_linear_files/Yang_linear_img/149267855.jpg", "149267855")</f>
        <v>149267855</v>
      </c>
      <c r="C4113" s="3" t="str">
        <f>HYPERLINK("http://www.ncbi.nlm.nih.gov/protein/149267855","LOC677113")</f>
        <v>LOC677113</v>
      </c>
      <c r="E4113" t="str">
        <f>HYPERLINK("J:\Depot - mpkCCD Fractions\Main Web Page\Web Pages_old\proteomic_fractions_linear_files/Yang_linear_img/149267855.jpg","show blot")</f>
        <v>show blot</v>
      </c>
      <c r="G4113" t="s">
        <v>3850</v>
      </c>
      <c r="I4113" s="6">
        <v>6.4355018382896443</v>
      </c>
      <c r="K4113" s="8"/>
    </row>
    <row r="4114" spans="1:11" ht="15" x14ac:dyDescent="0.25">
      <c r="A4114" s="3" t="str">
        <f>HYPERLINK("proteomic_fractions_linear_files/Yang_linear_img/407262542.jpg", "407262542")</f>
        <v>407262542</v>
      </c>
      <c r="C4114" s="3" t="str">
        <f>HYPERLINK("http://www.ncbi.nlm.nih.gov/protein/407262542","LOC677654")</f>
        <v>LOC677654</v>
      </c>
      <c r="E4114" t="str">
        <f>HYPERLINK("J:\Depot - mpkCCD Fractions\Main Web Page\Web Pages_old\proteomic_fractions_linear_files/Yang_linear_img/407262542.jpg","show blot")</f>
        <v>show blot</v>
      </c>
      <c r="G4114" t="s">
        <v>3913</v>
      </c>
      <c r="I4114" s="6">
        <v>6.6409587516890713</v>
      </c>
      <c r="K4114" s="8"/>
    </row>
    <row r="4115" spans="1:11" ht="15" x14ac:dyDescent="0.25">
      <c r="A4115" s="3" t="str">
        <f>HYPERLINK("proteomic_fractions_linear_files/Yang_linear_img/27754073.jpg", "27754073")</f>
        <v>27754073</v>
      </c>
      <c r="C4115" s="3" t="str">
        <f>HYPERLINK("http://www.ncbi.nlm.nih.gov/protein/27754073","Loh12cr1")</f>
        <v>Loh12cr1</v>
      </c>
      <c r="E4115" t="str">
        <f>HYPERLINK("J:\Depot - mpkCCD Fractions\Main Web Page\Web Pages_old\proteomic_fractions_linear_files/Yang_linear_img/27754073.jpg","show blot")</f>
        <v>show blot</v>
      </c>
      <c r="G4115" t="s">
        <v>3914</v>
      </c>
      <c r="I4115" s="6">
        <v>4.0084799669778093</v>
      </c>
      <c r="K4115" s="8"/>
    </row>
    <row r="4116" spans="1:11" ht="15" x14ac:dyDescent="0.25">
      <c r="A4116" s="3" t="str">
        <f>HYPERLINK("proteomic_fractions_linear_files/Yang_linear_img/281427221.jpg", "281427221")</f>
        <v>281427221</v>
      </c>
      <c r="C4116" s="3" t="str">
        <f>HYPERLINK("http://www.ncbi.nlm.nih.gov/protein/281427221","Loh12cr1")</f>
        <v>Loh12cr1</v>
      </c>
      <c r="E4116" t="str">
        <f>HYPERLINK("J:\Depot - mpkCCD Fractions\Main Web Page\Web Pages_old\proteomic_fractions_linear_files/Yang_linear_img/281427221.jpg","show blot")</f>
        <v>show blot</v>
      </c>
      <c r="G4116" t="s">
        <v>3915</v>
      </c>
      <c r="I4116" s="6">
        <v>4.0084799669778093</v>
      </c>
      <c r="K4116" s="8"/>
    </row>
    <row r="4117" spans="1:11" ht="15" x14ac:dyDescent="0.25">
      <c r="A4117" s="3" t="str">
        <f>HYPERLINK("proteomic_fractions_linear_files/Yang_linear_img/116089322.jpg", "116089322")</f>
        <v>116089322</v>
      </c>
      <c r="C4117" s="3" t="str">
        <f>HYPERLINK("http://www.ncbi.nlm.nih.gov/protein/116089322","Lonp1")</f>
        <v>Lonp1</v>
      </c>
      <c r="E4117" t="str">
        <f>HYPERLINK("J:\Depot - mpkCCD Fractions\Main Web Page\Web Pages_old\proteomic_fractions_linear_files/Yang_linear_img/116089322.jpg","show blot")</f>
        <v>show blot</v>
      </c>
      <c r="G4117" t="s">
        <v>3916</v>
      </c>
      <c r="I4117" s="6">
        <v>5.4331980924126677</v>
      </c>
      <c r="K4117" s="8"/>
    </row>
    <row r="4118" spans="1:11" ht="15" x14ac:dyDescent="0.25">
      <c r="A4118" s="3" t="str">
        <f>HYPERLINK("proteomic_fractions_linear_files/Yang_linear_img/13385298.jpg", "13385298")</f>
        <v>13385298</v>
      </c>
      <c r="C4118" s="3" t="str">
        <f>HYPERLINK("http://www.ncbi.nlm.nih.gov/protein/13385298","Lonp2")</f>
        <v>Lonp2</v>
      </c>
      <c r="E4118" t="str">
        <f>HYPERLINK("J:\Depot - mpkCCD Fractions\Main Web Page\Web Pages_old\proteomic_fractions_linear_files/Yang_linear_img/13385298.jpg","show blot")</f>
        <v>show blot</v>
      </c>
      <c r="G4118" t="s">
        <v>3917</v>
      </c>
      <c r="I4118" s="6">
        <v>4.4216714745781092</v>
      </c>
      <c r="K4118" s="8"/>
    </row>
    <row r="4119" spans="1:11" ht="15" x14ac:dyDescent="0.25">
      <c r="A4119" s="3" t="str">
        <f>HYPERLINK("proteomic_fractions_linear_files/Yang_linear_img/274319427.jpg", "274319427")</f>
        <v>274319427</v>
      </c>
      <c r="C4119" s="3" t="str">
        <f>HYPERLINK("http://www.ncbi.nlm.nih.gov/protein/274319427","Lonp2")</f>
        <v>Lonp2</v>
      </c>
      <c r="E4119" t="str">
        <f>HYPERLINK("J:\Depot - mpkCCD Fractions\Main Web Page\Web Pages_old\proteomic_fractions_linear_files/Yang_linear_img/274319427.jpg","show blot")</f>
        <v>show blot</v>
      </c>
      <c r="G4119" t="s">
        <v>3918</v>
      </c>
      <c r="I4119" s="6">
        <v>4.4216714745781092</v>
      </c>
      <c r="K4119" s="8"/>
    </row>
    <row r="4120" spans="1:11" ht="15" x14ac:dyDescent="0.25">
      <c r="A4120" s="3" t="str">
        <f>HYPERLINK("proteomic_fractions_linear_files/Yang_linear_img/40254539.jpg", "40254539")</f>
        <v>40254539</v>
      </c>
      <c r="C4120" s="3" t="str">
        <f>HYPERLINK("http://www.ncbi.nlm.nih.gov/protein/40254539","Lpar2")</f>
        <v>Lpar2</v>
      </c>
      <c r="E4120" t="str">
        <f>HYPERLINK("J:\Depot - mpkCCD Fractions\Main Web Page\Web Pages_old\proteomic_fractions_linear_files/Yang_linear_img/40254539.jpg","show blot")</f>
        <v>show blot</v>
      </c>
      <c r="G4120" t="s">
        <v>3919</v>
      </c>
      <c r="I4120" s="7" t="s">
        <v>8360</v>
      </c>
      <c r="K4120" s="8"/>
    </row>
    <row r="4121" spans="1:11" ht="15" x14ac:dyDescent="0.25">
      <c r="A4121" s="3" t="str">
        <f>HYPERLINK("proteomic_fractions_linear_files/Yang_linear_img/148747363.jpg", "148747363")</f>
        <v>148747363</v>
      </c>
      <c r="C4121" s="3" t="str">
        <f>HYPERLINK("http://www.ncbi.nlm.nih.gov/protein/148747363","Lpcat1")</f>
        <v>Lpcat1</v>
      </c>
      <c r="E4121" t="str">
        <f>HYPERLINK("J:\Depot - mpkCCD Fractions\Main Web Page\Web Pages_old\proteomic_fractions_linear_files/Yang_linear_img/148747363.jpg","show blot")</f>
        <v>show blot</v>
      </c>
      <c r="G4121" t="s">
        <v>3920</v>
      </c>
      <c r="I4121" s="6">
        <v>4.1678644244394869</v>
      </c>
      <c r="K4121" s="8"/>
    </row>
    <row r="4122" spans="1:11" ht="15" x14ac:dyDescent="0.25">
      <c r="A4122" s="3" t="str">
        <f>HYPERLINK("proteomic_fractions_linear_files/Yang_linear_img/27370522.jpg", "27370522")</f>
        <v>27370522</v>
      </c>
      <c r="C4122" s="3" t="str">
        <f>HYPERLINK("http://www.ncbi.nlm.nih.gov/protein/27370522","Lpcat2")</f>
        <v>Lpcat2</v>
      </c>
      <c r="E4122" t="str">
        <f>HYPERLINK("J:\Depot - mpkCCD Fractions\Main Web Page\Web Pages_old\proteomic_fractions_linear_files/Yang_linear_img/27370522.jpg","show blot")</f>
        <v>show blot</v>
      </c>
      <c r="G4122" t="s">
        <v>3921</v>
      </c>
      <c r="I4122" s="6">
        <v>3.2032407786492572</v>
      </c>
      <c r="K4122" s="8"/>
    </row>
    <row r="4123" spans="1:11" ht="15" x14ac:dyDescent="0.25">
      <c r="A4123" s="3" t="str">
        <f>HYPERLINK("proteomic_fractions_linear_files/Yang_linear_img/21699058.jpg", "21699058")</f>
        <v>21699058</v>
      </c>
      <c r="C4123" s="3" t="str">
        <f>HYPERLINK("http://www.ncbi.nlm.nih.gov/protein/21699058","Lpcat3")</f>
        <v>Lpcat3</v>
      </c>
      <c r="E4123" t="str">
        <f>HYPERLINK("J:\Depot - mpkCCD Fractions\Main Web Page\Web Pages_old\proteomic_fractions_linear_files/Yang_linear_img/21699058.jpg","show blot")</f>
        <v>show blot</v>
      </c>
      <c r="G4123" t="s">
        <v>3922</v>
      </c>
      <c r="I4123" s="6">
        <v>3.4926146989370537</v>
      </c>
      <c r="K4123" s="8"/>
    </row>
    <row r="4124" spans="1:11" ht="15" x14ac:dyDescent="0.25">
      <c r="A4124" s="3" t="str">
        <f>HYPERLINK("proteomic_fractions_linear_files/Yang_linear_img/46402175.jpg", "46402175")</f>
        <v>46402175</v>
      </c>
      <c r="C4124" s="3" t="str">
        <f>HYPERLINK("http://www.ncbi.nlm.nih.gov/protein/46402175","Lpcat4")</f>
        <v>Lpcat4</v>
      </c>
      <c r="E4124" t="str">
        <f>HYPERLINK("J:\Depot - mpkCCD Fractions\Main Web Page\Web Pages_old\proteomic_fractions_linear_files/Yang_linear_img/46402175.jpg","show blot")</f>
        <v>show blot</v>
      </c>
      <c r="G4124" t="s">
        <v>3923</v>
      </c>
      <c r="I4124" s="6">
        <v>2.8497964382861598</v>
      </c>
      <c r="K4124" s="8"/>
    </row>
    <row r="4125" spans="1:11" ht="15" x14ac:dyDescent="0.25">
      <c r="A4125" s="3" t="str">
        <f>HYPERLINK("proteomic_fractions_linear_files/Yang_linear_img/198386326.jpg", "198386326")</f>
        <v>198386326</v>
      </c>
      <c r="C4125" s="3" t="str">
        <f>HYPERLINK("http://www.ncbi.nlm.nih.gov/protein/198386326","Lpgat1")</f>
        <v>Lpgat1</v>
      </c>
      <c r="E4125" t="str">
        <f>HYPERLINK("J:\Depot - mpkCCD Fractions\Main Web Page\Web Pages_old\proteomic_fractions_linear_files/Yang_linear_img/198386326.jpg","show blot")</f>
        <v>show blot</v>
      </c>
      <c r="G4125" t="s">
        <v>3924</v>
      </c>
      <c r="I4125" s="6">
        <v>3.5397204792373849</v>
      </c>
      <c r="K4125" s="8"/>
    </row>
    <row r="4126" spans="1:11" ht="15" x14ac:dyDescent="0.25">
      <c r="A4126" s="3" t="str">
        <f>HYPERLINK("proteomic_fractions_linear_files/Yang_linear_img/26986567.jpg", "26986567")</f>
        <v>26986567</v>
      </c>
      <c r="C4126" s="3" t="str">
        <f>HYPERLINK("http://www.ncbi.nlm.nih.gov/protein/26986567","Lpgat1")</f>
        <v>Lpgat1</v>
      </c>
      <c r="E4126" t="str">
        <f>HYPERLINK("J:\Depot - mpkCCD Fractions\Main Web Page\Web Pages_old\proteomic_fractions_linear_files/Yang_linear_img/26986567.jpg","show blot")</f>
        <v>show blot</v>
      </c>
      <c r="G4126" t="s">
        <v>3925</v>
      </c>
      <c r="I4126" s="6">
        <v>3.5397204792373849</v>
      </c>
      <c r="K4126" s="8"/>
    </row>
    <row r="4127" spans="1:11" ht="15" x14ac:dyDescent="0.25">
      <c r="A4127" s="3" t="str">
        <f>HYPERLINK("proteomic_fractions_linear_files/Yang_linear_img/124486821.jpg", "124486821")</f>
        <v>124486821</v>
      </c>
      <c r="C4127" s="3" t="str">
        <f>HYPERLINK("http://www.ncbi.nlm.nih.gov/protein/124486821","Lphn2")</f>
        <v>Lphn2</v>
      </c>
      <c r="E4127" t="str">
        <f>HYPERLINK("J:\Depot - mpkCCD Fractions\Main Web Page\Web Pages_old\proteomic_fractions_linear_files/Yang_linear_img/124486821.jpg","show blot")</f>
        <v>show blot</v>
      </c>
      <c r="G4127" t="s">
        <v>3926</v>
      </c>
      <c r="I4127" s="6">
        <v>3.2535260336828857</v>
      </c>
      <c r="K4127" s="8"/>
    </row>
    <row r="4128" spans="1:11" ht="15" x14ac:dyDescent="0.25">
      <c r="A4128" s="3" t="str">
        <f>HYPERLINK("proteomic_fractions_linear_files/Yang_linear_img/225543157.jpg", "225543157")</f>
        <v>225543157</v>
      </c>
      <c r="C4128" s="3" t="str">
        <f>HYPERLINK("http://www.ncbi.nlm.nih.gov/protein/225543157","Lpp")</f>
        <v>Lpp</v>
      </c>
      <c r="E4128" t="str">
        <f>HYPERLINK("J:\Depot - mpkCCD Fractions\Main Web Page\Web Pages_old\proteomic_fractions_linear_files/Yang_linear_img/225543157.jpg","show blot")</f>
        <v>show blot</v>
      </c>
      <c r="G4128" t="s">
        <v>3927</v>
      </c>
      <c r="I4128" s="6">
        <v>5.1291885029311075</v>
      </c>
      <c r="K4128" s="8"/>
    </row>
    <row r="4129" spans="1:11" ht="15" x14ac:dyDescent="0.25">
      <c r="A4129" s="3" t="str">
        <f>HYPERLINK("proteomic_fractions_linear_files/Yang_linear_img/225543168.jpg", "225543168")</f>
        <v>225543168</v>
      </c>
      <c r="C4129" s="3" t="str">
        <f>HYPERLINK("http://www.ncbi.nlm.nih.gov/protein/225543168","Lpp")</f>
        <v>Lpp</v>
      </c>
      <c r="E4129" t="str">
        <f>HYPERLINK("J:\Depot - mpkCCD Fractions\Main Web Page\Web Pages_old\proteomic_fractions_linear_files/Yang_linear_img/225543168.jpg","show blot")</f>
        <v>show blot</v>
      </c>
      <c r="G4129" t="s">
        <v>3928</v>
      </c>
      <c r="I4129" s="6">
        <v>5.1291885029311075</v>
      </c>
      <c r="K4129" s="8"/>
    </row>
    <row r="4130" spans="1:11" ht="15" x14ac:dyDescent="0.25">
      <c r="A4130" s="3" t="str">
        <f>HYPERLINK("proteomic_fractions_linear_files/Yang_linear_img/117956395.jpg", "117956395")</f>
        <v>117956395</v>
      </c>
      <c r="C4130" s="3" t="str">
        <f>HYPERLINK("http://www.ncbi.nlm.nih.gov/protein/117956395","Lrba")</f>
        <v>Lrba</v>
      </c>
      <c r="E4130" t="str">
        <f>HYPERLINK("J:\Depot - mpkCCD Fractions\Main Web Page\Web Pages_old\proteomic_fractions_linear_files/Yang_linear_img/117956395.jpg","show blot")</f>
        <v>show blot</v>
      </c>
      <c r="G4130" t="s">
        <v>3929</v>
      </c>
      <c r="I4130" s="6">
        <v>5.9841098844329714</v>
      </c>
      <c r="K4130" s="8"/>
    </row>
    <row r="4131" spans="1:11" ht="15" x14ac:dyDescent="0.25">
      <c r="A4131" s="3" t="str">
        <f>HYPERLINK("proteomic_fractions_linear_files/Yang_linear_img/117956397.jpg", "117956397")</f>
        <v>117956397</v>
      </c>
      <c r="C4131" s="3" t="str">
        <f>HYPERLINK("http://www.ncbi.nlm.nih.gov/protein/117956397","Lrba")</f>
        <v>Lrba</v>
      </c>
      <c r="E4131" t="str">
        <f>HYPERLINK("J:\Depot - mpkCCD Fractions\Main Web Page\Web Pages_old\proteomic_fractions_linear_files/Yang_linear_img/117956397.jpg","show blot")</f>
        <v>show blot</v>
      </c>
      <c r="G4131" t="s">
        <v>3930</v>
      </c>
      <c r="I4131" s="6">
        <v>5.9841098844329714</v>
      </c>
      <c r="K4131" s="8"/>
    </row>
    <row r="4132" spans="1:11" ht="15" x14ac:dyDescent="0.25">
      <c r="A4132" s="3" t="str">
        <f>HYPERLINK("proteomic_fractions_linear_files/Yang_linear_img/117956399.jpg", "117956399")</f>
        <v>117956399</v>
      </c>
      <c r="C4132" s="3" t="str">
        <f>HYPERLINK("http://www.ncbi.nlm.nih.gov/protein/117956399","Lrba")</f>
        <v>Lrba</v>
      </c>
      <c r="E4132" t="str">
        <f>HYPERLINK("J:\Depot - mpkCCD Fractions\Main Web Page\Web Pages_old\proteomic_fractions_linear_files/Yang_linear_img/117956399.jpg","show blot")</f>
        <v>show blot</v>
      </c>
      <c r="G4132" t="s">
        <v>3931</v>
      </c>
      <c r="I4132" s="6">
        <v>5.9841098844329714</v>
      </c>
      <c r="K4132" s="8"/>
    </row>
    <row r="4133" spans="1:11" ht="15" x14ac:dyDescent="0.25">
      <c r="A4133" s="3" t="str">
        <f>HYPERLINK("proteomic_fractions_linear_files/Yang_linear_img/356460937.jpg", "356460937")</f>
        <v>356460937</v>
      </c>
      <c r="C4133" s="3" t="str">
        <f>HYPERLINK("http://www.ncbi.nlm.nih.gov/protein/356460937","Lrch1")</f>
        <v>Lrch1</v>
      </c>
      <c r="E4133" t="str">
        <f>HYPERLINK("J:\Depot - mpkCCD Fractions\Main Web Page\Web Pages_old\proteomic_fractions_linear_files/Yang_linear_img/356460937.jpg","show blot")</f>
        <v>show blot</v>
      </c>
      <c r="G4133" t="s">
        <v>3932</v>
      </c>
      <c r="I4133" s="6">
        <v>2.4490112520321272</v>
      </c>
      <c r="K4133" s="8"/>
    </row>
    <row r="4134" spans="1:11" ht="15" x14ac:dyDescent="0.25">
      <c r="A4134" s="3" t="str">
        <f>HYPERLINK("proteomic_fractions_linear_files/Yang_linear_img/90991704.jpg", "90991704")</f>
        <v>90991704</v>
      </c>
      <c r="C4134" s="3" t="str">
        <f>HYPERLINK("http://www.ncbi.nlm.nih.gov/protein/90991704","Lrch1")</f>
        <v>Lrch1</v>
      </c>
      <c r="E4134" t="str">
        <f>HYPERLINK("J:\Depot - mpkCCD Fractions\Main Web Page\Web Pages_old\proteomic_fractions_linear_files/Yang_linear_img/90991704.jpg","show blot")</f>
        <v>show blot</v>
      </c>
      <c r="G4134" t="s">
        <v>3933</v>
      </c>
      <c r="I4134" s="6">
        <v>2.4490112520321272</v>
      </c>
      <c r="K4134" s="8"/>
    </row>
    <row r="4135" spans="1:11" ht="15" x14ac:dyDescent="0.25">
      <c r="A4135" s="3" t="str">
        <f>HYPERLINK("proteomic_fractions_linear_files/Yang_linear_img/22122701.jpg", "22122701")</f>
        <v>22122701</v>
      </c>
      <c r="C4135" s="3" t="str">
        <f>HYPERLINK("http://www.ncbi.nlm.nih.gov/protein/22122701","Lrch4")</f>
        <v>Lrch4</v>
      </c>
      <c r="E4135" t="str">
        <f>HYPERLINK("J:\Depot - mpkCCD Fractions\Main Web Page\Web Pages_old\proteomic_fractions_linear_files/Yang_linear_img/22122701.jpg","show blot")</f>
        <v>show blot</v>
      </c>
      <c r="G4135" t="s">
        <v>3934</v>
      </c>
      <c r="I4135" s="6">
        <v>1.4116197059632303</v>
      </c>
      <c r="K4135" s="8"/>
    </row>
    <row r="4136" spans="1:11" ht="15" x14ac:dyDescent="0.25">
      <c r="A4136" s="3" t="str">
        <f>HYPERLINK("proteomic_fractions_linear_files/Yang_linear_img/274325486.jpg", "274325486")</f>
        <v>274325486</v>
      </c>
      <c r="C4136" s="3" t="str">
        <f>HYPERLINK("http://www.ncbi.nlm.nih.gov/protein/274325486","Lrch4")</f>
        <v>Lrch4</v>
      </c>
      <c r="E4136" t="str">
        <f>HYPERLINK("J:\Depot - mpkCCD Fractions\Main Web Page\Web Pages_old\proteomic_fractions_linear_files/Yang_linear_img/274325486.jpg","show blot")</f>
        <v>show blot</v>
      </c>
      <c r="G4136" t="s">
        <v>3935</v>
      </c>
      <c r="I4136" s="6">
        <v>1.4116197059632303</v>
      </c>
      <c r="K4136" s="8"/>
    </row>
    <row r="4137" spans="1:11" ht="15" x14ac:dyDescent="0.25">
      <c r="A4137" s="3" t="str">
        <f>HYPERLINK("proteomic_fractions_linear_files/Yang_linear_img/254588006.jpg", "254588006")</f>
        <v>254588006</v>
      </c>
      <c r="C4137" s="3" t="str">
        <f>HYPERLINK("http://www.ncbi.nlm.nih.gov/protein/254588006","Lrguk")</f>
        <v>Lrguk</v>
      </c>
      <c r="E4137" t="str">
        <f>HYPERLINK("J:\Depot - mpkCCD Fractions\Main Web Page\Web Pages_old\proteomic_fractions_linear_files/Yang_linear_img/254588006.jpg","show blot")</f>
        <v>show blot</v>
      </c>
      <c r="G4137" t="s">
        <v>3936</v>
      </c>
      <c r="I4137" s="6">
        <v>4.5957446346693622</v>
      </c>
      <c r="K4137" s="8"/>
    </row>
    <row r="4138" spans="1:11" ht="15" x14ac:dyDescent="0.25">
      <c r="A4138" s="3" t="str">
        <f>HYPERLINK("proteomic_fractions_linear_files/Yang_linear_img/124494256.jpg", "124494256")</f>
        <v>124494256</v>
      </c>
      <c r="C4138" s="3" t="str">
        <f>HYPERLINK("http://www.ncbi.nlm.nih.gov/protein/124494256","Lrp1")</f>
        <v>Lrp1</v>
      </c>
      <c r="E4138" t="str">
        <f>HYPERLINK("J:\Depot - mpkCCD Fractions\Main Web Page\Web Pages_old\proteomic_fractions_linear_files/Yang_linear_img/124494256.jpg","show blot")</f>
        <v>show blot</v>
      </c>
      <c r="G4138" t="s">
        <v>3937</v>
      </c>
      <c r="I4138" s="6">
        <v>3.8031849687029542</v>
      </c>
      <c r="K4138" s="8"/>
    </row>
    <row r="4139" spans="1:11" ht="15" x14ac:dyDescent="0.25">
      <c r="A4139" s="3" t="str">
        <f>HYPERLINK("proteomic_fractions_linear_files/Yang_linear_img/153792247.jpg", "153792247")</f>
        <v>153792247</v>
      </c>
      <c r="C4139" s="3" t="str">
        <f>HYPERLINK("http://www.ncbi.nlm.nih.gov/protein/153792247","Lrp1b")</f>
        <v>Lrp1b</v>
      </c>
      <c r="E4139" t="str">
        <f>HYPERLINK("J:\Depot - mpkCCD Fractions\Main Web Page\Web Pages_old\proteomic_fractions_linear_files/Yang_linear_img/153792247.jpg","show blot")</f>
        <v>show blot</v>
      </c>
      <c r="G4139" t="s">
        <v>3938</v>
      </c>
      <c r="I4139" s="6">
        <v>1.7046440467026984</v>
      </c>
      <c r="K4139" s="8"/>
    </row>
    <row r="4140" spans="1:11" ht="15" x14ac:dyDescent="0.25">
      <c r="A4140" s="3" t="str">
        <f>HYPERLINK("proteomic_fractions_linear_files/Yang_linear_img/124487372.jpg", "124487372")</f>
        <v>124487372</v>
      </c>
      <c r="C4140" s="3" t="str">
        <f>HYPERLINK("http://www.ncbi.nlm.nih.gov/protein/124487372","Lrp2")</f>
        <v>Lrp2</v>
      </c>
      <c r="E4140" t="str">
        <f>HYPERLINK("J:\Depot - mpkCCD Fractions\Main Web Page\Web Pages_old\proteomic_fractions_linear_files/Yang_linear_img/124487372.jpg","show blot")</f>
        <v>show blot</v>
      </c>
      <c r="G4140" t="s">
        <v>3939</v>
      </c>
      <c r="I4140" s="6">
        <v>4.5127901218249606</v>
      </c>
      <c r="K4140" s="8"/>
    </row>
    <row r="4141" spans="1:11" ht="15" x14ac:dyDescent="0.25">
      <c r="A4141" s="3" t="str">
        <f>HYPERLINK("proteomic_fractions_linear_files/Yang_linear_img/148727327.jpg", "148727327")</f>
        <v>148727327</v>
      </c>
      <c r="C4141" s="3" t="str">
        <f>HYPERLINK("http://www.ncbi.nlm.nih.gov/protein/148727327","Lrp6")</f>
        <v>Lrp6</v>
      </c>
      <c r="E4141" t="str">
        <f>HYPERLINK("J:\Depot - mpkCCD Fractions\Main Web Page\Web Pages_old\proteomic_fractions_linear_files/Yang_linear_img/148727327.jpg","show blot")</f>
        <v>show blot</v>
      </c>
      <c r="G4141" t="s">
        <v>3940</v>
      </c>
      <c r="I4141" s="6">
        <v>3.0226345399441188</v>
      </c>
      <c r="K4141" s="8"/>
    </row>
    <row r="4142" spans="1:11" ht="15" x14ac:dyDescent="0.25">
      <c r="A4142" s="3" t="str">
        <f>HYPERLINK("proteomic_fractions_linear_files/Yang_linear_img/63999380.jpg", "63999380")</f>
        <v>63999380</v>
      </c>
      <c r="C4142" s="3" t="str">
        <f>HYPERLINK("http://www.ncbi.nlm.nih.gov/protein/63999380","Lrpap1")</f>
        <v>Lrpap1</v>
      </c>
      <c r="E4142" t="str">
        <f>HYPERLINK("J:\Depot - mpkCCD Fractions\Main Web Page\Web Pages_old\proteomic_fractions_linear_files/Yang_linear_img/63999380.jpg","show blot")</f>
        <v>show blot</v>
      </c>
      <c r="G4142" t="s">
        <v>3941</v>
      </c>
      <c r="I4142" s="6">
        <v>4.8295459818164401</v>
      </c>
      <c r="K4142" s="8"/>
    </row>
    <row r="4143" spans="1:11" ht="15" x14ac:dyDescent="0.25">
      <c r="A4143" s="3" t="str">
        <f>HYPERLINK("proteomic_fractions_linear_files/Yang_linear_img/134031976.jpg", "134031976")</f>
        <v>134031976</v>
      </c>
      <c r="C4143" s="3" t="str">
        <f>HYPERLINK("http://www.ncbi.nlm.nih.gov/protein/134031976","Lrpprc")</f>
        <v>Lrpprc</v>
      </c>
      <c r="E4143" t="str">
        <f>HYPERLINK("J:\Depot - mpkCCD Fractions\Main Web Page\Web Pages_old\proteomic_fractions_linear_files/Yang_linear_img/134031976.jpg","show blot")</f>
        <v>show blot</v>
      </c>
      <c r="G4143" t="s">
        <v>3942</v>
      </c>
      <c r="I4143" s="6">
        <v>5.4307518797496472</v>
      </c>
      <c r="K4143" s="8"/>
    </row>
    <row r="4144" spans="1:11" ht="15" x14ac:dyDescent="0.25">
      <c r="A4144" s="3" t="str">
        <f>HYPERLINK("proteomic_fractions_linear_files/Yang_linear_img/225690585.jpg", "225690585")</f>
        <v>225690585</v>
      </c>
      <c r="C4144" s="3" t="str">
        <f>HYPERLINK("http://www.ncbi.nlm.nih.gov/protein/225690585","Lrrc1")</f>
        <v>Lrrc1</v>
      </c>
      <c r="E4144" t="str">
        <f>HYPERLINK("J:\Depot - mpkCCD Fractions\Main Web Page\Web Pages_old\proteomic_fractions_linear_files/Yang_linear_img/225690585.jpg","show blot")</f>
        <v>show blot</v>
      </c>
      <c r="G4144" t="s">
        <v>3943</v>
      </c>
      <c r="I4144" s="6">
        <v>5.0485362863005507</v>
      </c>
      <c r="K4144" s="8"/>
    </row>
    <row r="4145" spans="1:11" ht="15" x14ac:dyDescent="0.25">
      <c r="A4145" s="3" t="str">
        <f>HYPERLINK("proteomic_fractions_linear_files/Yang_linear_img/225690587.jpg", "225690587")</f>
        <v>225690587</v>
      </c>
      <c r="C4145" s="3" t="str">
        <f>HYPERLINK("http://www.ncbi.nlm.nih.gov/protein/225690587","Lrrc1")</f>
        <v>Lrrc1</v>
      </c>
      <c r="E4145" t="str">
        <f>HYPERLINK("J:\Depot - mpkCCD Fractions\Main Web Page\Web Pages_old\proteomic_fractions_linear_files/Yang_linear_img/225690587.jpg","show blot")</f>
        <v>show blot</v>
      </c>
      <c r="G4145" t="s">
        <v>3944</v>
      </c>
      <c r="I4145" s="6">
        <v>5.0485362863005507</v>
      </c>
      <c r="K4145" s="8"/>
    </row>
    <row r="4146" spans="1:11" ht="15" x14ac:dyDescent="0.25">
      <c r="A4146" s="3" t="str">
        <f>HYPERLINK("proteomic_fractions_linear_files/Yang_linear_img/21703932.jpg", "21703932")</f>
        <v>21703932</v>
      </c>
      <c r="C4146" s="3" t="str">
        <f>HYPERLINK("http://www.ncbi.nlm.nih.gov/protein/21703932","Lrrc14")</f>
        <v>Lrrc14</v>
      </c>
      <c r="E4146" t="str">
        <f>HYPERLINK("J:\Depot - mpkCCD Fractions\Main Web Page\Web Pages_old\proteomic_fractions_linear_files/Yang_linear_img/21703932.jpg","show blot")</f>
        <v>show blot</v>
      </c>
      <c r="G4146" t="s">
        <v>3945</v>
      </c>
      <c r="I4146" s="6">
        <v>3.3539722514864883</v>
      </c>
      <c r="K4146" s="8"/>
    </row>
    <row r="4147" spans="1:11" ht="15" x14ac:dyDescent="0.25">
      <c r="A4147" s="3" t="str">
        <f>HYPERLINK("proteomic_fractions_linear_files/Yang_linear_img/154146185.jpg", "154146185")</f>
        <v>154146185</v>
      </c>
      <c r="C4147" s="3" t="str">
        <f>HYPERLINK("http://www.ncbi.nlm.nih.gov/protein/154146185","Lrrc16a")</f>
        <v>Lrrc16a</v>
      </c>
      <c r="E4147" t="str">
        <f>HYPERLINK("J:\Depot - mpkCCD Fractions\Main Web Page\Web Pages_old\proteomic_fractions_linear_files/Yang_linear_img/154146185.jpg","show blot")</f>
        <v>show blot</v>
      </c>
      <c r="G4147" t="s">
        <v>3946</v>
      </c>
      <c r="I4147" s="6">
        <v>4.8581492041630252</v>
      </c>
      <c r="K4147" s="8"/>
    </row>
    <row r="4148" spans="1:11" ht="15" x14ac:dyDescent="0.25">
      <c r="A4148" s="3" t="str">
        <f>HYPERLINK("proteomic_fractions_linear_files/Yang_linear_img/23956308.jpg", "23956308")</f>
        <v>23956308</v>
      </c>
      <c r="C4148" s="3" t="str">
        <f>HYPERLINK("http://www.ncbi.nlm.nih.gov/protein/23956308","Lrrc20")</f>
        <v>Lrrc20</v>
      </c>
      <c r="E4148" t="str">
        <f>HYPERLINK("J:\Depot - mpkCCD Fractions\Main Web Page\Web Pages_old\proteomic_fractions_linear_files/Yang_linear_img/23956308.jpg","show blot")</f>
        <v>show blot</v>
      </c>
      <c r="G4148" t="s">
        <v>3947</v>
      </c>
      <c r="I4148" s="6">
        <v>5.2364713367402276</v>
      </c>
      <c r="K4148" s="8"/>
    </row>
    <row r="4149" spans="1:11" ht="15" x14ac:dyDescent="0.25">
      <c r="A4149" s="3" t="str">
        <f>HYPERLINK("proteomic_fractions_linear_files/Yang_linear_img/31541911.jpg", "31541911")</f>
        <v>31541911</v>
      </c>
      <c r="C4149" s="3" t="str">
        <f>HYPERLINK("http://www.ncbi.nlm.nih.gov/protein/31541911","Lrrc40")</f>
        <v>Lrrc40</v>
      </c>
      <c r="E4149" t="str">
        <f>HYPERLINK("J:\Depot - mpkCCD Fractions\Main Web Page\Web Pages_old\proteomic_fractions_linear_files/Yang_linear_img/31541911.jpg","show blot")</f>
        <v>show blot</v>
      </c>
      <c r="G4149" t="s">
        <v>3948</v>
      </c>
      <c r="I4149" s="6">
        <v>4.7526027161142776</v>
      </c>
      <c r="K4149" s="8"/>
    </row>
    <row r="4150" spans="1:11" ht="15" x14ac:dyDescent="0.25">
      <c r="A4150" s="3" t="str">
        <f>HYPERLINK("proteomic_fractions_linear_files/Yang_linear_img/41152116.jpg", "41152116")</f>
        <v>41152116</v>
      </c>
      <c r="C4150" s="3" t="str">
        <f>HYPERLINK("http://www.ncbi.nlm.nih.gov/protein/41152116","Lrrc47")</f>
        <v>Lrrc47</v>
      </c>
      <c r="E4150" t="str">
        <f>HYPERLINK("J:\Depot - mpkCCD Fractions\Main Web Page\Web Pages_old\proteomic_fractions_linear_files/Yang_linear_img/41152116.jpg","show blot")</f>
        <v>show blot</v>
      </c>
      <c r="G4150" t="s">
        <v>3949</v>
      </c>
      <c r="I4150" s="6">
        <v>5.6013258708605127</v>
      </c>
      <c r="K4150" s="8"/>
    </row>
    <row r="4151" spans="1:11" ht="15" x14ac:dyDescent="0.25">
      <c r="A4151" s="3" t="str">
        <f>HYPERLINK("proteomic_fractions_linear_files/Yang_linear_img/227430395.jpg", "227430395")</f>
        <v>227430395</v>
      </c>
      <c r="C4151" s="3" t="str">
        <f>HYPERLINK("http://www.ncbi.nlm.nih.gov/protein/227430395","Lrrc57")</f>
        <v>Lrrc57</v>
      </c>
      <c r="E4151" t="str">
        <f>HYPERLINK("J:\Depot - mpkCCD Fractions\Main Web Page\Web Pages_old\proteomic_fractions_linear_files/Yang_linear_img/227430395.jpg","show blot")</f>
        <v>show blot</v>
      </c>
      <c r="G4151" t="s">
        <v>3950</v>
      </c>
      <c r="I4151" s="6">
        <v>4.645993384647797</v>
      </c>
      <c r="K4151" s="8"/>
    </row>
    <row r="4152" spans="1:11" ht="15" x14ac:dyDescent="0.25">
      <c r="A4152" s="3" t="str">
        <f>HYPERLINK("proteomic_fractions_linear_files/Yang_linear_img/227430397.jpg", "227430397")</f>
        <v>227430397</v>
      </c>
      <c r="C4152" s="3" t="str">
        <f>HYPERLINK("http://www.ncbi.nlm.nih.gov/protein/227430397","Lrrc57")</f>
        <v>Lrrc57</v>
      </c>
      <c r="E4152" t="str">
        <f>HYPERLINK("J:\Depot - mpkCCD Fractions\Main Web Page\Web Pages_old\proteomic_fractions_linear_files/Yang_linear_img/227430397.jpg","show blot")</f>
        <v>show blot</v>
      </c>
      <c r="G4152" t="s">
        <v>3951</v>
      </c>
      <c r="I4152" s="6">
        <v>4.645993384647797</v>
      </c>
      <c r="K4152" s="8"/>
    </row>
    <row r="4153" spans="1:11" ht="15" x14ac:dyDescent="0.25">
      <c r="A4153" s="3" t="str">
        <f>HYPERLINK("proteomic_fractions_linear_files/Yang_linear_img/31981233.jpg", "31981233")</f>
        <v>31981233</v>
      </c>
      <c r="C4153" s="3" t="str">
        <f>HYPERLINK("http://www.ncbi.nlm.nih.gov/protein/31981233","Lrrc57")</f>
        <v>Lrrc57</v>
      </c>
      <c r="E4153" t="str">
        <f>HYPERLINK("J:\Depot - mpkCCD Fractions\Main Web Page\Web Pages_old\proteomic_fractions_linear_files/Yang_linear_img/31981233.jpg","show blot")</f>
        <v>show blot</v>
      </c>
      <c r="G4153" t="s">
        <v>3952</v>
      </c>
      <c r="I4153" s="6">
        <v>4.645993384647797</v>
      </c>
      <c r="K4153" s="8"/>
    </row>
    <row r="4154" spans="1:11" ht="15" x14ac:dyDescent="0.25">
      <c r="A4154" s="3" t="str">
        <f>HYPERLINK("proteomic_fractions_linear_files/Yang_linear_img/110347495.jpg", "110347495")</f>
        <v>110347495</v>
      </c>
      <c r="C4154" s="3" t="str">
        <f>HYPERLINK("http://www.ncbi.nlm.nih.gov/protein/110347495","Lrrc58")</f>
        <v>Lrrc58</v>
      </c>
      <c r="E4154" t="str">
        <f>HYPERLINK("J:\Depot - mpkCCD Fractions\Main Web Page\Web Pages_old\proteomic_fractions_linear_files/Yang_linear_img/110347495.jpg","show blot")</f>
        <v>show blot</v>
      </c>
      <c r="G4154" t="s">
        <v>3953</v>
      </c>
      <c r="I4154" s="6">
        <v>4.8095381976071954</v>
      </c>
      <c r="K4154" s="8"/>
    </row>
    <row r="4155" spans="1:11" ht="15" x14ac:dyDescent="0.25">
      <c r="A4155" s="3" t="str">
        <f>HYPERLINK("proteomic_fractions_linear_files/Yang_linear_img/19527026.jpg", "19527026")</f>
        <v>19527026</v>
      </c>
      <c r="C4155" s="3" t="str">
        <f>HYPERLINK("http://www.ncbi.nlm.nih.gov/protein/19527026","Lrrc59")</f>
        <v>Lrrc59</v>
      </c>
      <c r="E4155" t="str">
        <f>HYPERLINK("J:\Depot - mpkCCD Fractions\Main Web Page\Web Pages_old\proteomic_fractions_linear_files/Yang_linear_img/19527026.jpg","show blot")</f>
        <v>show blot</v>
      </c>
      <c r="G4155" t="s">
        <v>3954</v>
      </c>
      <c r="I4155" s="6">
        <v>5.7274697822846976</v>
      </c>
      <c r="K4155" s="8"/>
    </row>
    <row r="4156" spans="1:11" ht="15" x14ac:dyDescent="0.25">
      <c r="A4156" s="3" t="str">
        <f>HYPERLINK("proteomic_fractions_linear_files/Yang_linear_img/267844854.jpg", "267844854")</f>
        <v>267844854</v>
      </c>
      <c r="C4156" s="3" t="str">
        <f>HYPERLINK("http://www.ncbi.nlm.nih.gov/protein/267844854","Lrrc63")</f>
        <v>Lrrc63</v>
      </c>
      <c r="E4156" t="str">
        <f>HYPERLINK("J:\Depot - mpkCCD Fractions\Main Web Page\Web Pages_old\proteomic_fractions_linear_files/Yang_linear_img/267844854.jpg","show blot")</f>
        <v>show blot</v>
      </c>
      <c r="G4156" t="s">
        <v>3955</v>
      </c>
      <c r="I4156" s="6">
        <v>4.8155403495835234</v>
      </c>
      <c r="K4156" s="8"/>
    </row>
    <row r="4157" spans="1:11" ht="15" x14ac:dyDescent="0.25">
      <c r="A4157" s="3" t="str">
        <f>HYPERLINK("proteomic_fractions_linear_files/Yang_linear_img/124486885.jpg", "124486885")</f>
        <v>124486885</v>
      </c>
      <c r="C4157" s="3" t="str">
        <f>HYPERLINK("http://www.ncbi.nlm.nih.gov/protein/124486885","Lrrc7")</f>
        <v>Lrrc7</v>
      </c>
      <c r="E4157" t="str">
        <f>HYPERLINK("J:\Depot - mpkCCD Fractions\Main Web Page\Web Pages_old\proteomic_fractions_linear_files/Yang_linear_img/124486885.jpg","show blot")</f>
        <v>show blot</v>
      </c>
      <c r="G4157" t="s">
        <v>3956</v>
      </c>
      <c r="I4157" s="6">
        <v>1.9217616298406353</v>
      </c>
      <c r="K4157" s="8"/>
    </row>
    <row r="4158" spans="1:11" ht="15" x14ac:dyDescent="0.25">
      <c r="A4158" s="3" t="str">
        <f>HYPERLINK("proteomic_fractions_linear_files/Yang_linear_img/29244192.jpg", "29244192")</f>
        <v>29244192</v>
      </c>
      <c r="C4158" s="3" t="str">
        <f>HYPERLINK("http://www.ncbi.nlm.nih.gov/protein/29244192","Lrrc8a")</f>
        <v>Lrrc8a</v>
      </c>
      <c r="E4158" t="str">
        <f>HYPERLINK("J:\Depot - mpkCCD Fractions\Main Web Page\Web Pages_old\proteomic_fractions_linear_files/Yang_linear_img/29244192.jpg","show blot")</f>
        <v>show blot</v>
      </c>
      <c r="G4158" t="s">
        <v>3957</v>
      </c>
      <c r="I4158" s="6">
        <v>2.6786249104064188</v>
      </c>
      <c r="K4158" s="8"/>
    </row>
    <row r="4159" spans="1:11" ht="15" x14ac:dyDescent="0.25">
      <c r="A4159" s="3" t="str">
        <f>HYPERLINK("proteomic_fractions_linear_files/Yang_linear_img/254675306.jpg", "254675306")</f>
        <v>254675306</v>
      </c>
      <c r="C4159" s="3" t="str">
        <f>HYPERLINK("http://www.ncbi.nlm.nih.gov/protein/254675306","Lrrcc1")</f>
        <v>Lrrcc1</v>
      </c>
      <c r="E4159" t="str">
        <f>HYPERLINK("J:\Depot - mpkCCD Fractions\Main Web Page\Web Pages_old\proteomic_fractions_linear_files/Yang_linear_img/254675306.jpg","show blot")</f>
        <v>show blot</v>
      </c>
      <c r="G4159" t="s">
        <v>3958</v>
      </c>
      <c r="I4159" s="6">
        <v>2.1080647352687452</v>
      </c>
      <c r="K4159" s="8"/>
    </row>
    <row r="4160" spans="1:11" ht="15" x14ac:dyDescent="0.25">
      <c r="A4160" s="3" t="str">
        <f>HYPERLINK("proteomic_fractions_linear_files/Yang_linear_img/254675308.jpg", "254675308")</f>
        <v>254675308</v>
      </c>
      <c r="C4160" s="3" t="str">
        <f>HYPERLINK("http://www.ncbi.nlm.nih.gov/protein/254675308","Lrrcc1")</f>
        <v>Lrrcc1</v>
      </c>
      <c r="E4160" t="str">
        <f>HYPERLINK("J:\Depot - mpkCCD Fractions\Main Web Page\Web Pages_old\proteomic_fractions_linear_files/Yang_linear_img/254675308.jpg","show blot")</f>
        <v>show blot</v>
      </c>
      <c r="G4160" t="s">
        <v>3959</v>
      </c>
      <c r="I4160" s="6">
        <v>2.1080647352687452</v>
      </c>
      <c r="K4160" s="8"/>
    </row>
    <row r="4161" spans="1:11" ht="15" x14ac:dyDescent="0.25">
      <c r="A4161" s="3" t="str">
        <f>HYPERLINK("proteomic_fractions_linear_files/Yang_linear_img/254675310.jpg", "254675310")</f>
        <v>254675310</v>
      </c>
      <c r="C4161" s="3" t="str">
        <f>HYPERLINK("http://www.ncbi.nlm.nih.gov/protein/254675310","Lrrcc1")</f>
        <v>Lrrcc1</v>
      </c>
      <c r="E4161" t="str">
        <f>HYPERLINK("J:\Depot - mpkCCD Fractions\Main Web Page\Web Pages_old\proteomic_fractions_linear_files/Yang_linear_img/254675310.jpg","show blot")</f>
        <v>show blot</v>
      </c>
      <c r="G4161" t="s">
        <v>3960</v>
      </c>
      <c r="I4161" s="6">
        <v>2.1080647352687452</v>
      </c>
      <c r="K4161" s="8"/>
    </row>
    <row r="4162" spans="1:11" ht="15" x14ac:dyDescent="0.25">
      <c r="A4162" s="3" t="str">
        <f>HYPERLINK("proteomic_fractions_linear_files/Yang_linear_img/162417949.jpg", "162417949")</f>
        <v>162417949</v>
      </c>
      <c r="C4162" s="3" t="str">
        <f>HYPERLINK("http://www.ncbi.nlm.nih.gov/protein/162417949","Lrrfip1")</f>
        <v>Lrrfip1</v>
      </c>
      <c r="E4162" t="str">
        <f>HYPERLINK("J:\Depot - mpkCCD Fractions\Main Web Page\Web Pages_old\proteomic_fractions_linear_files/Yang_linear_img/162417949.jpg","show blot")</f>
        <v>show blot</v>
      </c>
      <c r="G4162" t="s">
        <v>3961</v>
      </c>
      <c r="I4162" s="6">
        <v>5.7247198322024433</v>
      </c>
      <c r="K4162" s="8"/>
    </row>
    <row r="4163" spans="1:11" ht="15" x14ac:dyDescent="0.25">
      <c r="A4163" s="3" t="str">
        <f>HYPERLINK("proteomic_fractions_linear_files/Yang_linear_img/162417952.jpg", "162417952")</f>
        <v>162417952</v>
      </c>
      <c r="C4163" s="3" t="str">
        <f>HYPERLINK("http://www.ncbi.nlm.nih.gov/protein/162417952","Lrrfip1")</f>
        <v>Lrrfip1</v>
      </c>
      <c r="E4163" t="str">
        <f>HYPERLINK("J:\Depot - mpkCCD Fractions\Main Web Page\Web Pages_old\proteomic_fractions_linear_files/Yang_linear_img/162417952.jpg","show blot")</f>
        <v>show blot</v>
      </c>
      <c r="G4163" t="s">
        <v>3962</v>
      </c>
      <c r="I4163" s="6">
        <v>5.7247198322024433</v>
      </c>
      <c r="K4163" s="8"/>
    </row>
    <row r="4164" spans="1:11" ht="15" x14ac:dyDescent="0.25">
      <c r="A4164" s="3" t="str">
        <f>HYPERLINK("proteomic_fractions_linear_files/Yang_linear_img/6678722.jpg", "6678722")</f>
        <v>6678722</v>
      </c>
      <c r="C4164" s="3" t="str">
        <f>HYPERLINK("http://www.ncbi.nlm.nih.gov/protein/6678722","Lrrfip1")</f>
        <v>Lrrfip1</v>
      </c>
      <c r="E4164" t="str">
        <f>HYPERLINK("J:\Depot - mpkCCD Fractions\Main Web Page\Web Pages_old\proteomic_fractions_linear_files/Yang_linear_img/6678722.jpg","show blot")</f>
        <v>show blot</v>
      </c>
      <c r="G4164" t="s">
        <v>3963</v>
      </c>
      <c r="I4164" s="6">
        <v>5.7247198322024433</v>
      </c>
      <c r="K4164" s="8"/>
    </row>
    <row r="4165" spans="1:11" ht="15" x14ac:dyDescent="0.25">
      <c r="A4165" s="3" t="str">
        <f>HYPERLINK("proteomic_fractions_linear_files/Yang_linear_img/110625827.jpg", "110625827")</f>
        <v>110625827</v>
      </c>
      <c r="C4165" s="3" t="str">
        <f>HYPERLINK("http://www.ncbi.nlm.nih.gov/protein/110625827","Lrrfip2")</f>
        <v>Lrrfip2</v>
      </c>
      <c r="E4165" t="str">
        <f>HYPERLINK("J:\Depot - mpkCCD Fractions\Main Web Page\Web Pages_old\proteomic_fractions_linear_files/Yang_linear_img/110625827.jpg","show blot")</f>
        <v>show blot</v>
      </c>
      <c r="G4165" t="s">
        <v>3964</v>
      </c>
      <c r="I4165" s="6">
        <v>5.1685187777610961</v>
      </c>
      <c r="K4165" s="8"/>
    </row>
    <row r="4166" spans="1:11" ht="15" x14ac:dyDescent="0.25">
      <c r="A4166" s="3" t="str">
        <f>HYPERLINK("proteomic_fractions_linear_files/Yang_linear_img/258679524.jpg", "258679524")</f>
        <v>258679524</v>
      </c>
      <c r="C4166" s="3" t="str">
        <f>HYPERLINK("http://www.ncbi.nlm.nih.gov/protein/258679524","Lrrfip2")</f>
        <v>Lrrfip2</v>
      </c>
      <c r="E4166" t="str">
        <f>HYPERLINK("J:\Depot - mpkCCD Fractions\Main Web Page\Web Pages_old\proteomic_fractions_linear_files/Yang_linear_img/258679524.jpg","show blot")</f>
        <v>show blot</v>
      </c>
      <c r="G4166" t="s">
        <v>3965</v>
      </c>
      <c r="I4166" s="6">
        <v>5.1685187777610961</v>
      </c>
      <c r="K4166" s="8"/>
    </row>
    <row r="4167" spans="1:11" ht="15" x14ac:dyDescent="0.25">
      <c r="A4167" s="3" t="str">
        <f>HYPERLINK("proteomic_fractions_linear_files/Yang_linear_img/56699427.jpg", "56699427")</f>
        <v>56699427</v>
      </c>
      <c r="C4167" s="3" t="str">
        <f>HYPERLINK("http://www.ncbi.nlm.nih.gov/protein/56699427","Lrrk1")</f>
        <v>Lrrk1</v>
      </c>
      <c r="E4167" t="str">
        <f>HYPERLINK("J:\Depot - mpkCCD Fractions\Main Web Page\Web Pages_old\proteomic_fractions_linear_files/Yang_linear_img/56699427.jpg","show blot")</f>
        <v>show blot</v>
      </c>
      <c r="G4167" t="s">
        <v>3966</v>
      </c>
      <c r="I4167" s="6">
        <v>1.9081612108123718</v>
      </c>
      <c r="K4167" s="8"/>
    </row>
    <row r="4168" spans="1:11" ht="15" x14ac:dyDescent="0.25">
      <c r="A4168" s="3" t="str">
        <f>HYPERLINK("proteomic_fractions_linear_files/Yang_linear_img/146231954.jpg", "146231954")</f>
        <v>146231954</v>
      </c>
      <c r="C4168" s="3" t="str">
        <f>HYPERLINK("http://www.ncbi.nlm.nih.gov/protein/146231954","Lrrk2")</f>
        <v>Lrrk2</v>
      </c>
      <c r="E4168" t="str">
        <f>HYPERLINK("J:\Depot - mpkCCD Fractions\Main Web Page\Web Pages_old\proteomic_fractions_linear_files/Yang_linear_img/146231954.jpg","show blot")</f>
        <v>show blot</v>
      </c>
      <c r="G4168" t="s">
        <v>3967</v>
      </c>
      <c r="I4168" s="6">
        <v>4.3882240006971571</v>
      </c>
      <c r="K4168" s="8"/>
    </row>
    <row r="4169" spans="1:11" ht="15" x14ac:dyDescent="0.25">
      <c r="A4169" s="3" t="str">
        <f>HYPERLINK("proteomic_fractions_linear_files/Yang_linear_img/110625667.jpg", "110625667")</f>
        <v>110625667</v>
      </c>
      <c r="C4169" s="3" t="str">
        <f>HYPERLINK("http://www.ncbi.nlm.nih.gov/protein/110625667","Lsm1")</f>
        <v>Lsm1</v>
      </c>
      <c r="E4169" t="str">
        <f>HYPERLINK("J:\Depot - mpkCCD Fractions\Main Web Page\Web Pages_old\proteomic_fractions_linear_files/Yang_linear_img/110625667.jpg","show blot")</f>
        <v>show blot</v>
      </c>
      <c r="G4169" t="s">
        <v>3968</v>
      </c>
      <c r="I4169" s="6">
        <v>4.4684857748679176</v>
      </c>
      <c r="K4169" s="8"/>
    </row>
    <row r="4170" spans="1:11" ht="15" x14ac:dyDescent="0.25">
      <c r="A4170" s="3" t="str">
        <f>HYPERLINK("proteomic_fractions_linear_files/Yang_linear_img/20270251.jpg", "20270251")</f>
        <v>20270251</v>
      </c>
      <c r="C4170" s="3" t="str">
        <f>HYPERLINK("http://www.ncbi.nlm.nih.gov/protein/20270251","Lsm10")</f>
        <v>Lsm10</v>
      </c>
      <c r="E4170" t="str">
        <f>HYPERLINK("J:\Depot - mpkCCD Fractions\Main Web Page\Web Pages_old\proteomic_fractions_linear_files/Yang_linear_img/20270251.jpg","show blot")</f>
        <v>show blot</v>
      </c>
      <c r="G4170" t="s">
        <v>3969</v>
      </c>
      <c r="I4170" s="6">
        <v>4.0702412903640113</v>
      </c>
      <c r="K4170" s="8"/>
    </row>
    <row r="4171" spans="1:11" ht="15" x14ac:dyDescent="0.25">
      <c r="A4171" s="3" t="str">
        <f>HYPERLINK("proteomic_fractions_linear_files/Yang_linear_img/31711990.jpg", "31711990")</f>
        <v>31711990</v>
      </c>
      <c r="C4171" s="3" t="str">
        <f>HYPERLINK("http://www.ncbi.nlm.nih.gov/protein/31711990","Lsm12")</f>
        <v>Lsm12</v>
      </c>
      <c r="E4171" t="str">
        <f>HYPERLINK("J:\Depot - mpkCCD Fractions\Main Web Page\Web Pages_old\proteomic_fractions_linear_files/Yang_linear_img/31711990.jpg","show blot")</f>
        <v>show blot</v>
      </c>
      <c r="G4171" t="s">
        <v>3970</v>
      </c>
      <c r="I4171" s="6">
        <v>5.4585829620853596</v>
      </c>
      <c r="K4171" s="8"/>
    </row>
    <row r="4172" spans="1:11" ht="15" x14ac:dyDescent="0.25">
      <c r="A4172" s="3" t="str">
        <f>HYPERLINK("proteomic_fractions_linear_files/Yang_linear_img/23956156.jpg", "23956156")</f>
        <v>23956156</v>
      </c>
      <c r="C4172" s="3" t="str">
        <f>HYPERLINK("http://www.ncbi.nlm.nih.gov/protein/23956156","Lsm14a")</f>
        <v>Lsm14a</v>
      </c>
      <c r="E4172" t="str">
        <f>HYPERLINK("J:\Depot - mpkCCD Fractions\Main Web Page\Web Pages_old\proteomic_fractions_linear_files/Yang_linear_img/23956156.jpg","show blot")</f>
        <v>show blot</v>
      </c>
      <c r="G4172" t="s">
        <v>3971</v>
      </c>
      <c r="I4172" s="6">
        <v>3.5953431883891658</v>
      </c>
      <c r="K4172" s="8"/>
    </row>
    <row r="4173" spans="1:11" ht="15" x14ac:dyDescent="0.25">
      <c r="A4173" s="3" t="str">
        <f>HYPERLINK("proteomic_fractions_linear_files/Yang_linear_img/148839333.jpg", "148839333")</f>
        <v>148839333</v>
      </c>
      <c r="C4173" s="3" t="str">
        <f>HYPERLINK("http://www.ncbi.nlm.nih.gov/protein/148839333","Lsm14b")</f>
        <v>Lsm14b</v>
      </c>
      <c r="E4173" t="str">
        <f>HYPERLINK("J:\Depot - mpkCCD Fractions\Main Web Page\Web Pages_old\proteomic_fractions_linear_files/Yang_linear_img/148839333.jpg","show blot")</f>
        <v>show blot</v>
      </c>
      <c r="G4173" t="s">
        <v>3972</v>
      </c>
      <c r="I4173" s="6">
        <v>3.6050535207650038</v>
      </c>
      <c r="K4173" s="8"/>
    </row>
    <row r="4174" spans="1:11" ht="15" x14ac:dyDescent="0.25">
      <c r="A4174" s="3" t="str">
        <f>HYPERLINK("proteomic_fractions_linear_files/Yang_linear_img/324021707.jpg", "324021707")</f>
        <v>324021707</v>
      </c>
      <c r="C4174" s="3" t="str">
        <f>HYPERLINK("http://www.ncbi.nlm.nih.gov/protein/324021707","Lsm2")</f>
        <v>Lsm2</v>
      </c>
      <c r="E4174" t="str">
        <f>HYPERLINK("J:\Depot - mpkCCD Fractions\Main Web Page\Web Pages_old\proteomic_fractions_linear_files/Yang_linear_img/324021707.jpg","show blot")</f>
        <v>show blot</v>
      </c>
      <c r="G4174" t="s">
        <v>3973</v>
      </c>
      <c r="I4174" s="6">
        <v>5.669278345939766</v>
      </c>
      <c r="K4174" s="8"/>
    </row>
    <row r="4175" spans="1:11" ht="15" x14ac:dyDescent="0.25">
      <c r="A4175" s="3" t="str">
        <f>HYPERLINK("proteomic_fractions_linear_files/Yang_linear_img/13994221.jpg", "13994221")</f>
        <v>13994221</v>
      </c>
      <c r="C4175" s="3" t="str">
        <f>HYPERLINK("http://www.ncbi.nlm.nih.gov/protein/13994221","Lsm2")</f>
        <v>Lsm2</v>
      </c>
      <c r="E4175" t="str">
        <f>HYPERLINK("J:\Depot - mpkCCD Fractions\Main Web Page\Web Pages_old\proteomic_fractions_linear_files/Yang_linear_img/13994221.jpg","show blot")</f>
        <v>show blot</v>
      </c>
      <c r="G4175" t="s">
        <v>3974</v>
      </c>
      <c r="I4175" s="6">
        <v>5.669278345939766</v>
      </c>
      <c r="K4175" s="8"/>
    </row>
    <row r="4176" spans="1:11" ht="15" x14ac:dyDescent="0.25">
      <c r="A4176" s="3" t="str">
        <f>HYPERLINK("proteomic_fractions_linear_files/Yang_linear_img/158533995.jpg", "158533995")</f>
        <v>158533995</v>
      </c>
      <c r="C4176" s="3" t="str">
        <f>HYPERLINK("http://www.ncbi.nlm.nih.gov/protein/158533995","Lsm2")</f>
        <v>Lsm2</v>
      </c>
      <c r="E4176" t="str">
        <f>HYPERLINK("J:\Depot - mpkCCD Fractions\Main Web Page\Web Pages_old\proteomic_fractions_linear_files/Yang_linear_img/158533995.jpg","show blot")</f>
        <v>show blot</v>
      </c>
      <c r="G4176" t="s">
        <v>3975</v>
      </c>
      <c r="I4176" s="6">
        <v>5.669278345939766</v>
      </c>
      <c r="K4176" s="8"/>
    </row>
    <row r="4177" spans="1:11" ht="15" x14ac:dyDescent="0.25">
      <c r="A4177" s="3" t="str">
        <f>HYPERLINK("proteomic_fractions_linear_files/Yang_linear_img/324021709.jpg", "324021709")</f>
        <v>324021709</v>
      </c>
      <c r="C4177" s="3" t="str">
        <f>HYPERLINK("http://www.ncbi.nlm.nih.gov/protein/324021709","Lsm2")</f>
        <v>Lsm2</v>
      </c>
      <c r="E4177" t="str">
        <f>HYPERLINK("J:\Depot - mpkCCD Fractions\Main Web Page\Web Pages_old\proteomic_fractions_linear_files/Yang_linear_img/324021709.jpg","show blot")</f>
        <v>show blot</v>
      </c>
      <c r="G4177" t="s">
        <v>3976</v>
      </c>
      <c r="I4177" s="6">
        <v>5.669278345939766</v>
      </c>
      <c r="K4177" s="8"/>
    </row>
    <row r="4178" spans="1:11" ht="15" x14ac:dyDescent="0.25">
      <c r="A4178" s="3" t="str">
        <f>HYPERLINK("proteomic_fractions_linear_files/Yang_linear_img/13385806.jpg", "13385806")</f>
        <v>13385806</v>
      </c>
      <c r="C4178" s="3" t="str">
        <f>HYPERLINK("http://www.ncbi.nlm.nih.gov/protein/13385806","Lsm3")</f>
        <v>Lsm3</v>
      </c>
      <c r="E4178" t="str">
        <f>HYPERLINK("J:\Depot - mpkCCD Fractions\Main Web Page\Web Pages_old\proteomic_fractions_linear_files/Yang_linear_img/13385806.jpg","show blot")</f>
        <v>show blot</v>
      </c>
      <c r="G4178" t="s">
        <v>3977</v>
      </c>
      <c r="I4178" s="6">
        <v>5.8926108521118454</v>
      </c>
      <c r="K4178" s="8"/>
    </row>
    <row r="4179" spans="1:11" ht="15" x14ac:dyDescent="0.25">
      <c r="A4179" s="3" t="str">
        <f>HYPERLINK("proteomic_fractions_linear_files/Yang_linear_img/159032056.jpg", "159032056")</f>
        <v>159032056</v>
      </c>
      <c r="C4179" s="3" t="str">
        <f>HYPERLINK("http://www.ncbi.nlm.nih.gov/protein/159032056","Lsm4")</f>
        <v>Lsm4</v>
      </c>
      <c r="E4179" t="str">
        <f>HYPERLINK("J:\Depot - mpkCCD Fractions\Main Web Page\Web Pages_old\proteomic_fractions_linear_files/Yang_linear_img/159032056.jpg","show blot")</f>
        <v>show blot</v>
      </c>
      <c r="G4179" t="s">
        <v>3978</v>
      </c>
      <c r="I4179" s="6">
        <v>5.879591967885494</v>
      </c>
      <c r="K4179" s="8"/>
    </row>
    <row r="4180" spans="1:11" ht="15" x14ac:dyDescent="0.25">
      <c r="A4180" s="3" t="str">
        <f>HYPERLINK("proteomic_fractions_linear_files/Yang_linear_img/113865835.jpg", "113865835")</f>
        <v>113865835</v>
      </c>
      <c r="C4180" s="3" t="str">
        <f>HYPERLINK("http://www.ncbi.nlm.nih.gov/protein/113865835","Lsm6")</f>
        <v>Lsm6</v>
      </c>
      <c r="E4180" t="str">
        <f>HYPERLINK("J:\Depot - mpkCCD Fractions\Main Web Page\Web Pages_old\proteomic_fractions_linear_files/Yang_linear_img/113865835.jpg","show blot")</f>
        <v>show blot</v>
      </c>
      <c r="G4180" t="s">
        <v>3979</v>
      </c>
      <c r="I4180" s="6">
        <v>5.2873180636992378</v>
      </c>
      <c r="K4180" s="8"/>
    </row>
    <row r="4181" spans="1:11" ht="15" x14ac:dyDescent="0.25">
      <c r="A4181" s="3" t="str">
        <f>HYPERLINK("proteomic_fractions_linear_files/Yang_linear_img/300797601;113865835.jpg", "300797601;113865835")</f>
        <v>300797601;113865835</v>
      </c>
      <c r="C4181" s="3" t="str">
        <f>HYPERLINK("http://www.ncbi.nlm.nih.gov/protein/300797601;113865835","Lsm6")</f>
        <v>Lsm6</v>
      </c>
      <c r="E4181" t="str">
        <f>HYPERLINK("J:\Depot - mpkCCD Fractions\Main Web Page\Web Pages_old\proteomic_fractions_linear_files/Yang_linear_img/300797601;113865835.jpg","show blot")</f>
        <v>show blot</v>
      </c>
      <c r="G4181" t="s">
        <v>3979</v>
      </c>
      <c r="I4181" s="6">
        <v>5.2873180636992378</v>
      </c>
      <c r="K4181" s="8"/>
    </row>
    <row r="4182" spans="1:11" ht="15" x14ac:dyDescent="0.25">
      <c r="A4182" s="3" t="str">
        <f>HYPERLINK("proteomic_fractions_linear_files/Yang_linear_img/13384714.jpg", "13384714")</f>
        <v>13384714</v>
      </c>
      <c r="C4182" s="3" t="str">
        <f>HYPERLINK("http://www.ncbi.nlm.nih.gov/protein/13384714","Lsm7")</f>
        <v>Lsm7</v>
      </c>
      <c r="E4182" t="str">
        <f>HYPERLINK("J:\Depot - mpkCCD Fractions\Main Web Page\Web Pages_old\proteomic_fractions_linear_files/Yang_linear_img/13384714.jpg","show blot")</f>
        <v>show blot</v>
      </c>
      <c r="G4182" t="s">
        <v>3980</v>
      </c>
      <c r="I4182" s="6">
        <v>5.766490652993725</v>
      </c>
      <c r="K4182" s="8"/>
    </row>
    <row r="4183" spans="1:11" ht="15" x14ac:dyDescent="0.25">
      <c r="A4183" s="3" t="str">
        <f>HYPERLINK("proteomic_fractions_linear_files/Yang_linear_img/58037525.jpg", "58037525")</f>
        <v>58037525</v>
      </c>
      <c r="C4183" s="3" t="str">
        <f>HYPERLINK("http://www.ncbi.nlm.nih.gov/protein/58037525","Lsmd1")</f>
        <v>Lsmd1</v>
      </c>
      <c r="E4183" t="str">
        <f>HYPERLINK("J:\Depot - mpkCCD Fractions\Main Web Page\Web Pages_old\proteomic_fractions_linear_files/Yang_linear_img/58037525.jpg","show blot")</f>
        <v>show blot</v>
      </c>
      <c r="G4183" t="s">
        <v>3981</v>
      </c>
      <c r="I4183" s="6">
        <v>3.6814736459081918</v>
      </c>
      <c r="K4183" s="8"/>
    </row>
    <row r="4184" spans="1:11" ht="15" x14ac:dyDescent="0.25">
      <c r="A4184" s="3" t="str">
        <f>HYPERLINK("proteomic_fractions_linear_files/Yang_linear_img/255958261.jpg", "255958261")</f>
        <v>255958261</v>
      </c>
      <c r="C4184" s="3" t="str">
        <f>HYPERLINK("http://www.ncbi.nlm.nih.gov/protein/255958261","Lsr")</f>
        <v>Lsr</v>
      </c>
      <c r="E4184" t="str">
        <f>HYPERLINK("J:\Depot - mpkCCD Fractions\Main Web Page\Web Pages_old\proteomic_fractions_linear_files/Yang_linear_img/255958261.jpg","show blot")</f>
        <v>show blot</v>
      </c>
      <c r="G4184" t="s">
        <v>3982</v>
      </c>
      <c r="I4184" s="6">
        <v>2.811652920930535</v>
      </c>
      <c r="K4184" s="8"/>
    </row>
    <row r="4185" spans="1:11" ht="15" x14ac:dyDescent="0.25">
      <c r="A4185" s="3" t="str">
        <f>HYPERLINK("proteomic_fractions_linear_files/Yang_linear_img/255958263.jpg", "255958263")</f>
        <v>255958263</v>
      </c>
      <c r="C4185" s="3" t="str">
        <f>HYPERLINK("http://www.ncbi.nlm.nih.gov/protein/255958263","Lsr")</f>
        <v>Lsr</v>
      </c>
      <c r="E4185" t="str">
        <f>HYPERLINK("J:\Depot - mpkCCD Fractions\Main Web Page\Web Pages_old\proteomic_fractions_linear_files/Yang_linear_img/255958263.jpg","show blot")</f>
        <v>show blot</v>
      </c>
      <c r="G4185" t="s">
        <v>3983</v>
      </c>
      <c r="I4185" s="6">
        <v>2.811652920930535</v>
      </c>
      <c r="K4185" s="8"/>
    </row>
    <row r="4186" spans="1:11" ht="15" x14ac:dyDescent="0.25">
      <c r="A4186" s="3" t="str">
        <f>HYPERLINK("proteomic_fractions_linear_files/Yang_linear_img/30794490.jpg", "30794490")</f>
        <v>30794490</v>
      </c>
      <c r="C4186" s="3" t="str">
        <f>HYPERLINK("http://www.ncbi.nlm.nih.gov/protein/30794490","Lsr")</f>
        <v>Lsr</v>
      </c>
      <c r="E4186" t="str">
        <f>HYPERLINK("J:\Depot - mpkCCD Fractions\Main Web Page\Web Pages_old\proteomic_fractions_linear_files/Yang_linear_img/30794490.jpg","show blot")</f>
        <v>show blot</v>
      </c>
      <c r="G4186" t="s">
        <v>3984</v>
      </c>
      <c r="I4186" s="6">
        <v>2.811652920930535</v>
      </c>
      <c r="K4186" s="8"/>
    </row>
    <row r="4187" spans="1:11" ht="15" x14ac:dyDescent="0.25">
      <c r="A4187" s="3" t="str">
        <f>HYPERLINK("proteomic_fractions_linear_files/Yang_linear_img/22122469.jpg", "22122469")</f>
        <v>22122469</v>
      </c>
      <c r="C4187" s="3" t="str">
        <f>HYPERLINK("http://www.ncbi.nlm.nih.gov/protein/22122469","Lss")</f>
        <v>Lss</v>
      </c>
      <c r="E4187" t="str">
        <f>HYPERLINK("J:\Depot - mpkCCD Fractions\Main Web Page\Web Pages_old\proteomic_fractions_linear_files/Yang_linear_img/22122469.jpg","show blot")</f>
        <v>show blot</v>
      </c>
      <c r="G4187" t="s">
        <v>3985</v>
      </c>
      <c r="I4187" s="6">
        <v>4.7792182100831431</v>
      </c>
      <c r="K4187" s="8"/>
    </row>
    <row r="4188" spans="1:11" ht="15" x14ac:dyDescent="0.25">
      <c r="A4188" s="3" t="str">
        <f>HYPERLINK("proteomic_fractions_linear_files/Yang_linear_img/116734870.jpg", "116734870")</f>
        <v>116734870</v>
      </c>
      <c r="C4188" s="3" t="str">
        <f>HYPERLINK("http://www.ncbi.nlm.nih.gov/protein/116734870","Lta4h")</f>
        <v>Lta4h</v>
      </c>
      <c r="E4188" t="str">
        <f>HYPERLINK("J:\Depot - mpkCCD Fractions\Main Web Page\Web Pages_old\proteomic_fractions_linear_files/Yang_linear_img/116734870.jpg","show blot")</f>
        <v>show blot</v>
      </c>
      <c r="G4188" t="s">
        <v>3986</v>
      </c>
      <c r="I4188" s="6">
        <v>5.4745448964693342</v>
      </c>
      <c r="K4188" s="8"/>
    </row>
    <row r="4189" spans="1:11" ht="15" x14ac:dyDescent="0.25">
      <c r="A4189" s="3" t="str">
        <f>HYPERLINK("proteomic_fractions_linear_files/Yang_linear_img/124486727.jpg", "124486727")</f>
        <v>124486727</v>
      </c>
      <c r="C4189" s="3" t="str">
        <f>HYPERLINK("http://www.ncbi.nlm.nih.gov/protein/124486727","Ltn1")</f>
        <v>Ltn1</v>
      </c>
      <c r="E4189" t="str">
        <f>HYPERLINK("J:\Depot - mpkCCD Fractions\Main Web Page\Web Pages_old\proteomic_fractions_linear_files/Yang_linear_img/124486727.jpg","show blot")</f>
        <v>show blot</v>
      </c>
      <c r="G4189" t="s">
        <v>3987</v>
      </c>
      <c r="I4189" s="6">
        <v>4.06775276029731</v>
      </c>
      <c r="K4189" s="8"/>
    </row>
    <row r="4190" spans="1:11" ht="15" x14ac:dyDescent="0.25">
      <c r="A4190" s="3" t="str">
        <f>HYPERLINK("proteomic_fractions_linear_files/Yang_linear_img/31324539.jpg", "31324539")</f>
        <v>31324539</v>
      </c>
      <c r="C4190" s="3" t="str">
        <f>HYPERLINK("http://www.ncbi.nlm.nih.gov/protein/31324539","Ltv1")</f>
        <v>Ltv1</v>
      </c>
      <c r="E4190" t="str">
        <f>HYPERLINK("J:\Depot - mpkCCD Fractions\Main Web Page\Web Pages_old\proteomic_fractions_linear_files/Yang_linear_img/31324539.jpg","show blot")</f>
        <v>show blot</v>
      </c>
      <c r="G4190" t="s">
        <v>3988</v>
      </c>
      <c r="I4190" s="6">
        <v>3.874093224492491</v>
      </c>
      <c r="K4190" s="8"/>
    </row>
    <row r="4191" spans="1:11" ht="15" x14ac:dyDescent="0.25">
      <c r="A4191" s="3" t="str">
        <f>HYPERLINK("proteomic_fractions_linear_files/Yang_linear_img/114158677.jpg", "114158677")</f>
        <v>114158677</v>
      </c>
      <c r="C4191" s="3" t="str">
        <f>HYPERLINK("http://www.ncbi.nlm.nih.gov/protein/114158677","Luc7l")</f>
        <v>Luc7l</v>
      </c>
      <c r="E4191" t="str">
        <f>HYPERLINK("J:\Depot - mpkCCD Fractions\Main Web Page\Web Pages_old\proteomic_fractions_linear_files/Yang_linear_img/114158677.jpg","show blot")</f>
        <v>show blot</v>
      </c>
      <c r="G4191" t="s">
        <v>3989</v>
      </c>
      <c r="I4191" s="6">
        <v>4.781619414715732</v>
      </c>
      <c r="K4191" s="8"/>
    </row>
    <row r="4192" spans="1:11" ht="15" x14ac:dyDescent="0.25">
      <c r="A4192" s="3" t="str">
        <f>HYPERLINK("proteomic_fractions_linear_files/Yang_linear_img/21536228.jpg", "21536228")</f>
        <v>21536228</v>
      </c>
      <c r="C4192" s="3" t="str">
        <f>HYPERLINK("http://www.ncbi.nlm.nih.gov/protein/21536228","Luc7l")</f>
        <v>Luc7l</v>
      </c>
      <c r="E4192" t="str">
        <f>HYPERLINK("J:\Depot - mpkCCD Fractions\Main Web Page\Web Pages_old\proteomic_fractions_linear_files/Yang_linear_img/21536228.jpg","show blot")</f>
        <v>show blot</v>
      </c>
      <c r="G4192" t="s">
        <v>3990</v>
      </c>
      <c r="I4192" s="6">
        <v>4.781619414715732</v>
      </c>
      <c r="K4192" s="8"/>
    </row>
    <row r="4193" spans="1:11" ht="15" x14ac:dyDescent="0.25">
      <c r="A4193" s="3" t="str">
        <f>HYPERLINK("proteomic_fractions_linear_files/Yang_linear_img/283806681.jpg", "283806681")</f>
        <v>283806681</v>
      </c>
      <c r="C4193" s="3" t="str">
        <f>HYPERLINK("http://www.ncbi.nlm.nih.gov/protein/283806681","Luc7l2")</f>
        <v>Luc7l2</v>
      </c>
      <c r="E4193" t="str">
        <f>HYPERLINK("J:\Depot - mpkCCD Fractions\Main Web Page\Web Pages_old\proteomic_fractions_linear_files/Yang_linear_img/283806681.jpg","show blot")</f>
        <v>show blot</v>
      </c>
      <c r="G4193" t="s">
        <v>3991</v>
      </c>
      <c r="I4193" s="6">
        <v>5.2219617989818676</v>
      </c>
      <c r="K4193" s="8"/>
    </row>
    <row r="4194" spans="1:11" ht="15" x14ac:dyDescent="0.25">
      <c r="A4194" s="3" t="str">
        <f>HYPERLINK("proteomic_fractions_linear_files/Yang_linear_img/283806683.jpg", "283806683")</f>
        <v>283806683</v>
      </c>
      <c r="C4194" s="3" t="str">
        <f>HYPERLINK("http://www.ncbi.nlm.nih.gov/protein/283806683","Luc7l2")</f>
        <v>Luc7l2</v>
      </c>
      <c r="E4194" t="str">
        <f>HYPERLINK("J:\Depot - mpkCCD Fractions\Main Web Page\Web Pages_old\proteomic_fractions_linear_files/Yang_linear_img/283806683.jpg","show blot")</f>
        <v>show blot</v>
      </c>
      <c r="G4194" t="s">
        <v>3992</v>
      </c>
      <c r="I4194" s="6">
        <v>5.2219617989818676</v>
      </c>
      <c r="K4194" s="8"/>
    </row>
    <row r="4195" spans="1:11" ht="15" x14ac:dyDescent="0.25">
      <c r="A4195" s="3" t="str">
        <f>HYPERLINK("proteomic_fractions_linear_files/Yang_linear_img/283806685.jpg", "283806685")</f>
        <v>283806685</v>
      </c>
      <c r="C4195" s="3" t="str">
        <f>HYPERLINK("http://www.ncbi.nlm.nih.gov/protein/283806685","Luc7l2")</f>
        <v>Luc7l2</v>
      </c>
      <c r="E4195" t="str">
        <f>HYPERLINK("J:\Depot - mpkCCD Fractions\Main Web Page\Web Pages_old\proteomic_fractions_linear_files/Yang_linear_img/283806685.jpg","show blot")</f>
        <v>show blot</v>
      </c>
      <c r="G4195" t="s">
        <v>3993</v>
      </c>
      <c r="I4195" s="6">
        <v>5.2219617989818676</v>
      </c>
      <c r="K4195" s="8"/>
    </row>
    <row r="4196" spans="1:11" ht="15" x14ac:dyDescent="0.25">
      <c r="A4196" s="3" t="str">
        <f>HYPERLINK("proteomic_fractions_linear_files/Yang_linear_img/23956166.jpg", "23956166")</f>
        <v>23956166</v>
      </c>
      <c r="C4196" s="3" t="str">
        <f>HYPERLINK("http://www.ncbi.nlm.nih.gov/protein/23956166","Luc7l3")</f>
        <v>Luc7l3</v>
      </c>
      <c r="E4196" t="str">
        <f>HYPERLINK("J:\Depot - mpkCCD Fractions\Main Web Page\Web Pages_old\proteomic_fractions_linear_files/Yang_linear_img/23956166.jpg","show blot")</f>
        <v>show blot</v>
      </c>
      <c r="G4196" t="s">
        <v>3994</v>
      </c>
      <c r="I4196" s="6">
        <v>4.8892694429602921</v>
      </c>
      <c r="K4196" s="8"/>
    </row>
    <row r="4197" spans="1:11" ht="15" x14ac:dyDescent="0.25">
      <c r="A4197" s="3" t="str">
        <f>HYPERLINK("proteomic_fractions_linear_files/Yang_linear_img/119433663.jpg", "119433663")</f>
        <v>119433663</v>
      </c>
      <c r="C4197" s="3" t="str">
        <f>HYPERLINK("http://www.ncbi.nlm.nih.gov/protein/119433663","Luzp1")</f>
        <v>Luzp1</v>
      </c>
      <c r="E4197" t="str">
        <f>HYPERLINK("J:\Depot - mpkCCD Fractions\Main Web Page\Web Pages_old\proteomic_fractions_linear_files/Yang_linear_img/119433663.jpg","show blot")</f>
        <v>show blot</v>
      </c>
      <c r="G4197" t="s">
        <v>3995</v>
      </c>
      <c r="I4197" s="6">
        <v>2.5585321489874135</v>
      </c>
      <c r="K4197" s="8"/>
    </row>
    <row r="4198" spans="1:11" ht="15" x14ac:dyDescent="0.25">
      <c r="A4198" s="3" t="str">
        <f>HYPERLINK("proteomic_fractions_linear_files/Yang_linear_img/31980632.jpg", "31980632")</f>
        <v>31980632</v>
      </c>
      <c r="C4198" s="3" t="str">
        <f>HYPERLINK("http://www.ncbi.nlm.nih.gov/protein/31980632","Lxn")</f>
        <v>Lxn</v>
      </c>
      <c r="E4198" t="str">
        <f>HYPERLINK("J:\Depot - mpkCCD Fractions\Main Web Page\Web Pages_old\proteomic_fractions_linear_files/Yang_linear_img/31980632.jpg","show blot")</f>
        <v>show blot</v>
      </c>
      <c r="G4198" t="s">
        <v>3996</v>
      </c>
      <c r="I4198" s="6">
        <v>5.603243473261716</v>
      </c>
      <c r="K4198" s="8"/>
    </row>
    <row r="4199" spans="1:11" ht="15" x14ac:dyDescent="0.25">
      <c r="A4199" s="3" t="str">
        <f>HYPERLINK("proteomic_fractions_linear_files/Yang_linear_img/255708401.jpg", "255708401")</f>
        <v>255708401</v>
      </c>
      <c r="C4199" s="3" t="str">
        <f>HYPERLINK("http://www.ncbi.nlm.nih.gov/protein/255708401","Ly6e")</f>
        <v>Ly6e</v>
      </c>
      <c r="E4199" t="str">
        <f>HYPERLINK("J:\Depot - mpkCCD Fractions\Main Web Page\Web Pages_old\proteomic_fractions_linear_files/Yang_linear_img/255708401.jpg","show blot")</f>
        <v>show blot</v>
      </c>
      <c r="G4199" t="s">
        <v>3997</v>
      </c>
      <c r="I4199" s="6">
        <v>4.1700226623000116</v>
      </c>
      <c r="K4199" s="8"/>
    </row>
    <row r="4200" spans="1:11" ht="15" x14ac:dyDescent="0.25">
      <c r="A4200" s="3" t="str">
        <f>HYPERLINK("proteomic_fractions_linear_files/Yang_linear_img/148747179.jpg", "148747179")</f>
        <v>148747179</v>
      </c>
      <c r="C4200" s="3" t="str">
        <f>HYPERLINK("http://www.ncbi.nlm.nih.gov/protein/148747179","Ly75")</f>
        <v>Ly75</v>
      </c>
      <c r="E4200" t="str">
        <f>HYPERLINK("J:\Depot - mpkCCD Fractions\Main Web Page\Web Pages_old\proteomic_fractions_linear_files/Yang_linear_img/148747179.jpg","show blot")</f>
        <v>show blot</v>
      </c>
      <c r="G4200" t="s">
        <v>3998</v>
      </c>
      <c r="I4200" s="6">
        <v>2.8139085546079379</v>
      </c>
      <c r="K4200" s="8"/>
    </row>
    <row r="4201" spans="1:11" ht="15" x14ac:dyDescent="0.25">
      <c r="A4201" s="3" t="str">
        <f>HYPERLINK("proteomic_fractions_linear_files/Yang_linear_img/188219567.jpg", "188219567")</f>
        <v>188219567</v>
      </c>
      <c r="C4201" s="3" t="str">
        <f>HYPERLINK("http://www.ncbi.nlm.nih.gov/protein/188219567","Lyar")</f>
        <v>Lyar</v>
      </c>
      <c r="E4201" t="str">
        <f>HYPERLINK("J:\Depot - mpkCCD Fractions\Main Web Page\Web Pages_old\proteomic_fractions_linear_files/Yang_linear_img/188219567.jpg","show blot")</f>
        <v>show blot</v>
      </c>
      <c r="G4201" t="s">
        <v>3999</v>
      </c>
      <c r="I4201" s="6">
        <v>4.8614035602772887</v>
      </c>
      <c r="K4201" s="8"/>
    </row>
    <row r="4202" spans="1:11" ht="15" x14ac:dyDescent="0.25">
      <c r="A4202" s="3" t="str">
        <f>HYPERLINK("proteomic_fractions_linear_files/Yang_linear_img/161760634.jpg", "161760634")</f>
        <v>161760634</v>
      </c>
      <c r="C4202" s="3" t="str">
        <f>HYPERLINK("http://www.ncbi.nlm.nih.gov/protein/161760634","Lyn")</f>
        <v>Lyn</v>
      </c>
      <c r="E4202" t="str">
        <f>HYPERLINK("J:\Depot - mpkCCD Fractions\Main Web Page\Web Pages_old\proteomic_fractions_linear_files/Yang_linear_img/161760634.jpg","show blot")</f>
        <v>show blot</v>
      </c>
      <c r="G4202" t="s">
        <v>4000</v>
      </c>
      <c r="I4202" s="6">
        <v>5.2741727992417298</v>
      </c>
      <c r="K4202" s="8"/>
    </row>
    <row r="4203" spans="1:11" ht="15" x14ac:dyDescent="0.25">
      <c r="A4203" s="3" t="str">
        <f>HYPERLINK("proteomic_fractions_linear_files/Yang_linear_img/161760636.jpg", "161760636")</f>
        <v>161760636</v>
      </c>
      <c r="C4203" s="3" t="str">
        <f>HYPERLINK("http://www.ncbi.nlm.nih.gov/protein/161760636","Lyn")</f>
        <v>Lyn</v>
      </c>
      <c r="E4203" t="str">
        <f>HYPERLINK("J:\Depot - mpkCCD Fractions\Main Web Page\Web Pages_old\proteomic_fractions_linear_files/Yang_linear_img/161760636.jpg","show blot")</f>
        <v>show blot</v>
      </c>
      <c r="G4203" t="s">
        <v>4001</v>
      </c>
      <c r="I4203" s="6">
        <v>5.2741727992417298</v>
      </c>
      <c r="K4203" s="8"/>
    </row>
    <row r="4204" spans="1:11" ht="15" x14ac:dyDescent="0.25">
      <c r="A4204" s="3" t="str">
        <f>HYPERLINK("proteomic_fractions_linear_files/Yang_linear_img/6678760.jpg", "6678760")</f>
        <v>6678760</v>
      </c>
      <c r="C4204" s="3" t="str">
        <f>HYPERLINK("http://www.ncbi.nlm.nih.gov/protein/6678760","Lypla1")</f>
        <v>Lypla1</v>
      </c>
      <c r="E4204" t="str">
        <f>HYPERLINK("J:\Depot - mpkCCD Fractions\Main Web Page\Web Pages_old\proteomic_fractions_linear_files/Yang_linear_img/6678760.jpg","show blot")</f>
        <v>show blot</v>
      </c>
      <c r="G4204" t="s">
        <v>4002</v>
      </c>
      <c r="I4204" s="6">
        <v>5.5796579717423613</v>
      </c>
      <c r="K4204" s="8"/>
    </row>
    <row r="4205" spans="1:11" ht="15" x14ac:dyDescent="0.25">
      <c r="A4205" s="3" t="str">
        <f>HYPERLINK("proteomic_fractions_linear_files/Yang_linear_img/7242156.jpg", "7242156")</f>
        <v>7242156</v>
      </c>
      <c r="C4205" s="3" t="str">
        <f>HYPERLINK("http://www.ncbi.nlm.nih.gov/protein/7242156","Lypla2")</f>
        <v>Lypla2</v>
      </c>
      <c r="E4205" t="str">
        <f>HYPERLINK("J:\Depot - mpkCCD Fractions\Main Web Page\Web Pages_old\proteomic_fractions_linear_files/Yang_linear_img/7242156.jpg","show blot")</f>
        <v>show blot</v>
      </c>
      <c r="G4205" t="s">
        <v>4003</v>
      </c>
      <c r="I4205" s="6">
        <v>4.7878671751598869</v>
      </c>
      <c r="K4205" s="8"/>
    </row>
    <row r="4206" spans="1:11" ht="15" x14ac:dyDescent="0.25">
      <c r="A4206" s="3" t="str">
        <f>HYPERLINK("proteomic_fractions_linear_files/Yang_linear_img/227496223.jpg", "227496223")</f>
        <v>227496223</v>
      </c>
      <c r="C4206" s="3" t="str">
        <f>HYPERLINK("http://www.ncbi.nlm.nih.gov/protein/227496223","Lyplal1")</f>
        <v>Lyplal1</v>
      </c>
      <c r="E4206" t="str">
        <f>HYPERLINK("J:\Depot - mpkCCD Fractions\Main Web Page\Web Pages_old\proteomic_fractions_linear_files/Yang_linear_img/227496223.jpg","show blot")</f>
        <v>show blot</v>
      </c>
      <c r="G4206" t="s">
        <v>4004</v>
      </c>
      <c r="I4206" s="6">
        <v>4.5478493234046669</v>
      </c>
      <c r="K4206" s="8"/>
    </row>
    <row r="4207" spans="1:11" ht="15" x14ac:dyDescent="0.25">
      <c r="A4207" s="3" t="str">
        <f>HYPERLINK("proteomic_fractions_linear_files/Yang_linear_img/41235733.jpg", "41235733")</f>
        <v>41235733</v>
      </c>
      <c r="C4207" s="3" t="str">
        <f>HYPERLINK("http://www.ncbi.nlm.nih.gov/protein/41235733","Lyrm4")</f>
        <v>Lyrm4</v>
      </c>
      <c r="E4207" t="str">
        <f>HYPERLINK("J:\Depot - mpkCCD Fractions\Main Web Page\Web Pages_old\proteomic_fractions_linear_files/Yang_linear_img/41235733.jpg","show blot")</f>
        <v>show blot</v>
      </c>
      <c r="G4207" t="s">
        <v>4005</v>
      </c>
      <c r="I4207" s="6">
        <v>5.0431097494538042</v>
      </c>
      <c r="K4207" s="8"/>
    </row>
    <row r="4208" spans="1:11" ht="15" x14ac:dyDescent="0.25">
      <c r="A4208" s="3" t="str">
        <f>HYPERLINK("proteomic_fractions_linear_files/Yang_linear_img/19526856.jpg", "19526856")</f>
        <v>19526856</v>
      </c>
      <c r="C4208" s="3" t="str">
        <f>HYPERLINK("http://www.ncbi.nlm.nih.gov/protein/19526856","Lyrm5")</f>
        <v>Lyrm5</v>
      </c>
      <c r="E4208" t="str">
        <f>HYPERLINK("J:\Depot - mpkCCD Fractions\Main Web Page\Web Pages_old\proteomic_fractions_linear_files/Yang_linear_img/19526856.jpg","show blot")</f>
        <v>show blot</v>
      </c>
      <c r="G4208" t="s">
        <v>4006</v>
      </c>
      <c r="I4208" s="6">
        <v>2.5758210011028444</v>
      </c>
      <c r="K4208" s="8"/>
    </row>
    <row r="4209" spans="1:11" ht="15" x14ac:dyDescent="0.25">
      <c r="A4209" s="3" t="str">
        <f>HYPERLINK("proteomic_fractions_linear_files/Yang_linear_img/111955376.jpg", "111955376")</f>
        <v>111955376</v>
      </c>
      <c r="C4209" s="3" t="str">
        <f>HYPERLINK("http://www.ncbi.nlm.nih.gov/protein/111955376","Lyst")</f>
        <v>Lyst</v>
      </c>
      <c r="E4209" t="str">
        <f>HYPERLINK("J:\Depot - mpkCCD Fractions\Main Web Page\Web Pages_old\proteomic_fractions_linear_files/Yang_linear_img/111955376.jpg","show blot")</f>
        <v>show blot</v>
      </c>
      <c r="G4209" t="s">
        <v>4007</v>
      </c>
      <c r="I4209" s="6">
        <v>2.1357406195732112</v>
      </c>
      <c r="K4209" s="8"/>
    </row>
    <row r="4210" spans="1:11" ht="15" x14ac:dyDescent="0.25">
      <c r="A4210" s="3" t="str">
        <f>HYPERLINK("proteomic_fractions_linear_files/Yang_linear_img/27229082.jpg", "27229082")</f>
        <v>27229082</v>
      </c>
      <c r="C4210" s="3" t="str">
        <f>HYPERLINK("http://www.ncbi.nlm.nih.gov/protein/27229082","Lzic")</f>
        <v>Lzic</v>
      </c>
      <c r="E4210" t="str">
        <f>HYPERLINK("J:\Depot - mpkCCD Fractions\Main Web Page\Web Pages_old\proteomic_fractions_linear_files/Yang_linear_img/27229082.jpg","show blot")</f>
        <v>show blot</v>
      </c>
      <c r="G4210" t="s">
        <v>4008</v>
      </c>
      <c r="I4210" s="6">
        <v>4.9152071847828127</v>
      </c>
      <c r="K4210" s="8"/>
    </row>
    <row r="4211" spans="1:11" ht="15" x14ac:dyDescent="0.25">
      <c r="A4211" s="3" t="str">
        <f>HYPERLINK("proteomic_fractions_linear_files/Yang_linear_img/15277319.jpg", "15277319")</f>
        <v>15277319</v>
      </c>
      <c r="C4211" s="3" t="str">
        <f>HYPERLINK("http://www.ncbi.nlm.nih.gov/protein/15277319","Lztfl1")</f>
        <v>Lztfl1</v>
      </c>
      <c r="E4211" t="str">
        <f>HYPERLINK("J:\Depot - mpkCCD Fractions\Main Web Page\Web Pages_old\proteomic_fractions_linear_files/Yang_linear_img/15277319.jpg","show blot")</f>
        <v>show blot</v>
      </c>
      <c r="G4211" t="s">
        <v>4009</v>
      </c>
      <c r="I4211" s="6">
        <v>5.3074025571404881</v>
      </c>
      <c r="K4211" s="8"/>
    </row>
    <row r="4212" spans="1:11" ht="15" x14ac:dyDescent="0.25">
      <c r="A4212" s="3" t="str">
        <f>HYPERLINK("proteomic_fractions_linear_files/Yang_linear_img/27229001.jpg", "27229001")</f>
        <v>27229001</v>
      </c>
      <c r="C4212" s="3" t="str">
        <f>HYPERLINK("http://www.ncbi.nlm.nih.gov/protein/27229001","Lztr1")</f>
        <v>Lztr1</v>
      </c>
      <c r="E4212" t="str">
        <f>HYPERLINK("J:\Depot - mpkCCD Fractions\Main Web Page\Web Pages_old\proteomic_fractions_linear_files/Yang_linear_img/27229001.jpg","show blot")</f>
        <v>show blot</v>
      </c>
      <c r="G4212" t="s">
        <v>4010</v>
      </c>
      <c r="I4212" s="6">
        <v>3.0820257702009277</v>
      </c>
      <c r="K4212" s="8"/>
    </row>
    <row r="4213" spans="1:11" ht="15" x14ac:dyDescent="0.25">
      <c r="A4213" s="3" t="str">
        <f>HYPERLINK("proteomic_fractions_linear_files/Yang_linear_img/14916479.jpg", "14916479")</f>
        <v>14916479</v>
      </c>
      <c r="C4213" s="3" t="str">
        <f>HYPERLINK("http://www.ncbi.nlm.nih.gov/protein/14916479","M6pr")</f>
        <v>M6pr</v>
      </c>
      <c r="E4213" t="str">
        <f>HYPERLINK("J:\Depot - mpkCCD Fractions\Main Web Page\Web Pages_old\proteomic_fractions_linear_files/Yang_linear_img/14916479.jpg","show blot")</f>
        <v>show blot</v>
      </c>
      <c r="G4213" t="s">
        <v>4011</v>
      </c>
      <c r="I4213" s="6">
        <v>5.6417723732661313</v>
      </c>
      <c r="K4213" s="8"/>
    </row>
    <row r="4214" spans="1:11" ht="15" x14ac:dyDescent="0.25">
      <c r="A4214" s="3" t="str">
        <f>HYPERLINK("proteomic_fractions_linear_files/Yang_linear_img/253314482.jpg", "253314482")</f>
        <v>253314482</v>
      </c>
      <c r="C4214" s="3" t="str">
        <f>HYPERLINK("http://www.ncbi.nlm.nih.gov/protein/253314482","Macc1")</f>
        <v>Macc1</v>
      </c>
      <c r="E4214" t="str">
        <f>HYPERLINK("J:\Depot - mpkCCD Fractions\Main Web Page\Web Pages_old\proteomic_fractions_linear_files/Yang_linear_img/253314482.jpg","show blot")</f>
        <v>show blot</v>
      </c>
      <c r="G4214" t="s">
        <v>4012</v>
      </c>
      <c r="I4214" s="6">
        <v>2.9776819592809143</v>
      </c>
      <c r="K4214" s="8"/>
    </row>
    <row r="4215" spans="1:11" ht="15" x14ac:dyDescent="0.25">
      <c r="A4215" s="3" t="str">
        <f>HYPERLINK("proteomic_fractions_linear_files/Yang_linear_img/312433955.jpg", "312433955")</f>
        <v>312433955</v>
      </c>
      <c r="C4215" s="3" t="str">
        <f>HYPERLINK("http://www.ncbi.nlm.nih.gov/protein/312433955","Macf1")</f>
        <v>Macf1</v>
      </c>
      <c r="E4215" t="str">
        <f>HYPERLINK("J:\Depot - mpkCCD Fractions\Main Web Page\Web Pages_old\proteomic_fractions_linear_files/Yang_linear_img/312433955.jpg","show blot")</f>
        <v>show blot</v>
      </c>
      <c r="G4215" t="s">
        <v>4013</v>
      </c>
      <c r="I4215" s="6">
        <v>4.676440352776674</v>
      </c>
      <c r="K4215" s="8"/>
    </row>
    <row r="4216" spans="1:11" ht="15" x14ac:dyDescent="0.25">
      <c r="A4216" s="3" t="str">
        <f>HYPERLINK("proteomic_fractions_linear_files/Yang_linear_img/312433957.jpg", "312433957")</f>
        <v>312433957</v>
      </c>
      <c r="C4216" s="3" t="str">
        <f>HYPERLINK("http://www.ncbi.nlm.nih.gov/protein/312433957","Macf1")</f>
        <v>Macf1</v>
      </c>
      <c r="E4216" t="str">
        <f>HYPERLINK("J:\Depot - mpkCCD Fractions\Main Web Page\Web Pages_old\proteomic_fractions_linear_files/Yang_linear_img/312433957.jpg","show blot")</f>
        <v>show blot</v>
      </c>
      <c r="G4216" t="s">
        <v>4014</v>
      </c>
      <c r="I4216" s="6">
        <v>4.676440352776674</v>
      </c>
      <c r="K4216" s="8"/>
    </row>
    <row r="4217" spans="1:11" ht="15" x14ac:dyDescent="0.25">
      <c r="A4217" s="3" t="str">
        <f>HYPERLINK("proteomic_fractions_linear_files/Yang_linear_img/170650601.jpg", "170650601")</f>
        <v>170650601</v>
      </c>
      <c r="C4217" s="3" t="str">
        <f>HYPERLINK("http://www.ncbi.nlm.nih.gov/protein/170650601","Macrod1")</f>
        <v>Macrod1</v>
      </c>
      <c r="E4217" t="str">
        <f>HYPERLINK("J:\Depot - mpkCCD Fractions\Main Web Page\Web Pages_old\proteomic_fractions_linear_files/Yang_linear_img/170650601.jpg","show blot")</f>
        <v>show blot</v>
      </c>
      <c r="G4217" t="s">
        <v>4015</v>
      </c>
      <c r="I4217" s="6">
        <v>4.6788460941883194</v>
      </c>
      <c r="K4217" s="8"/>
    </row>
    <row r="4218" spans="1:11" ht="15" x14ac:dyDescent="0.25">
      <c r="A4218" s="3" t="str">
        <f>HYPERLINK("proteomic_fractions_linear_files/Yang_linear_img/88014564.jpg", "88014564")</f>
        <v>88014564</v>
      </c>
      <c r="C4218" s="3" t="str">
        <f>HYPERLINK("http://www.ncbi.nlm.nih.gov/protein/88014564","Mad1l1")</f>
        <v>Mad1l1</v>
      </c>
      <c r="E4218" t="str">
        <f>HYPERLINK("J:\Depot - mpkCCD Fractions\Main Web Page\Web Pages_old\proteomic_fractions_linear_files/Yang_linear_img/88014564.jpg","show blot")</f>
        <v>show blot</v>
      </c>
      <c r="G4218" t="s">
        <v>4016</v>
      </c>
      <c r="I4218" s="6">
        <v>3.3533373779344484</v>
      </c>
      <c r="K4218" s="8"/>
    </row>
    <row r="4219" spans="1:11" ht="15" x14ac:dyDescent="0.25">
      <c r="A4219" s="3" t="str">
        <f>HYPERLINK("proteomic_fractions_linear_files/Yang_linear_img/31543218.jpg", "31543218")</f>
        <v>31543218</v>
      </c>
      <c r="C4219" s="3" t="str">
        <f>HYPERLINK("http://www.ncbi.nlm.nih.gov/protein/31543218","Mad2l1")</f>
        <v>Mad2l1</v>
      </c>
      <c r="E4219" t="str">
        <f>HYPERLINK("J:\Depot - mpkCCD Fractions\Main Web Page\Web Pages_old\proteomic_fractions_linear_files/Yang_linear_img/31543218.jpg","show blot")</f>
        <v>show blot</v>
      </c>
      <c r="G4219" t="s">
        <v>4017</v>
      </c>
      <c r="I4219" s="6">
        <v>4.3186648478961969</v>
      </c>
      <c r="K4219" s="8"/>
    </row>
    <row r="4220" spans="1:11" ht="15" x14ac:dyDescent="0.25">
      <c r="A4220" s="3" t="str">
        <f>HYPERLINK("proteomic_fractions_linear_files/Yang_linear_img/120407043.jpg", "120407043")</f>
        <v>120407043</v>
      </c>
      <c r="C4220" s="3" t="str">
        <f>HYPERLINK("http://www.ncbi.nlm.nih.gov/protein/120407043","Maea")</f>
        <v>Maea</v>
      </c>
      <c r="E4220" t="str">
        <f>HYPERLINK("J:\Depot - mpkCCD Fractions\Main Web Page\Web Pages_old\proteomic_fractions_linear_files/Yang_linear_img/120407043.jpg","show blot")</f>
        <v>show blot</v>
      </c>
      <c r="G4220" t="s">
        <v>4018</v>
      </c>
      <c r="I4220" s="6">
        <v>3.8934002979865183</v>
      </c>
      <c r="K4220" s="8"/>
    </row>
    <row r="4221" spans="1:11" ht="15" x14ac:dyDescent="0.25">
      <c r="A4221" s="3" t="str">
        <f>HYPERLINK("proteomic_fractions_linear_files/Yang_linear_img/148238102.jpg", "148238102")</f>
        <v>148238102</v>
      </c>
      <c r="C4221" s="3" t="str">
        <f>HYPERLINK("http://www.ncbi.nlm.nih.gov/protein/148238102","Magea10")</f>
        <v>Magea10</v>
      </c>
      <c r="E4221" t="str">
        <f>HYPERLINK("J:\Depot - mpkCCD Fractions\Main Web Page\Web Pages_old\proteomic_fractions_linear_files/Yang_linear_img/148238102.jpg","show blot")</f>
        <v>show blot</v>
      </c>
      <c r="G4221" t="s">
        <v>4019</v>
      </c>
      <c r="I4221" s="6">
        <v>3.8372905765847425</v>
      </c>
      <c r="K4221" s="8"/>
    </row>
    <row r="4222" spans="1:11" ht="15" x14ac:dyDescent="0.25">
      <c r="A4222" s="3" t="str">
        <f>HYPERLINK("proteomic_fractions_linear_files/Yang_linear_img/9789935.jpg", "9789935")</f>
        <v>9789935</v>
      </c>
      <c r="C4222" s="3" t="str">
        <f>HYPERLINK("http://www.ncbi.nlm.nih.gov/protein/9789935","Maged1")</f>
        <v>Maged1</v>
      </c>
      <c r="E4222" t="str">
        <f>HYPERLINK("J:\Depot - mpkCCD Fractions\Main Web Page\Web Pages_old\proteomic_fractions_linear_files/Yang_linear_img/9789935.jpg","show blot")</f>
        <v>show blot</v>
      </c>
      <c r="G4222" t="s">
        <v>4020</v>
      </c>
      <c r="I4222" s="6">
        <v>1.8856193480723242</v>
      </c>
      <c r="K4222" s="8"/>
    </row>
    <row r="4223" spans="1:11" ht="15" x14ac:dyDescent="0.25">
      <c r="A4223" s="3" t="str">
        <f>HYPERLINK("proteomic_fractions_linear_files/Yang_linear_img/407262474.jpg", "407262474")</f>
        <v>407262474</v>
      </c>
      <c r="C4223" s="3" t="str">
        <f>HYPERLINK("http://www.ncbi.nlm.nih.gov/protein/407262474","Maged2")</f>
        <v>Maged2</v>
      </c>
      <c r="E4223" t="str">
        <f>HYPERLINK("J:\Depot - mpkCCD Fractions\Main Web Page\Web Pages_old\proteomic_fractions_linear_files/Yang_linear_img/407262474.jpg","show blot")</f>
        <v>show blot</v>
      </c>
      <c r="G4223" t="s">
        <v>4021</v>
      </c>
      <c r="I4223" s="6">
        <v>2.9474575144484851</v>
      </c>
      <c r="K4223" s="8"/>
    </row>
    <row r="4224" spans="1:11" ht="15" x14ac:dyDescent="0.25">
      <c r="A4224" s="3" t="str">
        <f>HYPERLINK("proteomic_fractions_linear_files/Yang_linear_img/13507638.jpg", "13507638")</f>
        <v>13507638</v>
      </c>
      <c r="C4224" s="3" t="str">
        <f>HYPERLINK("http://www.ncbi.nlm.nih.gov/protein/13507638","Maged2")</f>
        <v>Maged2</v>
      </c>
      <c r="E4224" t="str">
        <f>HYPERLINK("J:\Depot - mpkCCD Fractions\Main Web Page\Web Pages_old\proteomic_fractions_linear_files/Yang_linear_img/13507638.jpg","show blot")</f>
        <v>show blot</v>
      </c>
      <c r="G4224" t="s">
        <v>4022</v>
      </c>
      <c r="I4224" s="6">
        <v>2.9474575144484851</v>
      </c>
      <c r="K4224" s="8"/>
    </row>
    <row r="4225" spans="1:11" ht="15" x14ac:dyDescent="0.25">
      <c r="A4225" s="3" t="str">
        <f>HYPERLINK("proteomic_fractions_linear_files/Yang_linear_img/134031962.jpg", "134031962")</f>
        <v>134031962</v>
      </c>
      <c r="C4225" s="3" t="str">
        <f>HYPERLINK("http://www.ncbi.nlm.nih.gov/protein/134031962","Magi1")</f>
        <v>Magi1</v>
      </c>
      <c r="E4225" t="str">
        <f>HYPERLINK("J:\Depot - mpkCCD Fractions\Main Web Page\Web Pages_old\proteomic_fractions_linear_files/Yang_linear_img/134031962.jpg","show blot")</f>
        <v>show blot</v>
      </c>
      <c r="G4225" t="s">
        <v>4023</v>
      </c>
      <c r="I4225" s="6">
        <v>1.7119971177600148</v>
      </c>
      <c r="K4225" s="8"/>
    </row>
    <row r="4226" spans="1:11" ht="15" x14ac:dyDescent="0.25">
      <c r="A4226" s="3" t="str">
        <f>HYPERLINK("proteomic_fractions_linear_files/Yang_linear_img/134031999.jpg", "134031999")</f>
        <v>134031999</v>
      </c>
      <c r="C4226" s="3" t="str">
        <f>HYPERLINK("http://www.ncbi.nlm.nih.gov/protein/134031999","Magi1")</f>
        <v>Magi1</v>
      </c>
      <c r="E4226" t="str">
        <f>HYPERLINK("J:\Depot - mpkCCD Fractions\Main Web Page\Web Pages_old\proteomic_fractions_linear_files/Yang_linear_img/134031999.jpg","show blot")</f>
        <v>show blot</v>
      </c>
      <c r="G4226" t="s">
        <v>4024</v>
      </c>
      <c r="I4226" s="6">
        <v>1.7119971177600148</v>
      </c>
      <c r="K4226" s="8"/>
    </row>
    <row r="4227" spans="1:11" ht="15" x14ac:dyDescent="0.25">
      <c r="A4227" s="3" t="str">
        <f>HYPERLINK("proteomic_fractions_linear_files/Yang_linear_img/34328051.jpg", "34328051")</f>
        <v>34328051</v>
      </c>
      <c r="C4227" s="3" t="str">
        <f>HYPERLINK("http://www.ncbi.nlm.nih.gov/protein/34328051","Magi1")</f>
        <v>Magi1</v>
      </c>
      <c r="E4227" t="str">
        <f>HYPERLINK("J:\Depot - mpkCCD Fractions\Main Web Page\Web Pages_old\proteomic_fractions_linear_files/Yang_linear_img/34328051.jpg","show blot")</f>
        <v>show blot</v>
      </c>
      <c r="G4227" t="s">
        <v>4025</v>
      </c>
      <c r="I4227" s="6">
        <v>1.7119971177600148</v>
      </c>
      <c r="K4227" s="8"/>
    </row>
    <row r="4228" spans="1:11" ht="15" x14ac:dyDescent="0.25">
      <c r="A4228" s="3" t="str">
        <f>HYPERLINK("proteomic_fractions_linear_files/Yang_linear_img/71533173.jpg", "71533173")</f>
        <v>71533173</v>
      </c>
      <c r="C4228" s="3" t="str">
        <f>HYPERLINK("http://www.ncbi.nlm.nih.gov/protein/71533173","Magi1")</f>
        <v>Magi1</v>
      </c>
      <c r="E4228" t="str">
        <f>HYPERLINK("J:\Depot - mpkCCD Fractions\Main Web Page\Web Pages_old\proteomic_fractions_linear_files/Yang_linear_img/71533173.jpg","show blot")</f>
        <v>show blot</v>
      </c>
      <c r="G4228" t="s">
        <v>4026</v>
      </c>
      <c r="I4228" s="6">
        <v>1.7119971177600148</v>
      </c>
      <c r="K4228" s="8"/>
    </row>
    <row r="4229" spans="1:11" ht="15" x14ac:dyDescent="0.25">
      <c r="A4229" s="3" t="str">
        <f>HYPERLINK("proteomic_fractions_linear_files/Yang_linear_img/19527074.jpg", "19527074")</f>
        <v>19527074</v>
      </c>
      <c r="C4229" s="3" t="str">
        <f>HYPERLINK("http://www.ncbi.nlm.nih.gov/protein/19527074","Magi3")</f>
        <v>Magi3</v>
      </c>
      <c r="E4229" t="str">
        <f>HYPERLINK("J:\Depot - mpkCCD Fractions\Main Web Page\Web Pages_old\proteomic_fractions_linear_files/Yang_linear_img/19527074.jpg","show blot")</f>
        <v>show blot</v>
      </c>
      <c r="G4229" t="s">
        <v>4027</v>
      </c>
      <c r="I4229" s="6">
        <v>3.090413948070831</v>
      </c>
      <c r="K4229" s="8"/>
    </row>
    <row r="4230" spans="1:11" ht="15" x14ac:dyDescent="0.25">
      <c r="A4230" s="3" t="str">
        <f>HYPERLINK("proteomic_fractions_linear_files/Yang_linear_img/226823238.jpg", "226823238")</f>
        <v>226823238</v>
      </c>
      <c r="C4230" s="3" t="str">
        <f>HYPERLINK("http://www.ncbi.nlm.nih.gov/protein/226823238","Magi3")</f>
        <v>Magi3</v>
      </c>
      <c r="E4230" t="str">
        <f>HYPERLINK("J:\Depot - mpkCCD Fractions\Main Web Page\Web Pages_old\proteomic_fractions_linear_files/Yang_linear_img/226823238.jpg","show blot")</f>
        <v>show blot</v>
      </c>
      <c r="G4230" t="s">
        <v>4028</v>
      </c>
      <c r="I4230" s="6">
        <v>3.090413948070831</v>
      </c>
      <c r="K4230" s="8"/>
    </row>
    <row r="4231" spans="1:11" ht="15" x14ac:dyDescent="0.25">
      <c r="A4231" s="3" t="str">
        <f>HYPERLINK("proteomic_fractions_linear_files/Yang_linear_img/6754616.jpg", "6754616")</f>
        <v>6754616</v>
      </c>
      <c r="C4231" s="3" t="str">
        <f>HYPERLINK("http://www.ncbi.nlm.nih.gov/protein/6754616","Magoh")</f>
        <v>Magoh</v>
      </c>
      <c r="E4231" t="str">
        <f>HYPERLINK("J:\Depot - mpkCCD Fractions\Main Web Page\Web Pages_old\proteomic_fractions_linear_files/Yang_linear_img/6754616.jpg","show blot")</f>
        <v>show blot</v>
      </c>
      <c r="G4231" t="s">
        <v>4029</v>
      </c>
      <c r="I4231" s="6">
        <v>6.0002841880786475</v>
      </c>
      <c r="K4231" s="8"/>
    </row>
    <row r="4232" spans="1:11" ht="15" x14ac:dyDescent="0.25">
      <c r="A4232" s="3" t="str">
        <f>HYPERLINK("proteomic_fractions_linear_files/Yang_linear_img/256985211.jpg", "256985211")</f>
        <v>256985211</v>
      </c>
      <c r="C4232" s="3" t="str">
        <f>HYPERLINK("http://www.ncbi.nlm.nih.gov/protein/256985211","Magohb")</f>
        <v>Magohb</v>
      </c>
      <c r="E4232" t="str">
        <f>HYPERLINK("J:\Depot - mpkCCD Fractions\Main Web Page\Web Pages_old\proteomic_fractions_linear_files/Yang_linear_img/256985211.jpg","show blot")</f>
        <v>show blot</v>
      </c>
      <c r="G4232" t="s">
        <v>4030</v>
      </c>
      <c r="I4232" s="6">
        <v>6.000241199960052</v>
      </c>
      <c r="K4232" s="8"/>
    </row>
    <row r="4233" spans="1:11" ht="15" x14ac:dyDescent="0.25">
      <c r="A4233" s="3" t="str">
        <f>HYPERLINK("proteomic_fractions_linear_files/Yang_linear_img/298676496.jpg", "298676496")</f>
        <v>298676496</v>
      </c>
      <c r="C4233" s="3" t="str">
        <f>HYPERLINK("http://www.ncbi.nlm.nih.gov/protein/298676496","Magt1")</f>
        <v>Magt1</v>
      </c>
      <c r="E4233" t="str">
        <f>HYPERLINK("J:\Depot - mpkCCD Fractions\Main Web Page\Web Pages_old\proteomic_fractions_linear_files/Yang_linear_img/298676496.jpg","show blot")</f>
        <v>show blot</v>
      </c>
      <c r="G4233" t="s">
        <v>4031</v>
      </c>
      <c r="I4233" s="6">
        <v>3.809965510602817</v>
      </c>
      <c r="K4233" s="8"/>
    </row>
    <row r="4234" spans="1:11" ht="15" x14ac:dyDescent="0.25">
      <c r="A4234" s="3" t="str">
        <f>HYPERLINK("proteomic_fractions_linear_files/Yang_linear_img/224809525.jpg", "224809525")</f>
        <v>224809525</v>
      </c>
      <c r="C4234" s="3" t="str">
        <f>HYPERLINK("http://www.ncbi.nlm.nih.gov/protein/224809525","Mak")</f>
        <v>Mak</v>
      </c>
      <c r="E4234" t="str">
        <f>HYPERLINK("J:\Depot - mpkCCD Fractions\Main Web Page\Web Pages_old\proteomic_fractions_linear_files/Yang_linear_img/224809525.jpg","show blot")</f>
        <v>show blot</v>
      </c>
      <c r="G4234" t="s">
        <v>4032</v>
      </c>
      <c r="I4234" s="6">
        <v>5.1687224231526709</v>
      </c>
      <c r="K4234" s="8"/>
    </row>
    <row r="4235" spans="1:11" ht="15" x14ac:dyDescent="0.25">
      <c r="A4235" s="3" t="str">
        <f>HYPERLINK("proteomic_fractions_linear_files/Yang_linear_img/224809542.jpg", "224809542")</f>
        <v>224809542</v>
      </c>
      <c r="C4235" s="3" t="str">
        <f>HYPERLINK("http://www.ncbi.nlm.nih.gov/protein/224809542","Mak")</f>
        <v>Mak</v>
      </c>
      <c r="E4235" t="str">
        <f>HYPERLINK("J:\Depot - mpkCCD Fractions\Main Web Page\Web Pages_old\proteomic_fractions_linear_files/Yang_linear_img/224809542.jpg","show blot")</f>
        <v>show blot</v>
      </c>
      <c r="G4235" t="s">
        <v>4033</v>
      </c>
      <c r="I4235" s="6">
        <v>5.1687224231526709</v>
      </c>
      <c r="K4235" s="8"/>
    </row>
    <row r="4236" spans="1:11" ht="15" x14ac:dyDescent="0.25">
      <c r="A4236" s="3" t="str">
        <f>HYPERLINK("proteomic_fractions_linear_files/Yang_linear_img/224809552.jpg", "224809552")</f>
        <v>224809552</v>
      </c>
      <c r="C4236" s="3" t="str">
        <f>HYPERLINK("http://www.ncbi.nlm.nih.gov/protein/224809552","Mak")</f>
        <v>Mak</v>
      </c>
      <c r="E4236" t="str">
        <f>HYPERLINK("J:\Depot - mpkCCD Fractions\Main Web Page\Web Pages_old\proteomic_fractions_linear_files/Yang_linear_img/224809552.jpg","show blot")</f>
        <v>show blot</v>
      </c>
      <c r="G4236" t="s">
        <v>4034</v>
      </c>
      <c r="I4236" s="6">
        <v>5.1687224231526709</v>
      </c>
      <c r="K4236" s="8"/>
    </row>
    <row r="4237" spans="1:11" ht="15" x14ac:dyDescent="0.25">
      <c r="A4237" s="3" t="str">
        <f>HYPERLINK("proteomic_fractions_linear_files/Yang_linear_img/30725780.jpg", "30725780")</f>
        <v>30725780</v>
      </c>
      <c r="C4237" s="3" t="str">
        <f>HYPERLINK("http://www.ncbi.nlm.nih.gov/protein/30725780","Mal2")</f>
        <v>Mal2</v>
      </c>
      <c r="E4237" t="str">
        <f>HYPERLINK("J:\Depot - mpkCCD Fractions\Main Web Page\Web Pages_old\proteomic_fractions_linear_files/Yang_linear_img/30725780.jpg","show blot")</f>
        <v>show blot</v>
      </c>
      <c r="G4237" t="s">
        <v>4035</v>
      </c>
      <c r="I4237" s="6">
        <v>6.9884885967634274</v>
      </c>
      <c r="K4237" s="8"/>
    </row>
    <row r="4238" spans="1:11" ht="15" x14ac:dyDescent="0.25">
      <c r="A4238" s="3" t="str">
        <f>HYPERLINK("proteomic_fractions_linear_files/Yang_linear_img/254939620.jpg", "254939620")</f>
        <v>254939620</v>
      </c>
      <c r="C4238" s="3" t="str">
        <f>HYPERLINK("http://www.ncbi.nlm.nih.gov/protein/254939620","Malsu1")</f>
        <v>Malsu1</v>
      </c>
      <c r="E4238" t="str">
        <f>HYPERLINK("J:\Depot - mpkCCD Fractions\Main Web Page\Web Pages_old\proteomic_fractions_linear_files/Yang_linear_img/254939620.jpg","show blot")</f>
        <v>show blot</v>
      </c>
      <c r="G4238" t="s">
        <v>4036</v>
      </c>
      <c r="I4238" s="6">
        <v>3.1099778387137187</v>
      </c>
      <c r="K4238" s="8"/>
    </row>
    <row r="4239" spans="1:11" ht="15" x14ac:dyDescent="0.25">
      <c r="A4239" s="3" t="str">
        <f>HYPERLINK("proteomic_fractions_linear_files/Yang_linear_img/6754620.jpg", "6754620")</f>
        <v>6754620</v>
      </c>
      <c r="C4239" s="3" t="str">
        <f>HYPERLINK("http://www.ncbi.nlm.nih.gov/protein/6754620","Man1a2")</f>
        <v>Man1a2</v>
      </c>
      <c r="E4239" t="str">
        <f>HYPERLINK("J:\Depot - mpkCCD Fractions\Main Web Page\Web Pages_old\proteomic_fractions_linear_files/Yang_linear_img/6754620.jpg","show blot")</f>
        <v>show blot</v>
      </c>
      <c r="G4239" t="s">
        <v>4037</v>
      </c>
      <c r="I4239" s="6">
        <v>2.8187517465437821</v>
      </c>
      <c r="K4239" s="8"/>
    </row>
    <row r="4240" spans="1:11" ht="15" x14ac:dyDescent="0.25">
      <c r="A4240" s="3" t="str">
        <f>HYPERLINK("proteomic_fractions_linear_files/Yang_linear_img/71534295.jpg", "71534295")</f>
        <v>71534295</v>
      </c>
      <c r="C4240" s="3" t="str">
        <f>HYPERLINK("http://www.ncbi.nlm.nih.gov/protein/71534295","Man1b1")</f>
        <v>Man1b1</v>
      </c>
      <c r="E4240" t="str">
        <f>HYPERLINK("J:\Depot - mpkCCD Fractions\Main Web Page\Web Pages_old\proteomic_fractions_linear_files/Yang_linear_img/71534295.jpg","show blot")</f>
        <v>show blot</v>
      </c>
      <c r="G4240" t="s">
        <v>4038</v>
      </c>
      <c r="I4240" s="6">
        <v>2.3598553119303185</v>
      </c>
      <c r="K4240" s="8"/>
    </row>
    <row r="4241" spans="1:11" ht="15" x14ac:dyDescent="0.25">
      <c r="A4241" s="3" t="str">
        <f>HYPERLINK("proteomic_fractions_linear_files/Yang_linear_img/226246610.jpg", "226246610")</f>
        <v>226246610</v>
      </c>
      <c r="C4241" s="3" t="str">
        <f>HYPERLINK("http://www.ncbi.nlm.nih.gov/protein/226246610","Man2a1")</f>
        <v>Man2a1</v>
      </c>
      <c r="E4241" t="str">
        <f>HYPERLINK("J:\Depot - mpkCCD Fractions\Main Web Page\Web Pages_old\proteomic_fractions_linear_files/Yang_linear_img/226246610.jpg","show blot")</f>
        <v>show blot</v>
      </c>
      <c r="G4241" t="s">
        <v>4039</v>
      </c>
      <c r="I4241" s="6">
        <v>3.4533579317505279</v>
      </c>
      <c r="K4241" s="8"/>
    </row>
    <row r="4242" spans="1:11" ht="15" x14ac:dyDescent="0.25">
      <c r="A4242" s="3" t="str">
        <f>HYPERLINK("proteomic_fractions_linear_files/Yang_linear_img/113195690.jpg", "113195690")</f>
        <v>113195690</v>
      </c>
      <c r="C4242" s="3" t="str">
        <f>HYPERLINK("http://www.ncbi.nlm.nih.gov/protein/113195690","Man2b1")</f>
        <v>Man2b1</v>
      </c>
      <c r="E4242" t="str">
        <f>HYPERLINK("J:\Depot - mpkCCD Fractions\Main Web Page\Web Pages_old\proteomic_fractions_linear_files/Yang_linear_img/113195690.jpg","show blot")</f>
        <v>show blot</v>
      </c>
      <c r="G4242" t="s">
        <v>4040</v>
      </c>
      <c r="I4242" s="6">
        <v>4.3514866408204753</v>
      </c>
      <c r="K4242" s="8"/>
    </row>
    <row r="4243" spans="1:11" ht="15" x14ac:dyDescent="0.25">
      <c r="A4243" s="3" t="str">
        <f>HYPERLINK("proteomic_fractions_linear_files/Yang_linear_img/227330625.jpg", "227330625")</f>
        <v>227330625</v>
      </c>
      <c r="C4243" s="3" t="str">
        <f>HYPERLINK("http://www.ncbi.nlm.nih.gov/protein/227330625","Man2b2")</f>
        <v>Man2b2</v>
      </c>
      <c r="E4243" t="str">
        <f>HYPERLINK("J:\Depot - mpkCCD Fractions\Main Web Page\Web Pages_old\proteomic_fractions_linear_files/Yang_linear_img/227330625.jpg","show blot")</f>
        <v>show blot</v>
      </c>
      <c r="G4243" t="s">
        <v>4041</v>
      </c>
      <c r="I4243" s="6">
        <v>4.5051252017136934</v>
      </c>
      <c r="K4243" s="8"/>
    </row>
    <row r="4244" spans="1:11" ht="15" x14ac:dyDescent="0.25">
      <c r="A4244" s="3" t="str">
        <f>HYPERLINK("proteomic_fractions_linear_files/Yang_linear_img/30794150.jpg", "30794150")</f>
        <v>30794150</v>
      </c>
      <c r="C4244" s="3" t="str">
        <f>HYPERLINK("http://www.ncbi.nlm.nih.gov/protein/30794150","Man2c1")</f>
        <v>Man2c1</v>
      </c>
      <c r="E4244" t="str">
        <f>HYPERLINK("J:\Depot - mpkCCD Fractions\Main Web Page\Web Pages_old\proteomic_fractions_linear_files/Yang_linear_img/30794150.jpg","show blot")</f>
        <v>show blot</v>
      </c>
      <c r="G4244" t="s">
        <v>4042</v>
      </c>
      <c r="I4244" s="6">
        <v>4.6422256696055308</v>
      </c>
      <c r="K4244" s="8"/>
    </row>
    <row r="4245" spans="1:11" ht="15" x14ac:dyDescent="0.25">
      <c r="A4245" s="3" t="str">
        <f>HYPERLINK("proteomic_fractions_linear_files/Yang_linear_img/158533990.jpg", "158533990")</f>
        <v>158533990</v>
      </c>
      <c r="C4245" s="3" t="str">
        <f>HYPERLINK("http://www.ncbi.nlm.nih.gov/protein/158533990","Manba")</f>
        <v>Manba</v>
      </c>
      <c r="E4245" t="str">
        <f>HYPERLINK("J:\Depot - mpkCCD Fractions\Main Web Page\Web Pages_old\proteomic_fractions_linear_files/Yang_linear_img/158533990.jpg","show blot")</f>
        <v>show blot</v>
      </c>
      <c r="G4245" t="s">
        <v>4043</v>
      </c>
      <c r="I4245" s="6">
        <v>5.3291814798930837</v>
      </c>
      <c r="K4245" s="8"/>
    </row>
    <row r="4246" spans="1:11" ht="15" x14ac:dyDescent="0.25">
      <c r="A4246" s="3" t="str">
        <f>HYPERLINK("proteomic_fractions_linear_files/Yang_linear_img/254540070.jpg", "254540070")</f>
        <v>254540070</v>
      </c>
      <c r="C4246" s="3" t="str">
        <f>HYPERLINK("http://www.ncbi.nlm.nih.gov/protein/254540070","Manbal")</f>
        <v>Manbal</v>
      </c>
      <c r="E4246" t="str">
        <f>HYPERLINK("J:\Depot - mpkCCD Fractions\Main Web Page\Web Pages_old\proteomic_fractions_linear_files/Yang_linear_img/254540070.jpg","show blot")</f>
        <v>show blot</v>
      </c>
      <c r="G4246" t="s">
        <v>4044</v>
      </c>
      <c r="I4246" s="6">
        <v>4.4882175906976114</v>
      </c>
      <c r="K4246" s="8"/>
    </row>
    <row r="4247" spans="1:11" ht="15" x14ac:dyDescent="0.25">
      <c r="A4247" s="3" t="str">
        <f>HYPERLINK("proteomic_fractions_linear_files/Yang_linear_img/110625813.jpg", "110625813")</f>
        <v>110625813</v>
      </c>
      <c r="C4247" s="3" t="str">
        <f>HYPERLINK("http://www.ncbi.nlm.nih.gov/protein/110625813","Manf")</f>
        <v>Manf</v>
      </c>
      <c r="E4247" t="str">
        <f>HYPERLINK("J:\Depot - mpkCCD Fractions\Main Web Page\Web Pages_old\proteomic_fractions_linear_files/Yang_linear_img/110625813.jpg","show blot")</f>
        <v>show blot</v>
      </c>
      <c r="G4247" t="s">
        <v>4045</v>
      </c>
      <c r="I4247" s="6">
        <v>4.8237569322826754</v>
      </c>
      <c r="K4247" s="8"/>
    </row>
    <row r="4248" spans="1:11" ht="15" x14ac:dyDescent="0.25">
      <c r="A4248" s="3" t="str">
        <f>HYPERLINK("proteomic_fractions_linear_files/Yang_linear_img/255759902.jpg", "255759902")</f>
        <v>255759902</v>
      </c>
      <c r="C4248" s="3" t="str">
        <f>HYPERLINK("http://www.ncbi.nlm.nih.gov/protein/255759902","Maoa")</f>
        <v>Maoa</v>
      </c>
      <c r="E4248" t="str">
        <f>HYPERLINK("J:\Depot - mpkCCD Fractions\Main Web Page\Web Pages_old\proteomic_fractions_linear_files/Yang_linear_img/255759902.jpg","show blot")</f>
        <v>show blot</v>
      </c>
      <c r="G4248" t="s">
        <v>4046</v>
      </c>
      <c r="I4248" s="6">
        <v>4.2945620184459701</v>
      </c>
      <c r="K4248" s="8"/>
    </row>
    <row r="4249" spans="1:11" ht="15" x14ac:dyDescent="0.25">
      <c r="A4249" s="3" t="str">
        <f>HYPERLINK("proteomic_fractions_linear_files/Yang_linear_img/124244033.jpg", "124244033")</f>
        <v>124244033</v>
      </c>
      <c r="C4249" s="3" t="str">
        <f>HYPERLINK("http://www.ncbi.nlm.nih.gov/protein/124244033","Map1a")</f>
        <v>Map1a</v>
      </c>
      <c r="E4249" t="str">
        <f>HYPERLINK("J:\Depot - mpkCCD Fractions\Main Web Page\Web Pages_old\proteomic_fractions_linear_files/Yang_linear_img/124244033.jpg","show blot")</f>
        <v>show blot</v>
      </c>
      <c r="G4249" t="s">
        <v>4047</v>
      </c>
      <c r="I4249" s="6">
        <v>3.0121745149959884</v>
      </c>
      <c r="K4249" s="8"/>
    </row>
    <row r="4250" spans="1:11" ht="15" x14ac:dyDescent="0.25">
      <c r="A4250" s="3" t="str">
        <f>HYPERLINK("proteomic_fractions_linear_files/Yang_linear_img/291045426.jpg", "291045426")</f>
        <v>291045426</v>
      </c>
      <c r="C4250" s="3" t="str">
        <f>HYPERLINK("http://www.ncbi.nlm.nih.gov/protein/291045426","Map1a")</f>
        <v>Map1a</v>
      </c>
      <c r="E4250" t="str">
        <f>HYPERLINK("J:\Depot - mpkCCD Fractions\Main Web Page\Web Pages_old\proteomic_fractions_linear_files/Yang_linear_img/291045426.jpg","show blot")</f>
        <v>show blot</v>
      </c>
      <c r="G4250" t="s">
        <v>4048</v>
      </c>
      <c r="I4250" s="6">
        <v>3.0121745149959884</v>
      </c>
      <c r="K4250" s="8"/>
    </row>
    <row r="4251" spans="1:11" ht="15" x14ac:dyDescent="0.25">
      <c r="A4251" s="3" t="str">
        <f>HYPERLINK("proteomic_fractions_linear_files/Yang_linear_img/171543853.jpg", "171543853")</f>
        <v>171543853</v>
      </c>
      <c r="C4251" s="3" t="str">
        <f>HYPERLINK("http://www.ncbi.nlm.nih.gov/protein/171543853","Map1b")</f>
        <v>Map1b</v>
      </c>
      <c r="E4251" t="str">
        <f>HYPERLINK("J:\Depot - mpkCCD Fractions\Main Web Page\Web Pages_old\proteomic_fractions_linear_files/Yang_linear_img/171543853.jpg","show blot")</f>
        <v>show blot</v>
      </c>
      <c r="G4251" t="s">
        <v>4049</v>
      </c>
      <c r="I4251" s="6">
        <v>3.3328088053592499</v>
      </c>
      <c r="K4251" s="8"/>
    </row>
    <row r="4252" spans="1:11" ht="15" x14ac:dyDescent="0.25">
      <c r="A4252" s="3" t="str">
        <f>HYPERLINK("proteomic_fractions_linear_files/Yang_linear_img/23956148.jpg", "23956148")</f>
        <v>23956148</v>
      </c>
      <c r="C4252" s="3" t="str">
        <f>HYPERLINK("http://www.ncbi.nlm.nih.gov/protein/23956148","Map1lc3a")</f>
        <v>Map1lc3a</v>
      </c>
      <c r="E4252" t="str">
        <f>HYPERLINK("J:\Depot - mpkCCD Fractions\Main Web Page\Web Pages_old\proteomic_fractions_linear_files/Yang_linear_img/23956148.jpg","show blot")</f>
        <v>show blot</v>
      </c>
      <c r="G4252" t="s">
        <v>4050</v>
      </c>
      <c r="I4252" s="6">
        <v>5.23269833417082</v>
      </c>
      <c r="K4252" s="8"/>
    </row>
    <row r="4253" spans="1:11" ht="15" x14ac:dyDescent="0.25">
      <c r="A4253" s="3" t="str">
        <f>HYPERLINK("proteomic_fractions_linear_files/Yang_linear_img/13385664.jpg", "13385664")</f>
        <v>13385664</v>
      </c>
      <c r="C4253" s="3" t="str">
        <f>HYPERLINK("http://www.ncbi.nlm.nih.gov/protein/13385664","Map1lc3b")</f>
        <v>Map1lc3b</v>
      </c>
      <c r="E4253" t="str">
        <f>HYPERLINK("J:\Depot - mpkCCD Fractions\Main Web Page\Web Pages_old\proteomic_fractions_linear_files/Yang_linear_img/13385664.jpg","show blot")</f>
        <v>show blot</v>
      </c>
      <c r="G4253" t="s">
        <v>4051</v>
      </c>
      <c r="I4253" s="6">
        <v>5.2480135717419847</v>
      </c>
      <c r="K4253" s="8"/>
    </row>
    <row r="4254" spans="1:11" ht="15" x14ac:dyDescent="0.25">
      <c r="A4254" s="3" t="str">
        <f>HYPERLINK("proteomic_fractions_linear_files/Yang_linear_img/162287131.jpg", "162287131")</f>
        <v>162287131</v>
      </c>
      <c r="C4254" s="3" t="str">
        <f>HYPERLINK("http://www.ncbi.nlm.nih.gov/protein/162287131","Map1s")</f>
        <v>Map1s</v>
      </c>
      <c r="E4254" t="str">
        <f>HYPERLINK("J:\Depot - mpkCCD Fractions\Main Web Page\Web Pages_old\proteomic_fractions_linear_files/Yang_linear_img/162287131.jpg","show blot")</f>
        <v>show blot</v>
      </c>
      <c r="G4254" t="s">
        <v>4052</v>
      </c>
      <c r="I4254" s="6">
        <v>3.8855257615390952</v>
      </c>
      <c r="K4254" s="8"/>
    </row>
    <row r="4255" spans="1:11" ht="15" x14ac:dyDescent="0.25">
      <c r="A4255" s="3" t="str">
        <f>HYPERLINK("proteomic_fractions_linear_files/Yang_linear_img/68341935.jpg", "68341935")</f>
        <v>68341935</v>
      </c>
      <c r="C4255" s="3" t="str">
        <f>HYPERLINK("http://www.ncbi.nlm.nih.gov/protein/68341935","Map2")</f>
        <v>Map2</v>
      </c>
      <c r="E4255" t="str">
        <f>HYPERLINK("J:\Depot - mpkCCD Fractions\Main Web Page\Web Pages_old\proteomic_fractions_linear_files/Yang_linear_img/68341935.jpg","show blot")</f>
        <v>show blot</v>
      </c>
      <c r="G4255" t="s">
        <v>4053</v>
      </c>
      <c r="I4255" s="6">
        <v>4.306206483906406</v>
      </c>
      <c r="K4255" s="8"/>
    </row>
    <row r="4256" spans="1:11" ht="15" x14ac:dyDescent="0.25">
      <c r="A4256" s="3" t="str">
        <f>HYPERLINK("proteomic_fractions_linear_files/Yang_linear_img/90186270.jpg", "90186270")</f>
        <v>90186270</v>
      </c>
      <c r="C4256" s="3" t="str">
        <f>HYPERLINK("http://www.ncbi.nlm.nih.gov/protein/90186270","Map2")</f>
        <v>Map2</v>
      </c>
      <c r="E4256" t="str">
        <f>HYPERLINK("J:\Depot - mpkCCD Fractions\Main Web Page\Web Pages_old\proteomic_fractions_linear_files/Yang_linear_img/90186270.jpg","show blot")</f>
        <v>show blot</v>
      </c>
      <c r="G4256" t="s">
        <v>4054</v>
      </c>
      <c r="I4256" s="6">
        <v>4.306206483906406</v>
      </c>
      <c r="K4256" s="8"/>
    </row>
    <row r="4257" spans="1:11" ht="15" x14ac:dyDescent="0.25">
      <c r="A4257" s="3" t="str">
        <f>HYPERLINK("proteomic_fractions_linear_files/Yang_linear_img/6678794.jpg", "6678794")</f>
        <v>6678794</v>
      </c>
      <c r="C4257" s="3" t="str">
        <f>HYPERLINK("http://www.ncbi.nlm.nih.gov/protein/6678794","Map2k1")</f>
        <v>Map2k1</v>
      </c>
      <c r="E4257" t="str">
        <f>HYPERLINK("J:\Depot - mpkCCD Fractions\Main Web Page\Web Pages_old\proteomic_fractions_linear_files/Yang_linear_img/6678794.jpg","show blot")</f>
        <v>show blot</v>
      </c>
      <c r="G4257" t="s">
        <v>4055</v>
      </c>
      <c r="I4257" s="6">
        <v>5.634419670799149</v>
      </c>
      <c r="K4257" s="8"/>
    </row>
    <row r="4258" spans="1:11" ht="15" x14ac:dyDescent="0.25">
      <c r="A4258" s="3" t="str">
        <f>HYPERLINK("proteomic_fractions_linear_files/Yang_linear_img/31560267.jpg", "31560267")</f>
        <v>31560267</v>
      </c>
      <c r="C4258" s="3" t="str">
        <f>HYPERLINK("http://www.ncbi.nlm.nih.gov/protein/31560267","Map2k2")</f>
        <v>Map2k2</v>
      </c>
      <c r="E4258" t="str">
        <f>HYPERLINK("J:\Depot - mpkCCD Fractions\Main Web Page\Web Pages_old\proteomic_fractions_linear_files/Yang_linear_img/31560267.jpg","show blot")</f>
        <v>show blot</v>
      </c>
      <c r="G4258" t="s">
        <v>4056</v>
      </c>
      <c r="I4258" s="6">
        <v>5.611689038658433</v>
      </c>
      <c r="K4258" s="8"/>
    </row>
    <row r="4259" spans="1:11" ht="15" x14ac:dyDescent="0.25">
      <c r="A4259" s="3" t="str">
        <f>HYPERLINK("proteomic_fractions_linear_files/Yang_linear_img/22094081.jpg", "22094081")</f>
        <v>22094081</v>
      </c>
      <c r="C4259" s="3" t="str">
        <f>HYPERLINK("http://www.ncbi.nlm.nih.gov/protein/22094081","Map2k3")</f>
        <v>Map2k3</v>
      </c>
      <c r="E4259" t="str">
        <f>HYPERLINK("J:\Depot - mpkCCD Fractions\Main Web Page\Web Pages_old\proteomic_fractions_linear_files/Yang_linear_img/22094081.jpg","show blot")</f>
        <v>show blot</v>
      </c>
      <c r="G4259" t="s">
        <v>4057</v>
      </c>
      <c r="I4259" s="6">
        <v>4.1969461125435545</v>
      </c>
      <c r="K4259" s="8"/>
    </row>
    <row r="4260" spans="1:11" ht="15" x14ac:dyDescent="0.25">
      <c r="A4260" s="3" t="str">
        <f>HYPERLINK("proteomic_fractions_linear_files/Yang_linear_img/22095023.jpg", "22095023")</f>
        <v>22095023</v>
      </c>
      <c r="C4260" s="3" t="str">
        <f>HYPERLINK("http://www.ncbi.nlm.nih.gov/protein/22095023","Map2k4")</f>
        <v>Map2k4</v>
      </c>
      <c r="E4260" t="str">
        <f>HYPERLINK("J:\Depot - mpkCCD Fractions\Main Web Page\Web Pages_old\proteomic_fractions_linear_files/Yang_linear_img/22095023.jpg","show blot")</f>
        <v>show blot</v>
      </c>
      <c r="G4260" t="s">
        <v>4058</v>
      </c>
      <c r="I4260" s="6">
        <v>4.9450488870573661</v>
      </c>
      <c r="K4260" s="8"/>
    </row>
    <row r="4261" spans="1:11" ht="15" x14ac:dyDescent="0.25">
      <c r="A4261" s="3" t="str">
        <f>HYPERLINK("proteomic_fractions_linear_files/Yang_linear_img/110347549.jpg", "110347549")</f>
        <v>110347549</v>
      </c>
      <c r="C4261" s="3" t="str">
        <f>HYPERLINK("http://www.ncbi.nlm.nih.gov/protein/110347549","Map2k7")</f>
        <v>Map2k7</v>
      </c>
      <c r="E4261" t="str">
        <f>HYPERLINK("J:\Depot - mpkCCD Fractions\Main Web Page\Web Pages_old\proteomic_fractions_linear_files/Yang_linear_img/110347549.jpg","show blot")</f>
        <v>show blot</v>
      </c>
      <c r="G4261" t="s">
        <v>4059</v>
      </c>
      <c r="I4261" s="6">
        <v>1.3939744950789197</v>
      </c>
      <c r="K4261" s="8"/>
    </row>
    <row r="4262" spans="1:11" ht="15" x14ac:dyDescent="0.25">
      <c r="A4262" s="3" t="str">
        <f>HYPERLINK("proteomic_fractions_linear_files/Yang_linear_img/110347551.jpg", "110347551")</f>
        <v>110347551</v>
      </c>
      <c r="C4262" s="3" t="str">
        <f>HYPERLINK("http://www.ncbi.nlm.nih.gov/protein/110347551","Map2k7")</f>
        <v>Map2k7</v>
      </c>
      <c r="E4262" t="str">
        <f>HYPERLINK("J:\Depot - mpkCCD Fractions\Main Web Page\Web Pages_old\proteomic_fractions_linear_files/Yang_linear_img/110347551.jpg","show blot")</f>
        <v>show blot</v>
      </c>
      <c r="G4262" t="s">
        <v>4060</v>
      </c>
      <c r="I4262" s="6">
        <v>1.3939744950789197</v>
      </c>
      <c r="K4262" s="8"/>
    </row>
    <row r="4263" spans="1:11" ht="15" x14ac:dyDescent="0.25">
      <c r="A4263" s="3" t="str">
        <f>HYPERLINK("proteomic_fractions_linear_files/Yang_linear_img/255918231.jpg", "255918231")</f>
        <v>255918231</v>
      </c>
      <c r="C4263" s="3" t="str">
        <f>HYPERLINK("http://www.ncbi.nlm.nih.gov/protein/255918231","Map2k7")</f>
        <v>Map2k7</v>
      </c>
      <c r="E4263" t="str">
        <f>HYPERLINK("J:\Depot - mpkCCD Fractions\Main Web Page\Web Pages_old\proteomic_fractions_linear_files/Yang_linear_img/255918231.jpg","show blot")</f>
        <v>show blot</v>
      </c>
      <c r="G4263" t="s">
        <v>4061</v>
      </c>
      <c r="I4263" s="6">
        <v>1.3939744950789197</v>
      </c>
      <c r="K4263" s="8"/>
    </row>
    <row r="4264" spans="1:11" ht="15" x14ac:dyDescent="0.25">
      <c r="A4264" s="3" t="str">
        <f>HYPERLINK("proteomic_fractions_linear_files/Yang_linear_img/124486847.jpg", "124486847")</f>
        <v>124486847</v>
      </c>
      <c r="C4264" s="3" t="str">
        <f>HYPERLINK("http://www.ncbi.nlm.nih.gov/protein/124486847","Map3k10")</f>
        <v>Map3k10</v>
      </c>
      <c r="E4264" t="str">
        <f>HYPERLINK("J:\Depot - mpkCCD Fractions\Main Web Page\Web Pages_old\proteomic_fractions_linear_files/Yang_linear_img/124486847.jpg","show blot")</f>
        <v>show blot</v>
      </c>
      <c r="G4264" t="s">
        <v>4062</v>
      </c>
      <c r="I4264" s="6">
        <v>3.4309309719145831</v>
      </c>
      <c r="K4264" s="8"/>
    </row>
    <row r="4265" spans="1:11" ht="15" x14ac:dyDescent="0.25">
      <c r="A4265" s="3" t="str">
        <f>HYPERLINK("proteomic_fractions_linear_files/Yang_linear_img/31543234.jpg", "31543234")</f>
        <v>31543234</v>
      </c>
      <c r="C4265" s="3" t="str">
        <f>HYPERLINK("http://www.ncbi.nlm.nih.gov/protein/31543234","Map3k11")</f>
        <v>Map3k11</v>
      </c>
      <c r="E4265" t="str">
        <f>HYPERLINK("J:\Depot - mpkCCD Fractions\Main Web Page\Web Pages_old\proteomic_fractions_linear_files/Yang_linear_img/31543234.jpg","show blot")</f>
        <v>show blot</v>
      </c>
      <c r="G4265" t="s">
        <v>4063</v>
      </c>
      <c r="I4265" s="6">
        <v>3.4752852480658203</v>
      </c>
      <c r="K4265" s="8"/>
    </row>
    <row r="4266" spans="1:11" ht="15" x14ac:dyDescent="0.25">
      <c r="A4266" s="3" t="str">
        <f>HYPERLINK("proteomic_fractions_linear_files/Yang_linear_img/8393835.jpg", "8393835")</f>
        <v>8393835</v>
      </c>
      <c r="C4266" s="3" t="str">
        <f>HYPERLINK("http://www.ncbi.nlm.nih.gov/protein/8393835","Map3k14")</f>
        <v>Map3k14</v>
      </c>
      <c r="E4266" t="str">
        <f>HYPERLINK("J:\Depot - mpkCCD Fractions\Main Web Page\Web Pages_old\proteomic_fractions_linear_files/Yang_linear_img/8393835.jpg","show blot")</f>
        <v>show blot</v>
      </c>
      <c r="G4266" t="s">
        <v>4064</v>
      </c>
      <c r="I4266" s="6">
        <v>0.62001935928888408</v>
      </c>
      <c r="K4266" s="8"/>
    </row>
    <row r="4267" spans="1:11" ht="15" x14ac:dyDescent="0.25">
      <c r="A4267" s="3" t="str">
        <f>HYPERLINK("proteomic_fractions_linear_files/Yang_linear_img/282847404.jpg", "282847404")</f>
        <v>282847404</v>
      </c>
      <c r="C4267" s="3" t="str">
        <f>HYPERLINK("http://www.ncbi.nlm.nih.gov/protein/282847404","Map3k15")</f>
        <v>Map3k15</v>
      </c>
      <c r="E4267" t="str">
        <f>HYPERLINK("J:\Depot - mpkCCD Fractions\Main Web Page\Web Pages_old\proteomic_fractions_linear_files/Yang_linear_img/282847404.jpg","show blot")</f>
        <v>show blot</v>
      </c>
      <c r="G4267" t="s">
        <v>4065</v>
      </c>
      <c r="I4267" s="6">
        <v>2.8089643298640712</v>
      </c>
      <c r="K4267" s="8"/>
    </row>
    <row r="4268" spans="1:11" ht="15" x14ac:dyDescent="0.25">
      <c r="A4268" s="3" t="str">
        <f>HYPERLINK("proteomic_fractions_linear_files/Yang_linear_img/89257354.jpg", "89257354")</f>
        <v>89257354</v>
      </c>
      <c r="C4268" s="3" t="str">
        <f>HYPERLINK("http://www.ncbi.nlm.nih.gov/protein/89257354","Map3k2")</f>
        <v>Map3k2</v>
      </c>
      <c r="E4268" t="str">
        <f>HYPERLINK("J:\Depot - mpkCCD Fractions\Main Web Page\Web Pages_old\proteomic_fractions_linear_files/Yang_linear_img/89257354.jpg","show blot")</f>
        <v>show blot</v>
      </c>
      <c r="G4268" t="s">
        <v>4066</v>
      </c>
      <c r="I4268" s="6">
        <v>3.2460865315881731</v>
      </c>
      <c r="K4268" s="8"/>
    </row>
    <row r="4269" spans="1:11" ht="15" x14ac:dyDescent="0.25">
      <c r="A4269" s="3" t="str">
        <f>HYPERLINK("proteomic_fractions_linear_files/Yang_linear_img/33468949.jpg", "33468949")</f>
        <v>33468949</v>
      </c>
      <c r="C4269" s="3" t="str">
        <f>HYPERLINK("http://www.ncbi.nlm.nih.gov/protein/33468949","Map3k3")</f>
        <v>Map3k3</v>
      </c>
      <c r="E4269" t="str">
        <f>HYPERLINK("J:\Depot - mpkCCD Fractions\Main Web Page\Web Pages_old\proteomic_fractions_linear_files/Yang_linear_img/33468949.jpg","show blot")</f>
        <v>show blot</v>
      </c>
      <c r="G4269" t="s">
        <v>4067</v>
      </c>
      <c r="I4269" s="6">
        <v>4.2303620736488803</v>
      </c>
      <c r="K4269" s="8"/>
    </row>
    <row r="4270" spans="1:11" ht="15" x14ac:dyDescent="0.25">
      <c r="A4270" s="3" t="str">
        <f>HYPERLINK("proteomic_fractions_linear_files/Yang_linear_img/93102421.jpg", "93102421")</f>
        <v>93102421</v>
      </c>
      <c r="C4270" s="3" t="str">
        <f>HYPERLINK("http://www.ncbi.nlm.nih.gov/protein/93102421","Map3k4")</f>
        <v>Map3k4</v>
      </c>
      <c r="E4270" t="str">
        <f>HYPERLINK("J:\Depot - mpkCCD Fractions\Main Web Page\Web Pages_old\proteomic_fractions_linear_files/Yang_linear_img/93102421.jpg","show blot")</f>
        <v>show blot</v>
      </c>
      <c r="G4270" t="s">
        <v>4068</v>
      </c>
      <c r="I4270" s="6">
        <v>1.6699732418365665</v>
      </c>
      <c r="K4270" s="8"/>
    </row>
    <row r="4271" spans="1:11" ht="15" x14ac:dyDescent="0.25">
      <c r="A4271" s="3" t="str">
        <f>HYPERLINK("proteomic_fractions_linear_files/Yang_linear_img/171846249.jpg", "171846249")</f>
        <v>171846249</v>
      </c>
      <c r="C4271" s="3" t="str">
        <f>HYPERLINK("http://www.ncbi.nlm.nih.gov/protein/171846249","Map3k5")</f>
        <v>Map3k5</v>
      </c>
      <c r="E4271" t="str">
        <f>HYPERLINK("J:\Depot - mpkCCD Fractions\Main Web Page\Web Pages_old\proteomic_fractions_linear_files/Yang_linear_img/171846249.jpg","show blot")</f>
        <v>show blot</v>
      </c>
      <c r="G4271" t="s">
        <v>4069</v>
      </c>
      <c r="I4271" s="6">
        <v>3.9396823906355838</v>
      </c>
      <c r="K4271" s="8"/>
    </row>
    <row r="4272" spans="1:11" ht="15" x14ac:dyDescent="0.25">
      <c r="A4272" s="3" t="str">
        <f>HYPERLINK("proteomic_fractions_linear_files/Yang_linear_img/291575174.jpg", "291575174")</f>
        <v>291575174</v>
      </c>
      <c r="C4272" s="3" t="str">
        <f>HYPERLINK("http://www.ncbi.nlm.nih.gov/protein/291575174","Map3k9")</f>
        <v>Map3k9</v>
      </c>
      <c r="E4272" t="str">
        <f>HYPERLINK("J:\Depot - mpkCCD Fractions\Main Web Page\Web Pages_old\proteomic_fractions_linear_files/Yang_linear_img/291575174.jpg","show blot")</f>
        <v>show blot</v>
      </c>
      <c r="G4272" t="s">
        <v>4070</v>
      </c>
      <c r="I4272" s="6">
        <v>3.6112592839135194</v>
      </c>
      <c r="K4272" s="8"/>
    </row>
    <row r="4273" spans="1:11" ht="15" x14ac:dyDescent="0.25">
      <c r="A4273" s="3" t="str">
        <f>HYPERLINK("proteomic_fractions_linear_files/Yang_linear_img/52421792.jpg", "52421792")</f>
        <v>52421792</v>
      </c>
      <c r="C4273" s="3" t="str">
        <f>HYPERLINK("http://www.ncbi.nlm.nih.gov/protein/52421792","Map3k9")</f>
        <v>Map3k9</v>
      </c>
      <c r="E4273" t="str">
        <f>HYPERLINK("J:\Depot - mpkCCD Fractions\Main Web Page\Web Pages_old\proteomic_fractions_linear_files/Yang_linear_img/52421792.jpg","show blot")</f>
        <v>show blot</v>
      </c>
      <c r="G4273" t="s">
        <v>4071</v>
      </c>
      <c r="I4273" s="6">
        <v>3.6112592839135194</v>
      </c>
      <c r="K4273" s="8"/>
    </row>
    <row r="4274" spans="1:11" ht="15" x14ac:dyDescent="0.25">
      <c r="A4274" s="3" t="str">
        <f>HYPERLINK("proteomic_fractions_linear_files/Yang_linear_img/328927080.jpg", "328927080")</f>
        <v>328927080</v>
      </c>
      <c r="C4274" s="3" t="str">
        <f>HYPERLINK("http://www.ncbi.nlm.nih.gov/protein/328927080","Map4")</f>
        <v>Map4</v>
      </c>
      <c r="E4274" t="str">
        <f>HYPERLINK("J:\Depot - mpkCCD Fractions\Main Web Page\Web Pages_old\proteomic_fractions_linear_files/Yang_linear_img/328927080.jpg","show blot")</f>
        <v>show blot</v>
      </c>
      <c r="G4274" t="s">
        <v>4072</v>
      </c>
      <c r="I4274" s="6">
        <v>6.3629504015767289</v>
      </c>
      <c r="K4274" s="8"/>
    </row>
    <row r="4275" spans="1:11" ht="15" x14ac:dyDescent="0.25">
      <c r="A4275" s="3" t="str">
        <f>HYPERLINK("proteomic_fractions_linear_files/Yang_linear_img/328927083.jpg", "328927083")</f>
        <v>328927083</v>
      </c>
      <c r="C4275" s="3" t="str">
        <f>HYPERLINK("http://www.ncbi.nlm.nih.gov/protein/328927083","Map4")</f>
        <v>Map4</v>
      </c>
      <c r="E4275" t="str">
        <f>HYPERLINK("J:\Depot - mpkCCD Fractions\Main Web Page\Web Pages_old\proteomic_fractions_linear_files/Yang_linear_img/328927083.jpg","show blot")</f>
        <v>show blot</v>
      </c>
      <c r="G4275" t="s">
        <v>4073</v>
      </c>
      <c r="I4275" s="6">
        <v>6.3629504015767289</v>
      </c>
      <c r="K4275" s="8"/>
    </row>
    <row r="4276" spans="1:11" ht="15" x14ac:dyDescent="0.25">
      <c r="A4276" s="3" t="str">
        <f>HYPERLINK("proteomic_fractions_linear_files/Yang_linear_img/148747189.jpg", "148747189")</f>
        <v>148747189</v>
      </c>
      <c r="C4276" s="3" t="str">
        <f>HYPERLINK("http://www.ncbi.nlm.nih.gov/protein/148747189","Map4")</f>
        <v>Map4</v>
      </c>
      <c r="E4276" t="str">
        <f>HYPERLINK("J:\Depot - mpkCCD Fractions\Main Web Page\Web Pages_old\proteomic_fractions_linear_files/Yang_linear_img/148747189.jpg","show blot")</f>
        <v>show blot</v>
      </c>
      <c r="G4276" t="s">
        <v>4074</v>
      </c>
      <c r="I4276" s="6">
        <v>6.3629504015767289</v>
      </c>
      <c r="K4276" s="8"/>
    </row>
    <row r="4277" spans="1:11" ht="15" x14ac:dyDescent="0.25">
      <c r="A4277" s="3" t="str">
        <f>HYPERLINK("proteomic_fractions_linear_files/Yang_linear_img/328927075.jpg", "328927075")</f>
        <v>328927075</v>
      </c>
      <c r="C4277" s="3" t="str">
        <f>HYPERLINK("http://www.ncbi.nlm.nih.gov/protein/328927075","Map4")</f>
        <v>Map4</v>
      </c>
      <c r="E4277" t="str">
        <f>HYPERLINK("J:\Depot - mpkCCD Fractions\Main Web Page\Web Pages_old\proteomic_fractions_linear_files/Yang_linear_img/328927075.jpg","show blot")</f>
        <v>show blot</v>
      </c>
      <c r="G4277" t="s">
        <v>4075</v>
      </c>
      <c r="I4277" s="6">
        <v>6.3629504015767289</v>
      </c>
      <c r="K4277" s="8"/>
    </row>
    <row r="4278" spans="1:11" ht="15" x14ac:dyDescent="0.25">
      <c r="A4278" s="3" t="str">
        <f>HYPERLINK("proteomic_fractions_linear_files/Yang_linear_img/6678800.jpg", "6678800")</f>
        <v>6678800</v>
      </c>
      <c r="C4278" s="3" t="str">
        <f>HYPERLINK("http://www.ncbi.nlm.nih.gov/protein/6678800","Map4k2")</f>
        <v>Map4k2</v>
      </c>
      <c r="E4278" t="str">
        <f>HYPERLINK("J:\Depot - mpkCCD Fractions\Main Web Page\Web Pages_old\proteomic_fractions_linear_files/Yang_linear_img/6678800.jpg","show blot")</f>
        <v>show blot</v>
      </c>
      <c r="G4278" t="s">
        <v>4076</v>
      </c>
      <c r="I4278" s="6">
        <v>3.4056326121303884</v>
      </c>
      <c r="K4278" s="8"/>
    </row>
    <row r="4279" spans="1:11" ht="15" x14ac:dyDescent="0.25">
      <c r="A4279" s="3" t="str">
        <f>HYPERLINK("proteomic_fractions_linear_files/Yang_linear_img/124486875.jpg", "124486875")</f>
        <v>124486875</v>
      </c>
      <c r="C4279" s="3" t="str">
        <f>HYPERLINK("http://www.ncbi.nlm.nih.gov/protein/124486875","Map4k3")</f>
        <v>Map4k3</v>
      </c>
      <c r="E4279" t="str">
        <f>HYPERLINK("J:\Depot - mpkCCD Fractions\Main Web Page\Web Pages_old\proteomic_fractions_linear_files/Yang_linear_img/124486875.jpg","show blot")</f>
        <v>show blot</v>
      </c>
      <c r="G4279" t="s">
        <v>4077</v>
      </c>
      <c r="I4279" s="6">
        <v>1.6990756235408735</v>
      </c>
      <c r="K4279" s="8"/>
    </row>
    <row r="4280" spans="1:11" ht="15" x14ac:dyDescent="0.25">
      <c r="A4280" s="3" t="str">
        <f>HYPERLINK("proteomic_fractions_linear_files/Yang_linear_img/145279237.jpg", "145279237")</f>
        <v>145279237</v>
      </c>
      <c r="C4280" s="3" t="str">
        <f>HYPERLINK("http://www.ncbi.nlm.nih.gov/protein/145279237","Map4k4")</f>
        <v>Map4k4</v>
      </c>
      <c r="E4280" t="str">
        <f>HYPERLINK("J:\Depot - mpkCCD Fractions\Main Web Page\Web Pages_old\proteomic_fractions_linear_files/Yang_linear_img/145279237.jpg","show blot")</f>
        <v>show blot</v>
      </c>
      <c r="G4280" t="s">
        <v>4078</v>
      </c>
      <c r="I4280" s="6">
        <v>2.5665741138062805</v>
      </c>
      <c r="K4280" s="8"/>
    </row>
    <row r="4281" spans="1:11" ht="15" x14ac:dyDescent="0.25">
      <c r="A4281" s="3" t="str">
        <f>HYPERLINK("proteomic_fractions_linear_files/Yang_linear_img/356582264.jpg", "356582264")</f>
        <v>356582264</v>
      </c>
      <c r="C4281" s="3" t="str">
        <f>HYPERLINK("http://www.ncbi.nlm.nih.gov/protein/356582264","Map4k4")</f>
        <v>Map4k4</v>
      </c>
      <c r="E4281" t="str">
        <f>HYPERLINK("J:\Depot - mpkCCD Fractions\Main Web Page\Web Pages_old\proteomic_fractions_linear_files/Yang_linear_img/356582264.jpg","show blot")</f>
        <v>show blot</v>
      </c>
      <c r="G4281" t="s">
        <v>4079</v>
      </c>
      <c r="I4281" s="6">
        <v>2.5665741138062805</v>
      </c>
      <c r="K4281" s="8"/>
    </row>
    <row r="4282" spans="1:11" ht="15" x14ac:dyDescent="0.25">
      <c r="A4282" s="3" t="str">
        <f>HYPERLINK("proteomic_fractions_linear_files/Yang_linear_img/356582266.jpg", "356582266")</f>
        <v>356582266</v>
      </c>
      <c r="C4282" s="3" t="str">
        <f>HYPERLINK("http://www.ncbi.nlm.nih.gov/protein/356582266","Map4k4")</f>
        <v>Map4k4</v>
      </c>
      <c r="E4282" t="str">
        <f>HYPERLINK("J:\Depot - mpkCCD Fractions\Main Web Page\Web Pages_old\proteomic_fractions_linear_files/Yang_linear_img/356582266.jpg","show blot")</f>
        <v>show blot</v>
      </c>
      <c r="G4282" t="s">
        <v>4080</v>
      </c>
      <c r="I4282" s="6">
        <v>2.5665741138062805</v>
      </c>
      <c r="K4282" s="8"/>
    </row>
    <row r="4283" spans="1:11" ht="15" x14ac:dyDescent="0.25">
      <c r="A4283" s="3" t="str">
        <f>HYPERLINK("proteomic_fractions_linear_files/Yang_linear_img/356582268.jpg", "356582268")</f>
        <v>356582268</v>
      </c>
      <c r="C4283" s="3" t="str">
        <f>HYPERLINK("http://www.ncbi.nlm.nih.gov/protein/356582268","Map4k4")</f>
        <v>Map4k4</v>
      </c>
      <c r="E4283" t="str">
        <f>HYPERLINK("J:\Depot - mpkCCD Fractions\Main Web Page\Web Pages_old\proteomic_fractions_linear_files/Yang_linear_img/356582268.jpg","show blot")</f>
        <v>show blot</v>
      </c>
      <c r="G4283" t="s">
        <v>4081</v>
      </c>
      <c r="I4283" s="6">
        <v>2.5665741138062805</v>
      </c>
      <c r="K4283" s="8"/>
    </row>
    <row r="4284" spans="1:11" ht="15" x14ac:dyDescent="0.25">
      <c r="A4284" s="3" t="str">
        <f>HYPERLINK("proteomic_fractions_linear_files/Yang_linear_img/77736537.jpg", "77736537")</f>
        <v>77736537</v>
      </c>
      <c r="C4284" s="3" t="str">
        <f>HYPERLINK("http://www.ncbi.nlm.nih.gov/protein/77736537","Map4k5")</f>
        <v>Map4k5</v>
      </c>
      <c r="E4284" t="str">
        <f>HYPERLINK("J:\Depot - mpkCCD Fractions\Main Web Page\Web Pages_old\proteomic_fractions_linear_files/Yang_linear_img/77736537.jpg","show blot")</f>
        <v>show blot</v>
      </c>
      <c r="G4284" t="s">
        <v>4082</v>
      </c>
      <c r="I4284" s="6">
        <v>4.6170127916114314</v>
      </c>
      <c r="K4284" s="8"/>
    </row>
    <row r="4285" spans="1:11" ht="15" x14ac:dyDescent="0.25">
      <c r="A4285" s="3" t="str">
        <f>HYPERLINK("proteomic_fractions_linear_files/Yang_linear_img/113204613.jpg", "113204613")</f>
        <v>113204613</v>
      </c>
      <c r="C4285" s="3" t="str">
        <f>HYPERLINK("http://www.ncbi.nlm.nih.gov/protein/113204613","Map6")</f>
        <v>Map6</v>
      </c>
      <c r="E4285" t="str">
        <f>HYPERLINK("J:\Depot - mpkCCD Fractions\Main Web Page\Web Pages_old\proteomic_fractions_linear_files/Yang_linear_img/113204613.jpg","show blot")</f>
        <v>show blot</v>
      </c>
      <c r="G4285" t="s">
        <v>4083</v>
      </c>
      <c r="I4285" s="6">
        <v>2.995837395991984</v>
      </c>
      <c r="K4285" s="8"/>
    </row>
    <row r="4286" spans="1:11" ht="15" x14ac:dyDescent="0.25">
      <c r="A4286" s="3" t="str">
        <f>HYPERLINK("proteomic_fractions_linear_files/Yang_linear_img/114520592.jpg", "114520592")</f>
        <v>114520592</v>
      </c>
      <c r="C4286" s="3" t="str">
        <f>HYPERLINK("http://www.ncbi.nlm.nih.gov/protein/114520592","Map6")</f>
        <v>Map6</v>
      </c>
      <c r="E4286" t="str">
        <f>HYPERLINK("J:\Depot - mpkCCD Fractions\Main Web Page\Web Pages_old\proteomic_fractions_linear_files/Yang_linear_img/114520592.jpg","show blot")</f>
        <v>show blot</v>
      </c>
      <c r="G4286" t="s">
        <v>4084</v>
      </c>
      <c r="I4286" s="6">
        <v>2.995837395991984</v>
      </c>
      <c r="K4286" s="8"/>
    </row>
    <row r="4287" spans="1:11" ht="15" x14ac:dyDescent="0.25">
      <c r="A4287" s="3" t="str">
        <f>HYPERLINK("proteomic_fractions_linear_files/Yang_linear_img/114520594.jpg", "114520594")</f>
        <v>114520594</v>
      </c>
      <c r="C4287" s="3" t="str">
        <f>HYPERLINK("http://www.ncbi.nlm.nih.gov/protein/114520594","Map6")</f>
        <v>Map6</v>
      </c>
      <c r="E4287" t="str">
        <f>HYPERLINK("J:\Depot - mpkCCD Fractions\Main Web Page\Web Pages_old\proteomic_fractions_linear_files/Yang_linear_img/114520594.jpg","show blot")</f>
        <v>show blot</v>
      </c>
      <c r="G4287" t="s">
        <v>4085</v>
      </c>
      <c r="I4287" s="6">
        <v>2.995837395991984</v>
      </c>
      <c r="K4287" s="8"/>
    </row>
    <row r="4288" spans="1:11" ht="15" x14ac:dyDescent="0.25">
      <c r="A4288" s="3" t="str">
        <f>HYPERLINK("proteomic_fractions_linear_files/Yang_linear_img/310772196.jpg", "310772196")</f>
        <v>310772196</v>
      </c>
      <c r="C4288" s="3" t="str">
        <f>HYPERLINK("http://www.ncbi.nlm.nih.gov/protein/310772196","Map7")</f>
        <v>Map7</v>
      </c>
      <c r="E4288" t="str">
        <f>HYPERLINK("J:\Depot - mpkCCD Fractions\Main Web Page\Web Pages_old\proteomic_fractions_linear_files/Yang_linear_img/310772196.jpg","show blot")</f>
        <v>show blot</v>
      </c>
      <c r="G4288" t="s">
        <v>4086</v>
      </c>
      <c r="I4288" s="6">
        <v>3.5374205971238344</v>
      </c>
      <c r="K4288" s="8"/>
    </row>
    <row r="4289" spans="1:11" ht="15" x14ac:dyDescent="0.25">
      <c r="A4289" s="3" t="str">
        <f>HYPERLINK("proteomic_fractions_linear_files/Yang_linear_img/159110787.jpg", "159110787")</f>
        <v>159110787</v>
      </c>
      <c r="C4289" s="3" t="str">
        <f>HYPERLINK("http://www.ncbi.nlm.nih.gov/protein/159110787","Map7")</f>
        <v>Map7</v>
      </c>
      <c r="E4289" t="str">
        <f>HYPERLINK("J:\Depot - mpkCCD Fractions\Main Web Page\Web Pages_old\proteomic_fractions_linear_files/Yang_linear_img/159110787.jpg","show blot")</f>
        <v>show blot</v>
      </c>
      <c r="G4289" t="s">
        <v>4087</v>
      </c>
      <c r="I4289" s="6">
        <v>3.5374205971238344</v>
      </c>
      <c r="K4289" s="8"/>
    </row>
    <row r="4290" spans="1:11" ht="15" x14ac:dyDescent="0.25">
      <c r="A4290" s="3" t="str">
        <f>HYPERLINK("proteomic_fractions_linear_files/Yang_linear_img/225543273.jpg", "225543273")</f>
        <v>225543273</v>
      </c>
      <c r="C4290" s="3" t="str">
        <f>HYPERLINK("http://www.ncbi.nlm.nih.gov/protein/225543273","Map7d1")</f>
        <v>Map7d1</v>
      </c>
      <c r="E4290" t="str">
        <f>HYPERLINK("J:\Depot - mpkCCD Fractions\Main Web Page\Web Pages_old\proteomic_fractions_linear_files/Yang_linear_img/225543273.jpg","show blot")</f>
        <v>show blot</v>
      </c>
      <c r="G4290" t="s">
        <v>4088</v>
      </c>
      <c r="I4290" s="6">
        <v>2.3369740400975436</v>
      </c>
      <c r="K4290" s="8"/>
    </row>
    <row r="4291" spans="1:11" ht="15" x14ac:dyDescent="0.25">
      <c r="A4291" s="3" t="str">
        <f>HYPERLINK("proteomic_fractions_linear_files/Yang_linear_img/225543276.jpg", "225543276")</f>
        <v>225543276</v>
      </c>
      <c r="C4291" s="3" t="str">
        <f>HYPERLINK("http://www.ncbi.nlm.nih.gov/protein/225543276","Map7d1")</f>
        <v>Map7d1</v>
      </c>
      <c r="E4291" t="str">
        <f>HYPERLINK("J:\Depot - mpkCCD Fractions\Main Web Page\Web Pages_old\proteomic_fractions_linear_files/Yang_linear_img/225543276.jpg","show blot")</f>
        <v>show blot</v>
      </c>
      <c r="G4291" t="s">
        <v>4089</v>
      </c>
      <c r="I4291" s="6">
        <v>2.3369740400975436</v>
      </c>
      <c r="K4291" s="8"/>
    </row>
    <row r="4292" spans="1:11" ht="15" x14ac:dyDescent="0.25">
      <c r="A4292" s="3" t="str">
        <f>HYPERLINK("proteomic_fractions_linear_files/Yang_linear_img/124486997.jpg", "124486997")</f>
        <v>124486997</v>
      </c>
      <c r="C4292" s="3" t="str">
        <f>HYPERLINK("http://www.ncbi.nlm.nih.gov/protein/124486997","Map9")</f>
        <v>Map9</v>
      </c>
      <c r="E4292" t="str">
        <f>HYPERLINK("J:\Depot - mpkCCD Fractions\Main Web Page\Web Pages_old\proteomic_fractions_linear_files/Yang_linear_img/124486997.jpg","show blot")</f>
        <v>show blot</v>
      </c>
      <c r="G4292" t="s">
        <v>4090</v>
      </c>
      <c r="I4292" s="6">
        <v>2.507338238163868</v>
      </c>
      <c r="K4292" s="8"/>
    </row>
    <row r="4293" spans="1:11" ht="15" x14ac:dyDescent="0.25">
      <c r="A4293" s="3" t="str">
        <f>HYPERLINK("proteomic_fractions_linear_files/Yang_linear_img/6754632.jpg", "6754632")</f>
        <v>6754632</v>
      </c>
      <c r="C4293" s="3" t="str">
        <f>HYPERLINK("http://www.ncbi.nlm.nih.gov/protein/6754632","Mapk1")</f>
        <v>Mapk1</v>
      </c>
      <c r="E4293" t="str">
        <f>HYPERLINK("J:\Depot - mpkCCD Fractions\Main Web Page\Web Pages_old\proteomic_fractions_linear_files/Yang_linear_img/6754632.jpg","show blot")</f>
        <v>show blot</v>
      </c>
      <c r="G4293" t="s">
        <v>4091</v>
      </c>
      <c r="I4293" s="6">
        <v>6.3816054991070761</v>
      </c>
      <c r="K4293" s="8"/>
    </row>
    <row r="4294" spans="1:11" ht="15" x14ac:dyDescent="0.25">
      <c r="A4294" s="3" t="str">
        <f>HYPERLINK("proteomic_fractions_linear_files/Yang_linear_img/125858479.jpg", "125858479")</f>
        <v>125858479</v>
      </c>
      <c r="C4294" s="3" t="str">
        <f>HYPERLINK("http://www.ncbi.nlm.nih.gov/protein/125858479","Mapk10")</f>
        <v>Mapk10</v>
      </c>
      <c r="E4294" t="str">
        <f>HYPERLINK("J:\Depot - mpkCCD Fractions\Main Web Page\Web Pages_old\proteomic_fractions_linear_files/Yang_linear_img/125858479.jpg","show blot")</f>
        <v>show blot</v>
      </c>
      <c r="G4294" t="s">
        <v>4092</v>
      </c>
      <c r="I4294" s="6">
        <v>5.3906731449960965</v>
      </c>
      <c r="K4294" s="8"/>
    </row>
    <row r="4295" spans="1:11" ht="15" x14ac:dyDescent="0.25">
      <c r="A4295" s="3" t="str">
        <f>HYPERLINK("proteomic_fractions_linear_files/Yang_linear_img/125858511.jpg", "125858511")</f>
        <v>125858511</v>
      </c>
      <c r="C4295" s="3" t="str">
        <f>HYPERLINK("http://www.ncbi.nlm.nih.gov/protein/125858511","Mapk10")</f>
        <v>Mapk10</v>
      </c>
      <c r="E4295" t="str">
        <f>HYPERLINK("J:\Depot - mpkCCD Fractions\Main Web Page\Web Pages_old\proteomic_fractions_linear_files/Yang_linear_img/125858511.jpg","show blot")</f>
        <v>show blot</v>
      </c>
      <c r="G4295" t="s">
        <v>4093</v>
      </c>
      <c r="I4295" s="6">
        <v>5.3906731449960965</v>
      </c>
      <c r="K4295" s="8"/>
    </row>
    <row r="4296" spans="1:11" ht="15" x14ac:dyDescent="0.25">
      <c r="A4296" s="3" t="str">
        <f>HYPERLINK("proteomic_fractions_linear_files/Yang_linear_img/168693637.jpg", "168693637")</f>
        <v>168693637</v>
      </c>
      <c r="C4296" s="3" t="str">
        <f>HYPERLINK("http://www.ncbi.nlm.nih.gov/protein/168693637","Mapk11")</f>
        <v>Mapk11</v>
      </c>
      <c r="E4296" t="str">
        <f>HYPERLINK("J:\Depot - mpkCCD Fractions\Main Web Page\Web Pages_old\proteomic_fractions_linear_files/Yang_linear_img/168693637.jpg","show blot")</f>
        <v>show blot</v>
      </c>
      <c r="G4296" t="s">
        <v>4094</v>
      </c>
      <c r="I4296" s="6">
        <v>5.4569656598657916</v>
      </c>
      <c r="K4296" s="8"/>
    </row>
    <row r="4297" spans="1:11" ht="15" x14ac:dyDescent="0.25">
      <c r="A4297" s="3" t="str">
        <f>HYPERLINK("proteomic_fractions_linear_files/Yang_linear_img/7305253.jpg", "7305253")</f>
        <v>7305253</v>
      </c>
      <c r="C4297" s="3" t="str">
        <f>HYPERLINK("http://www.ncbi.nlm.nih.gov/protein/7305253","Mapk12")</f>
        <v>Mapk12</v>
      </c>
      <c r="E4297" t="str">
        <f>HYPERLINK("J:\Depot - mpkCCD Fractions\Main Web Page\Web Pages_old\proteomic_fractions_linear_files/Yang_linear_img/7305253.jpg","show blot")</f>
        <v>show blot</v>
      </c>
      <c r="G4297" t="s">
        <v>4095</v>
      </c>
      <c r="I4297" s="6">
        <v>5.6795635142787857</v>
      </c>
      <c r="K4297" s="8"/>
    </row>
    <row r="4298" spans="1:11" ht="15" x14ac:dyDescent="0.25">
      <c r="A4298" s="3" t="str">
        <f>HYPERLINK("proteomic_fractions_linear_files/Yang_linear_img/226246627.jpg", "226246627")</f>
        <v>226246627</v>
      </c>
      <c r="C4298" s="3" t="str">
        <f>HYPERLINK("http://www.ncbi.nlm.nih.gov/protein/226246627","Mapk13")</f>
        <v>Mapk13</v>
      </c>
      <c r="E4298" t="str">
        <f>HYPERLINK("J:\Depot - mpkCCD Fractions\Main Web Page\Web Pages_old\proteomic_fractions_linear_files/Yang_linear_img/226246627.jpg","show blot")</f>
        <v>show blot</v>
      </c>
      <c r="G4298" t="s">
        <v>4096</v>
      </c>
      <c r="I4298" s="6">
        <v>5.5660011008228008</v>
      </c>
      <c r="K4298" s="8"/>
    </row>
    <row r="4299" spans="1:11" ht="15" x14ac:dyDescent="0.25">
      <c r="A4299" s="3" t="str">
        <f>HYPERLINK("proteomic_fractions_linear_files/Yang_linear_img/10092590.jpg", "10092590")</f>
        <v>10092590</v>
      </c>
      <c r="C4299" s="3" t="str">
        <f>HYPERLINK("http://www.ncbi.nlm.nih.gov/protein/10092590","Mapk14")</f>
        <v>Mapk14</v>
      </c>
      <c r="E4299" t="str">
        <f>HYPERLINK("J:\Depot - mpkCCD Fractions\Main Web Page\Web Pages_old\proteomic_fractions_linear_files/Yang_linear_img/10092590.jpg","show blot")</f>
        <v>show blot</v>
      </c>
      <c r="G4299" t="s">
        <v>4097</v>
      </c>
      <c r="I4299" s="6">
        <v>5.8098012752758574</v>
      </c>
      <c r="K4299" s="8"/>
    </row>
    <row r="4300" spans="1:11" ht="15" x14ac:dyDescent="0.25">
      <c r="A4300" s="3" t="str">
        <f>HYPERLINK("proteomic_fractions_linear_files/Yang_linear_img/270341370.jpg", "270341370")</f>
        <v>270341370</v>
      </c>
      <c r="C4300" s="3" t="str">
        <f>HYPERLINK("http://www.ncbi.nlm.nih.gov/protein/270341370","Mapk14")</f>
        <v>Mapk14</v>
      </c>
      <c r="E4300" t="str">
        <f>HYPERLINK("J:\Depot - mpkCCD Fractions\Main Web Page\Web Pages_old\proteomic_fractions_linear_files/Yang_linear_img/270341370.jpg","show blot")</f>
        <v>show blot</v>
      </c>
      <c r="G4300" t="s">
        <v>4098</v>
      </c>
      <c r="I4300" s="6">
        <v>5.8098012752758574</v>
      </c>
      <c r="K4300" s="8"/>
    </row>
    <row r="4301" spans="1:11" ht="15" x14ac:dyDescent="0.25">
      <c r="A4301" s="3" t="str">
        <f>HYPERLINK("proteomic_fractions_linear_files/Yang_linear_img/270341386.jpg", "270341386")</f>
        <v>270341386</v>
      </c>
      <c r="C4301" s="3" t="str">
        <f>HYPERLINK("http://www.ncbi.nlm.nih.gov/protein/270341386","Mapk14")</f>
        <v>Mapk14</v>
      </c>
      <c r="E4301" t="str">
        <f>HYPERLINK("J:\Depot - mpkCCD Fractions\Main Web Page\Web Pages_old\proteomic_fractions_linear_files/Yang_linear_img/270341386.jpg","show blot")</f>
        <v>show blot</v>
      </c>
      <c r="G4301" t="s">
        <v>4099</v>
      </c>
      <c r="I4301" s="6">
        <v>5.8098012752758574</v>
      </c>
      <c r="K4301" s="8"/>
    </row>
    <row r="4302" spans="1:11" ht="15" x14ac:dyDescent="0.25">
      <c r="A4302" s="3" t="str">
        <f>HYPERLINK("proteomic_fractions_linear_files/Yang_linear_img/29244575.jpg", "29244575")</f>
        <v>29244575</v>
      </c>
      <c r="C4302" s="3" t="str">
        <f>HYPERLINK("http://www.ncbi.nlm.nih.gov/protein/29244575","Mapk15")</f>
        <v>Mapk15</v>
      </c>
      <c r="E4302" t="str">
        <f>HYPERLINK("J:\Depot - mpkCCD Fractions\Main Web Page\Web Pages_old\proteomic_fractions_linear_files/Yang_linear_img/29244575.jpg","show blot")</f>
        <v>show blot</v>
      </c>
      <c r="G4302" t="s">
        <v>4100</v>
      </c>
      <c r="I4302" s="6">
        <v>5.5934045396915311</v>
      </c>
      <c r="K4302" s="8"/>
    </row>
    <row r="4303" spans="1:11" ht="15" x14ac:dyDescent="0.25">
      <c r="A4303" s="3" t="str">
        <f>HYPERLINK("proteomic_fractions_linear_files/Yang_linear_img/21489933.jpg", "21489933")</f>
        <v>21489933</v>
      </c>
      <c r="C4303" s="3" t="str">
        <f>HYPERLINK("http://www.ncbi.nlm.nih.gov/protein/21489933","Mapk3")</f>
        <v>Mapk3</v>
      </c>
      <c r="E4303" t="str">
        <f>HYPERLINK("J:\Depot - mpkCCD Fractions\Main Web Page\Web Pages_old\proteomic_fractions_linear_files/Yang_linear_img/21489933.jpg","show blot")</f>
        <v>show blot</v>
      </c>
      <c r="G4303" t="s">
        <v>4101</v>
      </c>
      <c r="I4303" s="6">
        <v>6.3256992947577526</v>
      </c>
      <c r="K4303" s="8"/>
    </row>
    <row r="4304" spans="1:11" ht="15" x14ac:dyDescent="0.25">
      <c r="A4304" s="3" t="str">
        <f>HYPERLINK("proteomic_fractions_linear_files/Yang_linear_img/89337268.jpg", "89337268")</f>
        <v>89337268</v>
      </c>
      <c r="C4304" s="3" t="str">
        <f>HYPERLINK("http://www.ncbi.nlm.nih.gov/protein/89337268","Mapk4")</f>
        <v>Mapk4</v>
      </c>
      <c r="E4304" t="str">
        <f>HYPERLINK("J:\Depot - mpkCCD Fractions\Main Web Page\Web Pages_old\proteomic_fractions_linear_files/Yang_linear_img/89337268.jpg","show blot")</f>
        <v>show blot</v>
      </c>
      <c r="G4304" t="s">
        <v>4102</v>
      </c>
      <c r="I4304" s="6">
        <v>3.9707851410101611</v>
      </c>
      <c r="K4304" s="8"/>
    </row>
    <row r="4305" spans="1:11" ht="15" x14ac:dyDescent="0.25">
      <c r="A4305" s="3" t="str">
        <f>HYPERLINK("proteomic_fractions_linear_files/Yang_linear_img/76573879.jpg", "76573879")</f>
        <v>76573879</v>
      </c>
      <c r="C4305" s="3" t="str">
        <f>HYPERLINK("http://www.ncbi.nlm.nih.gov/protein/76573879","Mapk6")</f>
        <v>Mapk6</v>
      </c>
      <c r="E4305" t="str">
        <f>HYPERLINK("J:\Depot - mpkCCD Fractions\Main Web Page\Web Pages_old\proteomic_fractions_linear_files/Yang_linear_img/76573879.jpg","show blot")</f>
        <v>show blot</v>
      </c>
      <c r="G4305" t="s">
        <v>4103</v>
      </c>
      <c r="I4305" s="6">
        <v>3.8698846452693001</v>
      </c>
      <c r="K4305" s="8"/>
    </row>
    <row r="4306" spans="1:11" ht="15" x14ac:dyDescent="0.25">
      <c r="A4306" s="3" t="str">
        <f>HYPERLINK("proteomic_fractions_linear_files/Yang_linear_img/6754634.jpg", "6754634")</f>
        <v>6754634</v>
      </c>
      <c r="C4306" s="3" t="str">
        <f>HYPERLINK("http://www.ncbi.nlm.nih.gov/protein/6754634","Mapk7")</f>
        <v>Mapk7</v>
      </c>
      <c r="E4306" t="str">
        <f>HYPERLINK("J:\Depot - mpkCCD Fractions\Main Web Page\Web Pages_old\proteomic_fractions_linear_files/Yang_linear_img/6754634.jpg","show blot")</f>
        <v>show blot</v>
      </c>
      <c r="G4306" t="s">
        <v>4104</v>
      </c>
      <c r="I4306" s="6">
        <v>3.3072645484497336</v>
      </c>
      <c r="K4306" s="8"/>
    </row>
    <row r="4307" spans="1:11" ht="15" x14ac:dyDescent="0.25">
      <c r="A4307" s="3" t="str">
        <f>HYPERLINK("proteomic_fractions_linear_files/Yang_linear_img/7710060.jpg", "7710060")</f>
        <v>7710060</v>
      </c>
      <c r="C4307" s="3" t="str">
        <f>HYPERLINK("http://www.ncbi.nlm.nih.gov/protein/7710060","Mapk8")</f>
        <v>Mapk8</v>
      </c>
      <c r="E4307" t="str">
        <f>HYPERLINK("J:\Depot - mpkCCD Fractions\Main Web Page\Web Pages_old\proteomic_fractions_linear_files/Yang_linear_img/7710060.jpg","show blot")</f>
        <v>show blot</v>
      </c>
      <c r="G4307" t="s">
        <v>4105</v>
      </c>
      <c r="I4307" s="6">
        <v>5.4262968400993401</v>
      </c>
      <c r="K4307" s="8"/>
    </row>
    <row r="4308" spans="1:11" ht="15" x14ac:dyDescent="0.25">
      <c r="A4308" s="3" t="str">
        <f>HYPERLINK("proteomic_fractions_linear_files/Yang_linear_img/254540192.jpg", "254540192")</f>
        <v>254540192</v>
      </c>
      <c r="C4308" s="3" t="str">
        <f>HYPERLINK("http://www.ncbi.nlm.nih.gov/protein/254540192","Mapk8ip3")</f>
        <v>Mapk8ip3</v>
      </c>
      <c r="E4308" t="str">
        <f>HYPERLINK("J:\Depot - mpkCCD Fractions\Main Web Page\Web Pages_old\proteomic_fractions_linear_files/Yang_linear_img/254540192.jpg","show blot")</f>
        <v>show blot</v>
      </c>
      <c r="G4308" t="s">
        <v>4106</v>
      </c>
      <c r="I4308" s="6">
        <v>3.9080729696710219</v>
      </c>
      <c r="K4308" s="8"/>
    </row>
    <row r="4309" spans="1:11" ht="15" x14ac:dyDescent="0.25">
      <c r="A4309" s="3" t="str">
        <f>HYPERLINK("proteomic_fractions_linear_files/Yang_linear_img/254540198.jpg", "254540198")</f>
        <v>254540198</v>
      </c>
      <c r="C4309" s="3" t="str">
        <f>HYPERLINK("http://www.ncbi.nlm.nih.gov/protein/254540198","Mapk8ip3")</f>
        <v>Mapk8ip3</v>
      </c>
      <c r="E4309" t="str">
        <f>HYPERLINK("J:\Depot - mpkCCD Fractions\Main Web Page\Web Pages_old\proteomic_fractions_linear_files/Yang_linear_img/254540198.jpg","show blot")</f>
        <v>show blot</v>
      </c>
      <c r="G4309" t="s">
        <v>4107</v>
      </c>
      <c r="I4309" s="6">
        <v>3.9080729696710219</v>
      </c>
      <c r="K4309" s="8"/>
    </row>
    <row r="4310" spans="1:11" ht="15" x14ac:dyDescent="0.25">
      <c r="A4310" s="3" t="str">
        <f>HYPERLINK("proteomic_fractions_linear_files/Yang_linear_img/254540200.jpg", "254540200")</f>
        <v>254540200</v>
      </c>
      <c r="C4310" s="3" t="str">
        <f>HYPERLINK("http://www.ncbi.nlm.nih.gov/protein/254540200","Mapk8ip3")</f>
        <v>Mapk8ip3</v>
      </c>
      <c r="E4310" t="str">
        <f>HYPERLINK("J:\Depot - mpkCCD Fractions\Main Web Page\Web Pages_old\proteomic_fractions_linear_files/Yang_linear_img/254540200.jpg","show blot")</f>
        <v>show blot</v>
      </c>
      <c r="G4310" t="s">
        <v>4108</v>
      </c>
      <c r="I4310" s="6">
        <v>3.9080729696710219</v>
      </c>
      <c r="K4310" s="8"/>
    </row>
    <row r="4311" spans="1:11" ht="15" x14ac:dyDescent="0.25">
      <c r="A4311" s="3" t="str">
        <f>HYPERLINK("proteomic_fractions_linear_files/Yang_linear_img/254540202.jpg", "254540202")</f>
        <v>254540202</v>
      </c>
      <c r="C4311" s="3" t="str">
        <f>HYPERLINK("http://www.ncbi.nlm.nih.gov/protein/254540202","Mapk8ip3")</f>
        <v>Mapk8ip3</v>
      </c>
      <c r="E4311" t="str">
        <f>HYPERLINK("J:\Depot - mpkCCD Fractions\Main Web Page\Web Pages_old\proteomic_fractions_linear_files/Yang_linear_img/254540202.jpg","show blot")</f>
        <v>show blot</v>
      </c>
      <c r="G4311" t="s">
        <v>4109</v>
      </c>
      <c r="I4311" s="6">
        <v>3.9080729696710219</v>
      </c>
      <c r="K4311" s="8"/>
    </row>
    <row r="4312" spans="1:11" ht="15" x14ac:dyDescent="0.25">
      <c r="A4312" s="3" t="str">
        <f>HYPERLINK("proteomic_fractions_linear_files/Yang_linear_img/254540204.jpg", "254540204")</f>
        <v>254540204</v>
      </c>
      <c r="C4312" s="3" t="str">
        <f>HYPERLINK("http://www.ncbi.nlm.nih.gov/protein/254540204","Mapk8ip3")</f>
        <v>Mapk8ip3</v>
      </c>
      <c r="E4312" t="str">
        <f>HYPERLINK("J:\Depot - mpkCCD Fractions\Main Web Page\Web Pages_old\proteomic_fractions_linear_files/Yang_linear_img/254540204.jpg","show blot")</f>
        <v>show blot</v>
      </c>
      <c r="G4312" t="s">
        <v>4110</v>
      </c>
      <c r="I4312" s="6">
        <v>3.9080729696710219</v>
      </c>
      <c r="K4312" s="8"/>
    </row>
    <row r="4313" spans="1:11" ht="15" x14ac:dyDescent="0.25">
      <c r="A4313" s="3" t="str">
        <f>HYPERLINK("proteomic_fractions_linear_files/Yang_linear_img/254540206.jpg", "254540206")</f>
        <v>254540206</v>
      </c>
      <c r="C4313" s="3" t="str">
        <f>HYPERLINK("http://www.ncbi.nlm.nih.gov/protein/254540206","Mapk8ip3")</f>
        <v>Mapk8ip3</v>
      </c>
      <c r="E4313" t="str">
        <f>HYPERLINK("J:\Depot - mpkCCD Fractions\Main Web Page\Web Pages_old\proteomic_fractions_linear_files/Yang_linear_img/254540206.jpg","show blot")</f>
        <v>show blot</v>
      </c>
      <c r="G4313" t="s">
        <v>4111</v>
      </c>
      <c r="I4313" s="6">
        <v>3.9080729696710219</v>
      </c>
      <c r="K4313" s="8"/>
    </row>
    <row r="4314" spans="1:11" ht="15" x14ac:dyDescent="0.25">
      <c r="A4314" s="3" t="str">
        <f>HYPERLINK("proteomic_fractions_linear_files/Yang_linear_img/254540212.jpg", "254540212")</f>
        <v>254540212</v>
      </c>
      <c r="C4314" s="3" t="str">
        <f>HYPERLINK("http://www.ncbi.nlm.nih.gov/protein/254540212","Mapk8ip3")</f>
        <v>Mapk8ip3</v>
      </c>
      <c r="E4314" t="str">
        <f>HYPERLINK("J:\Depot - mpkCCD Fractions\Main Web Page\Web Pages_old\proteomic_fractions_linear_files/Yang_linear_img/254540212.jpg","show blot")</f>
        <v>show blot</v>
      </c>
      <c r="G4314" t="s">
        <v>4112</v>
      </c>
      <c r="I4314" s="6">
        <v>3.9080729696710219</v>
      </c>
      <c r="K4314" s="8"/>
    </row>
    <row r="4315" spans="1:11" ht="15" x14ac:dyDescent="0.25">
      <c r="A4315" s="3" t="str">
        <f>HYPERLINK("proteomic_fractions_linear_files/Yang_linear_img/254750709.jpg", "254750709")</f>
        <v>254750709</v>
      </c>
      <c r="C4315" s="3" t="str">
        <f>HYPERLINK("http://www.ncbi.nlm.nih.gov/protein/254750709","Mapk9")</f>
        <v>Mapk9</v>
      </c>
      <c r="E4315" t="str">
        <f>HYPERLINK("J:\Depot - mpkCCD Fractions\Main Web Page\Web Pages_old\proteomic_fractions_linear_files/Yang_linear_img/254750709.jpg","show blot")</f>
        <v>show blot</v>
      </c>
      <c r="G4315" t="s">
        <v>4113</v>
      </c>
      <c r="I4315" s="6">
        <v>5.4352188442172116</v>
      </c>
      <c r="K4315" s="8"/>
    </row>
    <row r="4316" spans="1:11" ht="15" x14ac:dyDescent="0.25">
      <c r="A4316" s="3" t="str">
        <f>HYPERLINK("proteomic_fractions_linear_files/Yang_linear_img/254750733.jpg", "254750733")</f>
        <v>254750733</v>
      </c>
      <c r="C4316" s="3" t="str">
        <f>HYPERLINK("http://www.ncbi.nlm.nih.gov/protein/254750733","Mapk9")</f>
        <v>Mapk9</v>
      </c>
      <c r="E4316" t="str">
        <f>HYPERLINK("J:\Depot - mpkCCD Fractions\Main Web Page\Web Pages_old\proteomic_fractions_linear_files/Yang_linear_img/254750733.jpg","show blot")</f>
        <v>show blot</v>
      </c>
      <c r="G4316" t="s">
        <v>4114</v>
      </c>
      <c r="I4316" s="6">
        <v>5.4352188442172116</v>
      </c>
      <c r="K4316" s="8"/>
    </row>
    <row r="4317" spans="1:11" ht="15" x14ac:dyDescent="0.25">
      <c r="A4317" s="3" t="str">
        <f>HYPERLINK("proteomic_fractions_linear_files/Yang_linear_img/254750739.jpg", "254750739")</f>
        <v>254750739</v>
      </c>
      <c r="C4317" s="3" t="str">
        <f>HYPERLINK("http://www.ncbi.nlm.nih.gov/protein/254750739","Mapk9")</f>
        <v>Mapk9</v>
      </c>
      <c r="E4317" t="str">
        <f>HYPERLINK("J:\Depot - mpkCCD Fractions\Main Web Page\Web Pages_old\proteomic_fractions_linear_files/Yang_linear_img/254750739.jpg","show blot")</f>
        <v>show blot</v>
      </c>
      <c r="G4317" t="s">
        <v>4115</v>
      </c>
      <c r="I4317" s="6">
        <v>5.4352188442172116</v>
      </c>
      <c r="K4317" s="8"/>
    </row>
    <row r="4318" spans="1:11" ht="15" x14ac:dyDescent="0.25">
      <c r="A4318" s="3" t="str">
        <f>HYPERLINK("proteomic_fractions_linear_files/Yang_linear_img/8393749.jpg", "8393749")</f>
        <v>8393749</v>
      </c>
      <c r="C4318" s="3" t="str">
        <f>HYPERLINK("http://www.ncbi.nlm.nih.gov/protein/8393749","Mapk9")</f>
        <v>Mapk9</v>
      </c>
      <c r="E4318" t="str">
        <f>HYPERLINK("J:\Depot - mpkCCD Fractions\Main Web Page\Web Pages_old\proteomic_fractions_linear_files/Yang_linear_img/8393749.jpg","show blot")</f>
        <v>show blot</v>
      </c>
      <c r="G4318" t="s">
        <v>4116</v>
      </c>
      <c r="I4318" s="6">
        <v>5.4352188442172116</v>
      </c>
      <c r="K4318" s="8"/>
    </row>
    <row r="4319" spans="1:11" ht="15" x14ac:dyDescent="0.25">
      <c r="A4319" s="3" t="str">
        <f>HYPERLINK("proteomic_fractions_linear_files/Yang_linear_img/28893485.jpg", "28893485")</f>
        <v>28893485</v>
      </c>
      <c r="C4319" s="3" t="str">
        <f>HYPERLINK("http://www.ncbi.nlm.nih.gov/protein/28893485","Mapkap1")</f>
        <v>Mapkap1</v>
      </c>
      <c r="E4319" t="str">
        <f>HYPERLINK("J:\Depot - mpkCCD Fractions\Main Web Page\Web Pages_old\proteomic_fractions_linear_files/Yang_linear_img/28893485.jpg","show blot")</f>
        <v>show blot</v>
      </c>
      <c r="G4319" t="s">
        <v>4117</v>
      </c>
      <c r="I4319" s="6">
        <v>4.0779012449185208</v>
      </c>
      <c r="K4319" s="8"/>
    </row>
    <row r="4320" spans="1:11" ht="15" x14ac:dyDescent="0.25">
      <c r="A4320" s="3" t="str">
        <f>HYPERLINK("proteomic_fractions_linear_files/Yang_linear_img/45544580.jpg", "45544580")</f>
        <v>45544580</v>
      </c>
      <c r="C4320" s="3" t="str">
        <f>HYPERLINK("http://www.ncbi.nlm.nih.gov/protein/45544580","Mapkapk2")</f>
        <v>Mapkapk2</v>
      </c>
      <c r="E4320" t="str">
        <f>HYPERLINK("J:\Depot - mpkCCD Fractions\Main Web Page\Web Pages_old\proteomic_fractions_linear_files/Yang_linear_img/45544580.jpg","show blot")</f>
        <v>show blot</v>
      </c>
      <c r="G4320" t="s">
        <v>4118</v>
      </c>
      <c r="I4320" s="6">
        <v>4.4898290321432839</v>
      </c>
      <c r="K4320" s="8"/>
    </row>
    <row r="4321" spans="1:11" ht="15" x14ac:dyDescent="0.25">
      <c r="A4321" s="3" t="str">
        <f>HYPERLINK("proteomic_fractions_linear_files/Yang_linear_img/31542089.jpg", "31542089")</f>
        <v>31542089</v>
      </c>
      <c r="C4321" s="3" t="str">
        <f>HYPERLINK("http://www.ncbi.nlm.nih.gov/protein/31542089","Mapkapk3")</f>
        <v>Mapkapk3</v>
      </c>
      <c r="E4321" t="str">
        <f>HYPERLINK("J:\Depot - mpkCCD Fractions\Main Web Page\Web Pages_old\proteomic_fractions_linear_files/Yang_linear_img/31542089.jpg","show blot")</f>
        <v>show blot</v>
      </c>
      <c r="G4321" t="s">
        <v>4119</v>
      </c>
      <c r="I4321" s="6">
        <v>4.5988297915229532</v>
      </c>
      <c r="K4321" s="8"/>
    </row>
    <row r="4322" spans="1:11" ht="15" x14ac:dyDescent="0.25">
      <c r="A4322" s="3" t="str">
        <f>HYPERLINK("proteomic_fractions_linear_files/Yang_linear_img/6754636.jpg", "6754636")</f>
        <v>6754636</v>
      </c>
      <c r="C4322" s="3" t="str">
        <f>HYPERLINK("http://www.ncbi.nlm.nih.gov/protein/6754636","Mapkapk5")</f>
        <v>Mapkapk5</v>
      </c>
      <c r="E4322" t="str">
        <f>HYPERLINK("J:\Depot - mpkCCD Fractions\Main Web Page\Web Pages_old\proteomic_fractions_linear_files/Yang_linear_img/6754636.jpg","show blot")</f>
        <v>show blot</v>
      </c>
      <c r="G4322" t="s">
        <v>4120</v>
      </c>
      <c r="I4322" s="6">
        <v>3.9835147877433674</v>
      </c>
      <c r="K4322" s="8"/>
    </row>
    <row r="4323" spans="1:11" ht="15" x14ac:dyDescent="0.25">
      <c r="A4323" s="3" t="str">
        <f>HYPERLINK("proteomic_fractions_linear_files/Yang_linear_img/7106301.jpg", "7106301")</f>
        <v>7106301</v>
      </c>
      <c r="C4323" s="3" t="str">
        <f>HYPERLINK("http://www.ncbi.nlm.nih.gov/protein/7106301","Mapre1")</f>
        <v>Mapre1</v>
      </c>
      <c r="E4323" t="str">
        <f>HYPERLINK("J:\Depot - mpkCCD Fractions\Main Web Page\Web Pages_old\proteomic_fractions_linear_files/Yang_linear_img/7106301.jpg","show blot")</f>
        <v>show blot</v>
      </c>
      <c r="G4323" t="s">
        <v>4121</v>
      </c>
      <c r="I4323" s="6">
        <v>5.8402370983388421</v>
      </c>
      <c r="K4323" s="8"/>
    </row>
    <row r="4324" spans="1:11" ht="15" x14ac:dyDescent="0.25">
      <c r="A4324" s="3" t="str">
        <f>HYPERLINK("proteomic_fractions_linear_files/Yang_linear_img/253314540.jpg", "253314540")</f>
        <v>253314540</v>
      </c>
      <c r="C4324" s="3" t="str">
        <f>HYPERLINK("http://www.ncbi.nlm.nih.gov/protein/253314540","Mapre2")</f>
        <v>Mapre2</v>
      </c>
      <c r="E4324" t="str">
        <f>HYPERLINK("J:\Depot - mpkCCD Fractions\Main Web Page\Web Pages_old\proteomic_fractions_linear_files/Yang_linear_img/253314540.jpg","show blot")</f>
        <v>show blot</v>
      </c>
      <c r="G4324" t="s">
        <v>4122</v>
      </c>
      <c r="I4324" s="6">
        <v>3.7884077870318649</v>
      </c>
      <c r="K4324" s="8"/>
    </row>
    <row r="4325" spans="1:11" ht="15" x14ac:dyDescent="0.25">
      <c r="A4325" s="3" t="str">
        <f>HYPERLINK("proteomic_fractions_linear_files/Yang_linear_img/253314542.jpg", "253314542")</f>
        <v>253314542</v>
      </c>
      <c r="C4325" s="3" t="str">
        <f>HYPERLINK("http://www.ncbi.nlm.nih.gov/protein/253314542","Mapre2")</f>
        <v>Mapre2</v>
      </c>
      <c r="E4325" t="str">
        <f>HYPERLINK("J:\Depot - mpkCCD Fractions\Main Web Page\Web Pages_old\proteomic_fractions_linear_files/Yang_linear_img/253314542.jpg","show blot")</f>
        <v>show blot</v>
      </c>
      <c r="G4325" t="s">
        <v>4123</v>
      </c>
      <c r="I4325" s="6">
        <v>3.7884077870318649</v>
      </c>
      <c r="K4325" s="8"/>
    </row>
    <row r="4326" spans="1:11" ht="15" x14ac:dyDescent="0.25">
      <c r="A4326" s="3" t="str">
        <f>HYPERLINK("proteomic_fractions_linear_files/Yang_linear_img/253314544.jpg", "253314544")</f>
        <v>253314544</v>
      </c>
      <c r="C4326" s="3" t="str">
        <f>HYPERLINK("http://www.ncbi.nlm.nih.gov/protein/253314544","Mapre2")</f>
        <v>Mapre2</v>
      </c>
      <c r="E4326" t="str">
        <f>HYPERLINK("J:\Depot - mpkCCD Fractions\Main Web Page\Web Pages_old\proteomic_fractions_linear_files/Yang_linear_img/253314544.jpg","show blot")</f>
        <v>show blot</v>
      </c>
      <c r="G4326" t="s">
        <v>4124</v>
      </c>
      <c r="I4326" s="6">
        <v>3.7884077870318649</v>
      </c>
      <c r="K4326" s="8"/>
    </row>
    <row r="4327" spans="1:11" ht="15" x14ac:dyDescent="0.25">
      <c r="A4327" s="3" t="str">
        <f>HYPERLINK("proteomic_fractions_linear_files/Yang_linear_img/39930509.jpg", "39930509")</f>
        <v>39930509</v>
      </c>
      <c r="C4327" s="3" t="str">
        <f>HYPERLINK("http://www.ncbi.nlm.nih.gov/protein/39930509","Mapre3")</f>
        <v>Mapre3</v>
      </c>
      <c r="E4327" t="str">
        <f>HYPERLINK("J:\Depot - mpkCCD Fractions\Main Web Page\Web Pages_old\proteomic_fractions_linear_files/Yang_linear_img/39930509.jpg","show blot")</f>
        <v>show blot</v>
      </c>
      <c r="G4327" t="s">
        <v>4125</v>
      </c>
      <c r="I4327" s="6">
        <v>4.9141228216805413</v>
      </c>
      <c r="K4327" s="8"/>
    </row>
    <row r="4328" spans="1:11" ht="15" x14ac:dyDescent="0.25">
      <c r="A4328" s="3" t="str">
        <f>HYPERLINK("proteomic_fractions_linear_files/Yang_linear_img/19526848.jpg", "19526848")</f>
        <v>19526848</v>
      </c>
      <c r="C4328" s="3" t="str">
        <f>HYPERLINK("http://www.ncbi.nlm.nih.gov/protein/19526848","Marc2")</f>
        <v>Marc2</v>
      </c>
      <c r="E4328" t="str">
        <f>HYPERLINK("J:\Depot - mpkCCD Fractions\Main Web Page\Web Pages_old\proteomic_fractions_linear_files/Yang_linear_img/19526848.jpg","show blot")</f>
        <v>show blot</v>
      </c>
      <c r="G4328" t="s">
        <v>4126</v>
      </c>
      <c r="I4328" s="6">
        <v>5.3187546348746837</v>
      </c>
      <c r="K4328" s="8"/>
    </row>
    <row r="4329" spans="1:11" ht="15" x14ac:dyDescent="0.25">
      <c r="A4329" s="3" t="str">
        <f>HYPERLINK("proteomic_fractions_linear_files/Yang_linear_img/256773297.jpg", "256773297")</f>
        <v>256773297</v>
      </c>
      <c r="C4329" s="3" t="str">
        <f>HYPERLINK("http://www.ncbi.nlm.nih.gov/protein/256773297","March5")</f>
        <v>March5</v>
      </c>
      <c r="E4329" t="str">
        <f>HYPERLINK("J:\Depot - mpkCCD Fractions\Main Web Page\Web Pages_old\proteomic_fractions_linear_files/Yang_linear_img/256773297.jpg","show blot")</f>
        <v>show blot</v>
      </c>
      <c r="G4329" t="s">
        <v>4127</v>
      </c>
      <c r="I4329" s="6">
        <v>4.7247102678555031</v>
      </c>
      <c r="K4329" s="8"/>
    </row>
    <row r="4330" spans="1:11" ht="15" x14ac:dyDescent="0.25">
      <c r="A4330" s="3" t="str">
        <f>HYPERLINK("proteomic_fractions_linear_files/Yang_linear_img/256773301.jpg", "256773301")</f>
        <v>256773301</v>
      </c>
      <c r="C4330" s="3" t="str">
        <f>HYPERLINK("http://www.ncbi.nlm.nih.gov/protein/256773301","March5")</f>
        <v>March5</v>
      </c>
      <c r="E4330" t="str">
        <f>HYPERLINK("J:\Depot - mpkCCD Fractions\Main Web Page\Web Pages_old\proteomic_fractions_linear_files/Yang_linear_img/256773301.jpg","show blot")</f>
        <v>show blot</v>
      </c>
      <c r="G4330" t="s">
        <v>4128</v>
      </c>
      <c r="I4330" s="6">
        <v>4.7247102678555031</v>
      </c>
      <c r="K4330" s="8"/>
    </row>
    <row r="4331" spans="1:11" ht="15" x14ac:dyDescent="0.25">
      <c r="A4331" s="3" t="str">
        <f>HYPERLINK("proteomic_fractions_linear_files/Yang_linear_img/256773303.jpg", "256773303")</f>
        <v>256773303</v>
      </c>
      <c r="C4331" s="3" t="str">
        <f>HYPERLINK("http://www.ncbi.nlm.nih.gov/protein/256773303","March5")</f>
        <v>March5</v>
      </c>
      <c r="E4331" t="str">
        <f>HYPERLINK("J:\Depot - mpkCCD Fractions\Main Web Page\Web Pages_old\proteomic_fractions_linear_files/Yang_linear_img/256773303.jpg","show blot")</f>
        <v>show blot</v>
      </c>
      <c r="G4331" t="s">
        <v>4129</v>
      </c>
      <c r="I4331" s="6">
        <v>4.7247102678555031</v>
      </c>
      <c r="K4331" s="8"/>
    </row>
    <row r="4332" spans="1:11" ht="15" x14ac:dyDescent="0.25">
      <c r="A4332" s="3" t="str">
        <f>HYPERLINK("proteomic_fractions_linear_files/Yang_linear_img/6678768.jpg", "6678768")</f>
        <v>6678768</v>
      </c>
      <c r="C4332" s="3" t="str">
        <f>HYPERLINK("http://www.ncbi.nlm.nih.gov/protein/6678768","Marcks")</f>
        <v>Marcks</v>
      </c>
      <c r="E4332" t="str">
        <f>HYPERLINK("J:\Depot - mpkCCD Fractions\Main Web Page\Web Pages_old\proteomic_fractions_linear_files/Yang_linear_img/6678768.jpg","show blot")</f>
        <v>show blot</v>
      </c>
      <c r="G4332" t="s">
        <v>4130</v>
      </c>
      <c r="I4332" s="6">
        <v>5.7639436272797298</v>
      </c>
      <c r="K4332" s="8"/>
    </row>
    <row r="4333" spans="1:11" ht="15" x14ac:dyDescent="0.25">
      <c r="A4333" s="3" t="str">
        <f>HYPERLINK("proteomic_fractions_linear_files/Yang_linear_img/6754706.jpg", "6754706")</f>
        <v>6754706</v>
      </c>
      <c r="C4333" s="3" t="str">
        <f>HYPERLINK("http://www.ncbi.nlm.nih.gov/protein/6754706","Marcksl1")</f>
        <v>Marcksl1</v>
      </c>
      <c r="E4333" t="str">
        <f>HYPERLINK("J:\Depot - mpkCCD Fractions\Main Web Page\Web Pages_old\proteomic_fractions_linear_files/Yang_linear_img/6754706.jpg","show blot")</f>
        <v>show blot</v>
      </c>
      <c r="G4333" t="s">
        <v>4131</v>
      </c>
      <c r="I4333" s="6">
        <v>5.5134671550880077</v>
      </c>
      <c r="K4333" s="8"/>
    </row>
    <row r="4334" spans="1:11" ht="15" x14ac:dyDescent="0.25">
      <c r="A4334" s="3" t="str">
        <f>HYPERLINK("proteomic_fractions_linear_files/Yang_linear_img/124487213.jpg", "124487213")</f>
        <v>124487213</v>
      </c>
      <c r="C4334" s="3" t="str">
        <f>HYPERLINK("http://www.ncbi.nlm.nih.gov/protein/124487213","Marf1")</f>
        <v>Marf1</v>
      </c>
      <c r="E4334" t="str">
        <f>HYPERLINK("J:\Depot - mpkCCD Fractions\Main Web Page\Web Pages_old\proteomic_fractions_linear_files/Yang_linear_img/124487213.jpg","show blot")</f>
        <v>show blot</v>
      </c>
      <c r="G4334" t="s">
        <v>4132</v>
      </c>
      <c r="I4334" s="6">
        <v>4.1948432608954862</v>
      </c>
      <c r="K4334" s="8"/>
    </row>
    <row r="4335" spans="1:11" ht="15" x14ac:dyDescent="0.25">
      <c r="A4335" s="3" t="str">
        <f>HYPERLINK("proteomic_fractions_linear_files/Yang_linear_img/224922757.jpg", "224922757")</f>
        <v>224922757</v>
      </c>
      <c r="C4335" s="3" t="str">
        <f>HYPERLINK("http://www.ncbi.nlm.nih.gov/protein/224922757","Mark1")</f>
        <v>Mark1</v>
      </c>
      <c r="E4335" t="str">
        <f>HYPERLINK("J:\Depot - mpkCCD Fractions\Main Web Page\Web Pages_old\proteomic_fractions_linear_files/Yang_linear_img/224922757.jpg","show blot")</f>
        <v>show blot</v>
      </c>
      <c r="G4335" t="s">
        <v>4133</v>
      </c>
      <c r="I4335" s="6">
        <v>4.3491998913780199</v>
      </c>
      <c r="K4335" s="8"/>
    </row>
    <row r="4336" spans="1:11" ht="15" x14ac:dyDescent="0.25">
      <c r="A4336" s="3" t="str">
        <f>HYPERLINK("proteomic_fractions_linear_files/Yang_linear_img/122937355.jpg", "122937355")</f>
        <v>122937355</v>
      </c>
      <c r="C4336" s="3" t="str">
        <f>HYPERLINK("http://www.ncbi.nlm.nih.gov/protein/122937355","Mark2")</f>
        <v>Mark2</v>
      </c>
      <c r="E4336" t="str">
        <f>HYPERLINK("J:\Depot - mpkCCD Fractions\Main Web Page\Web Pages_old\proteomic_fractions_linear_files/Yang_linear_img/122937355.jpg","show blot")</f>
        <v>show blot</v>
      </c>
      <c r="G4336" t="s">
        <v>4134</v>
      </c>
      <c r="I4336" s="6">
        <v>5.1294137351463203</v>
      </c>
      <c r="K4336" s="8"/>
    </row>
    <row r="4337" spans="1:11" ht="15" x14ac:dyDescent="0.25">
      <c r="A4337" s="3" t="str">
        <f>HYPERLINK("proteomic_fractions_linear_files/Yang_linear_img/122937357.jpg", "122937357")</f>
        <v>122937357</v>
      </c>
      <c r="C4337" s="3" t="str">
        <f>HYPERLINK("http://www.ncbi.nlm.nih.gov/protein/122937357","Mark2")</f>
        <v>Mark2</v>
      </c>
      <c r="E4337" t="str">
        <f>HYPERLINK("J:\Depot - mpkCCD Fractions\Main Web Page\Web Pages_old\proteomic_fractions_linear_files/Yang_linear_img/122937357.jpg","show blot")</f>
        <v>show blot</v>
      </c>
      <c r="G4337" t="s">
        <v>4135</v>
      </c>
      <c r="I4337" s="6">
        <v>5.1294137351463203</v>
      </c>
      <c r="K4337" s="8"/>
    </row>
    <row r="4338" spans="1:11" ht="15" x14ac:dyDescent="0.25">
      <c r="A4338" s="3" t="str">
        <f>HYPERLINK("proteomic_fractions_linear_files/Yang_linear_img/122937359.jpg", "122937359")</f>
        <v>122937359</v>
      </c>
      <c r="C4338" s="3" t="str">
        <f>HYPERLINK("http://www.ncbi.nlm.nih.gov/protein/122937359","Mark2")</f>
        <v>Mark2</v>
      </c>
      <c r="E4338" t="str">
        <f>HYPERLINK("J:\Depot - mpkCCD Fractions\Main Web Page\Web Pages_old\proteomic_fractions_linear_files/Yang_linear_img/122937359.jpg","show blot")</f>
        <v>show blot</v>
      </c>
      <c r="G4338" t="s">
        <v>4136</v>
      </c>
      <c r="I4338" s="6">
        <v>5.1294137351463203</v>
      </c>
      <c r="K4338" s="8"/>
    </row>
    <row r="4339" spans="1:11" ht="15" x14ac:dyDescent="0.25">
      <c r="A4339" s="3" t="str">
        <f>HYPERLINK("proteomic_fractions_linear_files/Yang_linear_img/122937363.jpg", "122937363")</f>
        <v>122937363</v>
      </c>
      <c r="C4339" s="3" t="str">
        <f>HYPERLINK("http://www.ncbi.nlm.nih.gov/protein/122937363","Mark2")</f>
        <v>Mark2</v>
      </c>
      <c r="E4339" t="str">
        <f>HYPERLINK("J:\Depot - mpkCCD Fractions\Main Web Page\Web Pages_old\proteomic_fractions_linear_files/Yang_linear_img/122937363.jpg","show blot")</f>
        <v>show blot</v>
      </c>
      <c r="G4339" t="s">
        <v>4137</v>
      </c>
      <c r="I4339" s="6">
        <v>5.1294137351463203</v>
      </c>
      <c r="K4339" s="8"/>
    </row>
    <row r="4340" spans="1:11" ht="15" x14ac:dyDescent="0.25">
      <c r="A4340" s="3" t="str">
        <f>HYPERLINK("proteomic_fractions_linear_files/Yang_linear_img/251823810.jpg", "251823810")</f>
        <v>251823810</v>
      </c>
      <c r="C4340" s="3" t="str">
        <f>HYPERLINK("http://www.ncbi.nlm.nih.gov/protein/251823810","Mark3")</f>
        <v>Mark3</v>
      </c>
      <c r="E4340" t="str">
        <f>HYPERLINK("J:\Depot - mpkCCD Fractions\Main Web Page\Web Pages_old\proteomic_fractions_linear_files/Yang_linear_img/251823810.jpg","show blot")</f>
        <v>show blot</v>
      </c>
      <c r="G4340" t="s">
        <v>4138</v>
      </c>
      <c r="I4340" s="6">
        <v>4.6280422900083522</v>
      </c>
      <c r="K4340" s="8"/>
    </row>
    <row r="4341" spans="1:11" ht="15" x14ac:dyDescent="0.25">
      <c r="A4341" s="3" t="str">
        <f>HYPERLINK("proteomic_fractions_linear_files/Yang_linear_img/251823812.jpg", "251823812")</f>
        <v>251823812</v>
      </c>
      <c r="C4341" s="3" t="str">
        <f>HYPERLINK("http://www.ncbi.nlm.nih.gov/protein/251823812","Mark3")</f>
        <v>Mark3</v>
      </c>
      <c r="E4341" t="str">
        <f>HYPERLINK("J:\Depot - mpkCCD Fractions\Main Web Page\Web Pages_old\proteomic_fractions_linear_files/Yang_linear_img/251823812.jpg","show blot")</f>
        <v>show blot</v>
      </c>
      <c r="G4341" t="s">
        <v>4139</v>
      </c>
      <c r="I4341" s="6">
        <v>4.6280422900083522</v>
      </c>
      <c r="K4341" s="8"/>
    </row>
    <row r="4342" spans="1:11" ht="15" x14ac:dyDescent="0.25">
      <c r="A4342" s="3" t="str">
        <f>HYPERLINK("proteomic_fractions_linear_files/Yang_linear_img/26986591.jpg", "26986591")</f>
        <v>26986591</v>
      </c>
      <c r="C4342" s="3" t="str">
        <f>HYPERLINK("http://www.ncbi.nlm.nih.gov/protein/26986591","Mark4")</f>
        <v>Mark4</v>
      </c>
      <c r="E4342" t="str">
        <f>HYPERLINK("J:\Depot - mpkCCD Fractions\Main Web Page\Web Pages_old\proteomic_fractions_linear_files/Yang_linear_img/26986591.jpg","show blot")</f>
        <v>show blot</v>
      </c>
      <c r="G4342" t="s">
        <v>4140</v>
      </c>
      <c r="I4342" s="6">
        <v>4.0831936221294463</v>
      </c>
      <c r="K4342" s="8"/>
    </row>
    <row r="4343" spans="1:11" ht="15" x14ac:dyDescent="0.25">
      <c r="A4343" s="3" t="str">
        <f>HYPERLINK("proteomic_fractions_linear_files/Yang_linear_img/284172357.jpg", "284172357")</f>
        <v>284172357</v>
      </c>
      <c r="C4343" s="3" t="str">
        <f>HYPERLINK("http://www.ncbi.nlm.nih.gov/protein/284172357","Mars")</f>
        <v>Mars</v>
      </c>
      <c r="E4343" t="str">
        <f>HYPERLINK("J:\Depot - mpkCCD Fractions\Main Web Page\Web Pages_old\proteomic_fractions_linear_files/Yang_linear_img/284172357.jpg","show blot")</f>
        <v>show blot</v>
      </c>
      <c r="G4343" t="s">
        <v>4141</v>
      </c>
      <c r="I4343" s="6">
        <v>5.7927725944644672</v>
      </c>
      <c r="K4343" s="8"/>
    </row>
    <row r="4344" spans="1:11" ht="15" x14ac:dyDescent="0.25">
      <c r="A4344" s="3" t="str">
        <f>HYPERLINK("proteomic_fractions_linear_files/Yang_linear_img/51491852.jpg", "51491852")</f>
        <v>51491852</v>
      </c>
      <c r="C4344" s="3" t="str">
        <f>HYPERLINK("http://www.ncbi.nlm.nih.gov/protein/51491852","Mars")</f>
        <v>Mars</v>
      </c>
      <c r="E4344" t="str">
        <f>HYPERLINK("J:\Depot - mpkCCD Fractions\Main Web Page\Web Pages_old\proteomic_fractions_linear_files/Yang_linear_img/51491852.jpg","show blot")</f>
        <v>show blot</v>
      </c>
      <c r="G4344" t="s">
        <v>4142</v>
      </c>
      <c r="I4344" s="6">
        <v>5.7927725944644672</v>
      </c>
      <c r="K4344" s="8"/>
    </row>
    <row r="4345" spans="1:11" ht="15" x14ac:dyDescent="0.25">
      <c r="A4345" s="3" t="str">
        <f>HYPERLINK("proteomic_fractions_linear_files/Yang_linear_img/30425166.jpg", "30425166")</f>
        <v>30425166</v>
      </c>
      <c r="C4345" s="3" t="str">
        <f>HYPERLINK("http://www.ncbi.nlm.nih.gov/protein/30425166","Mars2")</f>
        <v>Mars2</v>
      </c>
      <c r="E4345" t="str">
        <f>HYPERLINK("J:\Depot - mpkCCD Fractions\Main Web Page\Web Pages_old\proteomic_fractions_linear_files/Yang_linear_img/30425166.jpg","show blot")</f>
        <v>show blot</v>
      </c>
      <c r="G4345" t="s">
        <v>4143</v>
      </c>
      <c r="I4345" s="6">
        <v>3.2591464549465194</v>
      </c>
      <c r="K4345" s="8"/>
    </row>
    <row r="4346" spans="1:11" ht="15" x14ac:dyDescent="0.25">
      <c r="A4346" s="3" t="str">
        <f>HYPERLINK("proteomic_fractions_linear_files/Yang_linear_img/21704144.jpg", "21704144")</f>
        <v>21704144</v>
      </c>
      <c r="C4346" s="3" t="str">
        <f>HYPERLINK("http://www.ncbi.nlm.nih.gov/protein/21704144","Mat2a")</f>
        <v>Mat2a</v>
      </c>
      <c r="E4346" t="str">
        <f>HYPERLINK("J:\Depot - mpkCCD Fractions\Main Web Page\Web Pages_old\proteomic_fractions_linear_files/Yang_linear_img/21704144.jpg","show blot")</f>
        <v>show blot</v>
      </c>
      <c r="G4346" t="s">
        <v>4144</v>
      </c>
      <c r="I4346" s="6">
        <v>5.7989699943412933</v>
      </c>
      <c r="K4346" s="8"/>
    </row>
    <row r="4347" spans="1:11" ht="15" x14ac:dyDescent="0.25">
      <c r="A4347" s="3" t="str">
        <f>HYPERLINK("proteomic_fractions_linear_files/Yang_linear_img/19527234.jpg", "19527234")</f>
        <v>19527234</v>
      </c>
      <c r="C4347" s="3" t="str">
        <f>HYPERLINK("http://www.ncbi.nlm.nih.gov/protein/19527234","Mat2b")</f>
        <v>Mat2b</v>
      </c>
      <c r="E4347" t="str">
        <f>HYPERLINK("J:\Depot - mpkCCD Fractions\Main Web Page\Web Pages_old\proteomic_fractions_linear_files/Yang_linear_img/19527234.jpg","show blot")</f>
        <v>show blot</v>
      </c>
      <c r="G4347" t="s">
        <v>4145</v>
      </c>
      <c r="I4347" s="6">
        <v>5.8089019340954531</v>
      </c>
      <c r="K4347" s="8"/>
    </row>
    <row r="4348" spans="1:11" ht="15" x14ac:dyDescent="0.25">
      <c r="A4348" s="3" t="str">
        <f>HYPERLINK("proteomic_fractions_linear_files/Yang_linear_img/313482787.jpg", "313482787")</f>
        <v>313482787</v>
      </c>
      <c r="C4348" s="3" t="str">
        <f>HYPERLINK("http://www.ncbi.nlm.nih.gov/protein/313482787","Mat2b")</f>
        <v>Mat2b</v>
      </c>
      <c r="E4348" t="str">
        <f>HYPERLINK("J:\Depot - mpkCCD Fractions\Main Web Page\Web Pages_old\proteomic_fractions_linear_files/Yang_linear_img/313482787.jpg","show blot")</f>
        <v>show blot</v>
      </c>
      <c r="G4348" t="s">
        <v>4146</v>
      </c>
      <c r="I4348" s="6">
        <v>5.8089019340954531</v>
      </c>
      <c r="K4348" s="8"/>
    </row>
    <row r="4349" spans="1:11" ht="15" x14ac:dyDescent="0.25">
      <c r="A4349" s="3" t="str">
        <f>HYPERLINK("proteomic_fractions_linear_files/Yang_linear_img/6754646.jpg", "6754646")</f>
        <v>6754646</v>
      </c>
      <c r="C4349" s="3" t="str">
        <f>HYPERLINK("http://www.ncbi.nlm.nih.gov/protein/6754646","Matk")</f>
        <v>Matk</v>
      </c>
      <c r="E4349" t="str">
        <f>HYPERLINK("J:\Depot - mpkCCD Fractions\Main Web Page\Web Pages_old\proteomic_fractions_linear_files/Yang_linear_img/6754646.jpg","show blot")</f>
        <v>show blot</v>
      </c>
      <c r="G4349" t="s">
        <v>4147</v>
      </c>
      <c r="I4349" s="6">
        <v>2.7984824093715726</v>
      </c>
      <c r="K4349" s="8"/>
    </row>
    <row r="4350" spans="1:11" ht="15" x14ac:dyDescent="0.25">
      <c r="A4350" s="3" t="str">
        <f>HYPERLINK("proteomic_fractions_linear_files/Yang_linear_img/25141233.jpg", "25141233")</f>
        <v>25141233</v>
      </c>
      <c r="C4350" s="3" t="str">
        <f>HYPERLINK("http://www.ncbi.nlm.nih.gov/protein/25141233","Matr3")</f>
        <v>Matr3</v>
      </c>
      <c r="E4350" t="str">
        <f>HYPERLINK("J:\Depot - mpkCCD Fractions\Main Web Page\Web Pages_old\proteomic_fractions_linear_files/Yang_linear_img/25141233.jpg","show blot")</f>
        <v>show blot</v>
      </c>
      <c r="G4350" t="s">
        <v>4148</v>
      </c>
      <c r="I4350" s="6">
        <v>5.4137373307404388</v>
      </c>
      <c r="K4350" s="8"/>
    </row>
    <row r="4351" spans="1:11" ht="15" x14ac:dyDescent="0.25">
      <c r="A4351" s="3" t="str">
        <f>HYPERLINK("proteomic_fractions_linear_files/Yang_linear_img/269308211.jpg", "269308211")</f>
        <v>269308211</v>
      </c>
      <c r="C4351" s="3" t="str">
        <f>HYPERLINK("http://www.ncbi.nlm.nih.gov/protein/269308211","Mau2")</f>
        <v>Mau2</v>
      </c>
      <c r="E4351" t="str">
        <f>HYPERLINK("J:\Depot - mpkCCD Fractions\Main Web Page\Web Pages_old\proteomic_fractions_linear_files/Yang_linear_img/269308211.jpg","show blot")</f>
        <v>show blot</v>
      </c>
      <c r="G4351" t="s">
        <v>4149</v>
      </c>
      <c r="I4351" s="6">
        <v>2.2307820118830874</v>
      </c>
      <c r="K4351" s="8"/>
    </row>
    <row r="4352" spans="1:11" ht="15" x14ac:dyDescent="0.25">
      <c r="A4352" s="3" t="str">
        <f>HYPERLINK("proteomic_fractions_linear_files/Yang_linear_img/269308215.jpg", "269308215")</f>
        <v>269308215</v>
      </c>
      <c r="C4352" s="3" t="str">
        <f>HYPERLINK("http://www.ncbi.nlm.nih.gov/protein/269308215","Mau2")</f>
        <v>Mau2</v>
      </c>
      <c r="E4352" t="str">
        <f>HYPERLINK("J:\Depot - mpkCCD Fractions\Main Web Page\Web Pages_old\proteomic_fractions_linear_files/Yang_linear_img/269308215.jpg","show blot")</f>
        <v>show blot</v>
      </c>
      <c r="G4352" t="s">
        <v>4150</v>
      </c>
      <c r="I4352" s="6">
        <v>2.2307820118830874</v>
      </c>
      <c r="K4352" s="8"/>
    </row>
    <row r="4353" spans="1:11" ht="15" x14ac:dyDescent="0.25">
      <c r="A4353" s="3" t="str">
        <f>HYPERLINK("proteomic_fractions_linear_files/Yang_linear_img/21450263.jpg", "21450263")</f>
        <v>21450263</v>
      </c>
      <c r="C4353" s="3" t="str">
        <f>HYPERLINK("http://www.ncbi.nlm.nih.gov/protein/21450263","Mavs")</f>
        <v>Mavs</v>
      </c>
      <c r="E4353" t="str">
        <f>HYPERLINK("J:\Depot - mpkCCD Fractions\Main Web Page\Web Pages_old\proteomic_fractions_linear_files/Yang_linear_img/21450263.jpg","show blot")</f>
        <v>show blot</v>
      </c>
      <c r="G4353" t="s">
        <v>4151</v>
      </c>
      <c r="I4353" s="6">
        <v>4.6649476154440821</v>
      </c>
      <c r="K4353" s="8"/>
    </row>
    <row r="4354" spans="1:11" ht="15" x14ac:dyDescent="0.25">
      <c r="A4354" s="3" t="str">
        <f>HYPERLINK("proteomic_fractions_linear_files/Yang_linear_img/329755284.jpg", "329755284")</f>
        <v>329755284</v>
      </c>
      <c r="C4354" s="3" t="str">
        <f>HYPERLINK("http://www.ncbi.nlm.nih.gov/protein/329755284","Mavs")</f>
        <v>Mavs</v>
      </c>
      <c r="E4354" t="str">
        <f>HYPERLINK("J:\Depot - mpkCCD Fractions\Main Web Page\Web Pages_old\proteomic_fractions_linear_files/Yang_linear_img/329755284.jpg","show blot")</f>
        <v>show blot</v>
      </c>
      <c r="G4354" t="s">
        <v>4152</v>
      </c>
      <c r="I4354" s="6">
        <v>4.6649476154440821</v>
      </c>
      <c r="K4354" s="8"/>
    </row>
    <row r="4355" spans="1:11" ht="15" x14ac:dyDescent="0.25">
      <c r="A4355" s="3" t="str">
        <f>HYPERLINK("proteomic_fractions_linear_files/Yang_linear_img/226051832.jpg", "226051832")</f>
        <v>226051832</v>
      </c>
      <c r="C4355" s="3" t="str">
        <f>HYPERLINK("http://www.ncbi.nlm.nih.gov/protein/226051832","Max")</f>
        <v>Max</v>
      </c>
      <c r="E4355" t="str">
        <f>HYPERLINK("J:\Depot - mpkCCD Fractions\Main Web Page\Web Pages_old\proteomic_fractions_linear_files/Yang_linear_img/226051832.jpg","show blot")</f>
        <v>show blot</v>
      </c>
      <c r="G4355" t="s">
        <v>4153</v>
      </c>
      <c r="I4355" s="6">
        <v>4.2550413742410997</v>
      </c>
      <c r="K4355" s="8"/>
    </row>
    <row r="4356" spans="1:11" ht="15" x14ac:dyDescent="0.25">
      <c r="A4356" s="3" t="str">
        <f>HYPERLINK("proteomic_fractions_linear_files/Yang_linear_img/226051848.jpg", "226051848")</f>
        <v>226051848</v>
      </c>
      <c r="C4356" s="3" t="str">
        <f>HYPERLINK("http://www.ncbi.nlm.nih.gov/protein/226051848","Max")</f>
        <v>Max</v>
      </c>
      <c r="E4356" t="str">
        <f>HYPERLINK("J:\Depot - mpkCCD Fractions\Main Web Page\Web Pages_old\proteomic_fractions_linear_files/Yang_linear_img/226051848.jpg","show blot")</f>
        <v>show blot</v>
      </c>
      <c r="G4356" t="s">
        <v>4154</v>
      </c>
      <c r="I4356" s="6">
        <v>4.2550413742410997</v>
      </c>
      <c r="K4356" s="8"/>
    </row>
    <row r="4357" spans="1:11" ht="15" x14ac:dyDescent="0.25">
      <c r="A4357" s="3" t="str">
        <f>HYPERLINK("proteomic_fractions_linear_files/Yang_linear_img/116812912.jpg", "116812912")</f>
        <v>116812912</v>
      </c>
      <c r="C4357" s="3" t="str">
        <f>HYPERLINK("http://www.ncbi.nlm.nih.gov/protein/116812912","Mb21d1")</f>
        <v>Mb21d1</v>
      </c>
      <c r="E4357" t="str">
        <f>HYPERLINK("J:\Depot - mpkCCD Fractions\Main Web Page\Web Pages_old\proteomic_fractions_linear_files/Yang_linear_img/116812912.jpg","show blot")</f>
        <v>show blot</v>
      </c>
      <c r="G4357" t="s">
        <v>4155</v>
      </c>
      <c r="I4357" s="6">
        <v>3.5527528604803145</v>
      </c>
      <c r="K4357" s="8"/>
    </row>
    <row r="4358" spans="1:11" ht="15" x14ac:dyDescent="0.25">
      <c r="A4358" s="3" t="str">
        <f>HYPERLINK("proteomic_fractions_linear_files/Yang_linear_img/7305261.jpg", "7305261")</f>
        <v>7305261</v>
      </c>
      <c r="C4358" s="3" t="str">
        <f>HYPERLINK("http://www.ncbi.nlm.nih.gov/protein/7305261","Mbd3")</f>
        <v>Mbd3</v>
      </c>
      <c r="E4358" t="str">
        <f>HYPERLINK("J:\Depot - mpkCCD Fractions\Main Web Page\Web Pages_old\proteomic_fractions_linear_files/Yang_linear_img/7305261.jpg","show blot")</f>
        <v>show blot</v>
      </c>
      <c r="G4358" t="s">
        <v>4156</v>
      </c>
      <c r="I4358" s="6">
        <v>4.3899219259046536</v>
      </c>
      <c r="K4358" s="8"/>
    </row>
    <row r="4359" spans="1:11" ht="15" x14ac:dyDescent="0.25">
      <c r="A4359" s="3" t="str">
        <f>HYPERLINK("proteomic_fractions_linear_files/Yang_linear_img/29244490.jpg", "29244490")</f>
        <v>29244490</v>
      </c>
      <c r="C4359" s="3" t="str">
        <f>HYPERLINK("http://www.ncbi.nlm.nih.gov/protein/29244490","Mblac1")</f>
        <v>Mblac1</v>
      </c>
      <c r="E4359" t="str">
        <f>HYPERLINK("J:\Depot - mpkCCD Fractions\Main Web Page\Web Pages_old\proteomic_fractions_linear_files/Yang_linear_img/29244490.jpg","show blot")</f>
        <v>show blot</v>
      </c>
      <c r="G4359" t="s">
        <v>4157</v>
      </c>
      <c r="I4359" s="6">
        <v>4.8446136023604405</v>
      </c>
      <c r="K4359" s="8"/>
    </row>
    <row r="4360" spans="1:11" ht="15" x14ac:dyDescent="0.25">
      <c r="A4360" s="3" t="str">
        <f>HYPERLINK("proteomic_fractions_linear_files/Yang_linear_img/358679352.jpg", "358679352")</f>
        <v>358679352</v>
      </c>
      <c r="C4360" s="3" t="str">
        <f>HYPERLINK("http://www.ncbi.nlm.nih.gov/protein/358679352","Mbnl1")</f>
        <v>Mbnl1</v>
      </c>
      <c r="E4360" t="str">
        <f>HYPERLINK("J:\Depot - mpkCCD Fractions\Main Web Page\Web Pages_old\proteomic_fractions_linear_files/Yang_linear_img/358679352.jpg","show blot")</f>
        <v>show blot</v>
      </c>
      <c r="G4360" t="s">
        <v>4158</v>
      </c>
      <c r="I4360" s="6">
        <v>3.4773911376859088</v>
      </c>
      <c r="K4360" s="8"/>
    </row>
    <row r="4361" spans="1:11" ht="15" x14ac:dyDescent="0.25">
      <c r="A4361" s="3" t="str">
        <f>HYPERLINK("proteomic_fractions_linear_files/Yang_linear_img/46411182.jpg", "46411182")</f>
        <v>46411182</v>
      </c>
      <c r="C4361" s="3" t="str">
        <f>HYPERLINK("http://www.ncbi.nlm.nih.gov/protein/46411182","Mbnl1")</f>
        <v>Mbnl1</v>
      </c>
      <c r="E4361" t="str">
        <f>HYPERLINK("J:\Depot - mpkCCD Fractions\Main Web Page\Web Pages_old\proteomic_fractions_linear_files/Yang_linear_img/46411182.jpg","show blot")</f>
        <v>show blot</v>
      </c>
      <c r="G4361" t="s">
        <v>4159</v>
      </c>
      <c r="I4361" s="6">
        <v>3.4773911376859088</v>
      </c>
      <c r="K4361" s="8"/>
    </row>
    <row r="4362" spans="1:11" ht="15" x14ac:dyDescent="0.25">
      <c r="A4362" s="3" t="str">
        <f>HYPERLINK("proteomic_fractions_linear_files/Yang_linear_img/30425032.jpg", "30425032")</f>
        <v>30425032</v>
      </c>
      <c r="C4362" s="3" t="str">
        <f>HYPERLINK("http://www.ncbi.nlm.nih.gov/protein/30425032","Mbnl2")</f>
        <v>Mbnl2</v>
      </c>
      <c r="E4362" t="str">
        <f>HYPERLINK("J:\Depot - mpkCCD Fractions\Main Web Page\Web Pages_old\proteomic_fractions_linear_files/Yang_linear_img/30425032.jpg","show blot")</f>
        <v>show blot</v>
      </c>
      <c r="G4362" t="s">
        <v>4160</v>
      </c>
      <c r="I4362" s="6">
        <v>3.6335827285658802</v>
      </c>
      <c r="K4362" s="8"/>
    </row>
    <row r="4363" spans="1:11" ht="15" x14ac:dyDescent="0.25">
      <c r="A4363" s="3" t="str">
        <f>HYPERLINK("proteomic_fractions_linear_files/Yang_linear_img/46411185.jpg", "46411185")</f>
        <v>46411185</v>
      </c>
      <c r="C4363" s="3" t="str">
        <f>HYPERLINK("http://www.ncbi.nlm.nih.gov/protein/46411185","Mbnl2")</f>
        <v>Mbnl2</v>
      </c>
      <c r="E4363" t="str">
        <f>HYPERLINK("J:\Depot - mpkCCD Fractions\Main Web Page\Web Pages_old\proteomic_fractions_linear_files/Yang_linear_img/46411185.jpg","show blot")</f>
        <v>show blot</v>
      </c>
      <c r="G4363" t="s">
        <v>4161</v>
      </c>
      <c r="I4363" s="6">
        <v>3.6335827285658802</v>
      </c>
      <c r="K4363" s="8"/>
    </row>
    <row r="4364" spans="1:11" ht="15" x14ac:dyDescent="0.25">
      <c r="A4364" s="3" t="str">
        <f>HYPERLINK("proteomic_fractions_linear_files/Yang_linear_img/19527398.jpg", "19527398")</f>
        <v>19527398</v>
      </c>
      <c r="C4364" s="3" t="str">
        <f>HYPERLINK("http://www.ncbi.nlm.nih.gov/protein/19527398","Mbnl3")</f>
        <v>Mbnl3</v>
      </c>
      <c r="E4364" t="str">
        <f>HYPERLINK("J:\Depot - mpkCCD Fractions\Main Web Page\Web Pages_old\proteomic_fractions_linear_files/Yang_linear_img/19527398.jpg","show blot")</f>
        <v>show blot</v>
      </c>
      <c r="G4364" t="s">
        <v>4162</v>
      </c>
      <c r="I4364" s="6">
        <v>3.138251476140522</v>
      </c>
      <c r="K4364" s="8"/>
    </row>
    <row r="4365" spans="1:11" ht="15" x14ac:dyDescent="0.25">
      <c r="A4365" s="3" t="str">
        <f>HYPERLINK("proteomic_fractions_linear_files/Yang_linear_img/23956314.jpg", "23956314")</f>
        <v>23956314</v>
      </c>
      <c r="C4365" s="3" t="str">
        <f>HYPERLINK("http://www.ncbi.nlm.nih.gov/protein/23956314","Mboat1")</f>
        <v>Mboat1</v>
      </c>
      <c r="E4365" t="str">
        <f>HYPERLINK("J:\Depot - mpkCCD Fractions\Main Web Page\Web Pages_old\proteomic_fractions_linear_files/Yang_linear_img/23956314.jpg","show blot")</f>
        <v>show blot</v>
      </c>
      <c r="G4365" t="s">
        <v>4163</v>
      </c>
      <c r="I4365" s="6">
        <v>1.4293484729236619</v>
      </c>
      <c r="K4365" s="8"/>
    </row>
    <row r="4366" spans="1:11" ht="15" x14ac:dyDescent="0.25">
      <c r="A4366" s="3" t="str">
        <f>HYPERLINK("proteomic_fractions_linear_files/Yang_linear_img/31542014.jpg", "31542014")</f>
        <v>31542014</v>
      </c>
      <c r="C4366" s="3" t="str">
        <f>HYPERLINK("http://www.ncbi.nlm.nih.gov/protein/31542014","Mboat7")</f>
        <v>Mboat7</v>
      </c>
      <c r="E4366" t="str">
        <f>HYPERLINK("J:\Depot - mpkCCD Fractions\Main Web Page\Web Pages_old\proteomic_fractions_linear_files/Yang_linear_img/31542014.jpg","show blot")</f>
        <v>show blot</v>
      </c>
      <c r="G4366" t="s">
        <v>4164</v>
      </c>
      <c r="I4366" s="6">
        <v>3.4866375645794485</v>
      </c>
      <c r="K4366" s="8"/>
    </row>
    <row r="4367" spans="1:11" ht="15" x14ac:dyDescent="0.25">
      <c r="A4367" s="3" t="str">
        <f>HYPERLINK("proteomic_fractions_linear_files/Yang_linear_img/71725343.jpg", "71725343")</f>
        <v>71725343</v>
      </c>
      <c r="C4367" s="3" t="str">
        <f>HYPERLINK("http://www.ncbi.nlm.nih.gov/protein/71725343","Mcat")</f>
        <v>Mcat</v>
      </c>
      <c r="E4367" t="str">
        <f>HYPERLINK("J:\Depot - mpkCCD Fractions\Main Web Page\Web Pages_old\proteomic_fractions_linear_files/Yang_linear_img/71725343.jpg","show blot")</f>
        <v>show blot</v>
      </c>
      <c r="G4367" t="s">
        <v>4165</v>
      </c>
      <c r="I4367" s="6">
        <v>2.0096072935961558</v>
      </c>
      <c r="K4367" s="8"/>
    </row>
    <row r="4368" spans="1:11" ht="15" x14ac:dyDescent="0.25">
      <c r="A4368" s="3" t="str">
        <f>HYPERLINK("proteomic_fractions_linear_files/Yang_linear_img/186700620.jpg", "186700620")</f>
        <v>186700620</v>
      </c>
      <c r="C4368" s="3" t="str">
        <f>HYPERLINK("http://www.ncbi.nlm.nih.gov/protein/186700620","Mccc1")</f>
        <v>Mccc1</v>
      </c>
      <c r="E4368" t="str">
        <f>HYPERLINK("J:\Depot - mpkCCD Fractions\Main Web Page\Web Pages_old\proteomic_fractions_linear_files/Yang_linear_img/186700620.jpg","show blot")</f>
        <v>show blot</v>
      </c>
      <c r="G4368" t="s">
        <v>4166</v>
      </c>
      <c r="I4368" s="6">
        <v>4.6719197602419849</v>
      </c>
      <c r="K4368" s="8"/>
    </row>
    <row r="4369" spans="1:11" ht="15" x14ac:dyDescent="0.25">
      <c r="A4369" s="3" t="str">
        <f>HYPERLINK("proteomic_fractions_linear_files/Yang_linear_img/73622267.jpg", "73622267")</f>
        <v>73622267</v>
      </c>
      <c r="C4369" s="3" t="str">
        <f>HYPERLINK("http://www.ncbi.nlm.nih.gov/protein/73622267","Mccc2")</f>
        <v>Mccc2</v>
      </c>
      <c r="E4369" t="str">
        <f>HYPERLINK("J:\Depot - mpkCCD Fractions\Main Web Page\Web Pages_old\proteomic_fractions_linear_files/Yang_linear_img/73622267.jpg","show blot")</f>
        <v>show blot</v>
      </c>
      <c r="G4369" t="s">
        <v>4167</v>
      </c>
      <c r="I4369" s="6">
        <v>4.506723105411659</v>
      </c>
      <c r="K4369" s="8"/>
    </row>
    <row r="4370" spans="1:11" ht="15" x14ac:dyDescent="0.25">
      <c r="A4370" s="3" t="str">
        <f>HYPERLINK("proteomic_fractions_linear_files/Yang_linear_img/165972319.jpg", "165972319")</f>
        <v>165972319</v>
      </c>
      <c r="C4370" s="3" t="str">
        <f>HYPERLINK("http://www.ncbi.nlm.nih.gov/protein/165972319","Mcf2")</f>
        <v>Mcf2</v>
      </c>
      <c r="E4370" t="str">
        <f>HYPERLINK("J:\Depot - mpkCCD Fractions\Main Web Page\Web Pages_old\proteomic_fractions_linear_files/Yang_linear_img/165972319.jpg","show blot")</f>
        <v>show blot</v>
      </c>
      <c r="G4370" t="s">
        <v>4168</v>
      </c>
      <c r="I4370" s="6">
        <v>5.4263598381832017</v>
      </c>
      <c r="K4370" s="8"/>
    </row>
    <row r="4371" spans="1:11" ht="15" x14ac:dyDescent="0.25">
      <c r="A4371" s="3" t="str">
        <f>HYPERLINK("proteomic_fractions_linear_files/Yang_linear_img/21314834.jpg", "21314834")</f>
        <v>21314834</v>
      </c>
      <c r="C4371" s="3" t="str">
        <f>HYPERLINK("http://www.ncbi.nlm.nih.gov/protein/21314834","Mcfd2")</f>
        <v>Mcfd2</v>
      </c>
      <c r="E4371" t="str">
        <f>HYPERLINK("J:\Depot - mpkCCD Fractions\Main Web Page\Web Pages_old\proteomic_fractions_linear_files/Yang_linear_img/21314834.jpg","show blot")</f>
        <v>show blot</v>
      </c>
      <c r="G4371" t="s">
        <v>4169</v>
      </c>
      <c r="I4371" s="6">
        <v>4.1679773568217788</v>
      </c>
      <c r="K4371" s="8"/>
    </row>
    <row r="4372" spans="1:11" ht="15" x14ac:dyDescent="0.25">
      <c r="A4372" s="3" t="str">
        <f>HYPERLINK("proteomic_fractions_linear_files/Yang_linear_img/309262615.jpg", "309262615")</f>
        <v>309262615</v>
      </c>
      <c r="C4372" s="3" t="str">
        <f>HYPERLINK("http://www.ncbi.nlm.nih.gov/protein/309262615","Mcg1038069")</f>
        <v>Mcg1038069</v>
      </c>
      <c r="E4372" t="str">
        <f>HYPERLINK("J:\Depot - mpkCCD Fractions\Main Web Page\Web Pages_old\proteomic_fractions_linear_files/Yang_linear_img/309262615.jpg","show blot")</f>
        <v>show blot</v>
      </c>
      <c r="G4372" t="s">
        <v>4170</v>
      </c>
      <c r="I4372" s="6">
        <v>6.3895434211213562</v>
      </c>
      <c r="K4372" s="8"/>
    </row>
    <row r="4373" spans="1:11" ht="15" x14ac:dyDescent="0.25">
      <c r="A4373" s="3" t="str">
        <f>HYPERLINK("proteomic_fractions_linear_files/Yang_linear_img/6678824.jpg", "6678824")</f>
        <v>6678824</v>
      </c>
      <c r="C4373" s="3" t="str">
        <f>HYPERLINK("http://www.ncbi.nlm.nih.gov/protein/6678824","Mcl1")</f>
        <v>Mcl1</v>
      </c>
      <c r="E4373" t="str">
        <f>HYPERLINK("J:\Depot - mpkCCD Fractions\Main Web Page\Web Pages_old\proteomic_fractions_linear_files/Yang_linear_img/6678824.jpg","show blot")</f>
        <v>show blot</v>
      </c>
      <c r="G4373" t="s">
        <v>4171</v>
      </c>
      <c r="I4373" s="6">
        <v>3.9667354912729689</v>
      </c>
      <c r="K4373" s="8"/>
    </row>
    <row r="4374" spans="1:11" ht="15" x14ac:dyDescent="0.25">
      <c r="A4374" s="3" t="str">
        <f>HYPERLINK("proteomic_fractions_linear_files/Yang_linear_img/172088119.jpg", "172088119")</f>
        <v>172088119</v>
      </c>
      <c r="C4374" s="3" t="str">
        <f>HYPERLINK("http://www.ncbi.nlm.nih.gov/protein/172088119","Mcm2")</f>
        <v>Mcm2</v>
      </c>
      <c r="E4374" t="str">
        <f>HYPERLINK("J:\Depot - mpkCCD Fractions\Main Web Page\Web Pages_old\proteomic_fractions_linear_files/Yang_linear_img/172088119.jpg","show blot")</f>
        <v>show blot</v>
      </c>
      <c r="G4374" t="s">
        <v>4172</v>
      </c>
      <c r="I4374" s="6">
        <v>6.4066654504009852</v>
      </c>
      <c r="K4374" s="8"/>
    </row>
    <row r="4375" spans="1:11" ht="15" x14ac:dyDescent="0.25">
      <c r="A4375" s="3" t="str">
        <f>HYPERLINK("proteomic_fractions_linear_files/Yang_linear_img/33859484.jpg", "33859484")</f>
        <v>33859484</v>
      </c>
      <c r="C4375" s="3" t="str">
        <f>HYPERLINK("http://www.ncbi.nlm.nih.gov/protein/33859484","Mcm3")</f>
        <v>Mcm3</v>
      </c>
      <c r="E4375" t="str">
        <f>HYPERLINK("J:\Depot - mpkCCD Fractions\Main Web Page\Web Pages_old\proteomic_fractions_linear_files/Yang_linear_img/33859484.jpg","show blot")</f>
        <v>show blot</v>
      </c>
      <c r="G4375" t="s">
        <v>4173</v>
      </c>
      <c r="I4375" s="6">
        <v>6.4283957812236672</v>
      </c>
      <c r="K4375" s="8"/>
    </row>
    <row r="4376" spans="1:11" ht="15" x14ac:dyDescent="0.25">
      <c r="A4376" s="3" t="str">
        <f>HYPERLINK("proteomic_fractions_linear_files/Yang_linear_img/255918149.jpg", "255918149")</f>
        <v>255918149</v>
      </c>
      <c r="C4376" s="3" t="str">
        <f>HYPERLINK("http://www.ncbi.nlm.nih.gov/protein/255918149","Mcm4")</f>
        <v>Mcm4</v>
      </c>
      <c r="E4376" t="str">
        <f>HYPERLINK("J:\Depot - mpkCCD Fractions\Main Web Page\Web Pages_old\proteomic_fractions_linear_files/Yang_linear_img/255918149.jpg","show blot")</f>
        <v>show blot</v>
      </c>
      <c r="G4376" t="s">
        <v>4174</v>
      </c>
      <c r="I4376" s="6">
        <v>6.3071600768357916</v>
      </c>
      <c r="K4376" s="8"/>
    </row>
    <row r="4377" spans="1:11" ht="15" x14ac:dyDescent="0.25">
      <c r="A4377" s="3" t="str">
        <f>HYPERLINK("proteomic_fractions_linear_files/Yang_linear_img/112293273.jpg", "112293273")</f>
        <v>112293273</v>
      </c>
      <c r="C4377" s="3" t="str">
        <f>HYPERLINK("http://www.ncbi.nlm.nih.gov/protein/112293273","Mcm5")</f>
        <v>Mcm5</v>
      </c>
      <c r="E4377" t="str">
        <f>HYPERLINK("J:\Depot - mpkCCD Fractions\Main Web Page\Web Pages_old\proteomic_fractions_linear_files/Yang_linear_img/112293273.jpg","show blot")</f>
        <v>show blot</v>
      </c>
      <c r="G4377" t="s">
        <v>4175</v>
      </c>
      <c r="I4377" s="6">
        <v>6.4924001301355743</v>
      </c>
      <c r="K4377" s="8"/>
    </row>
    <row r="4378" spans="1:11" ht="15" x14ac:dyDescent="0.25">
      <c r="A4378" s="3" t="str">
        <f>HYPERLINK("proteomic_fractions_linear_files/Yang_linear_img/6678832.jpg", "6678832")</f>
        <v>6678832</v>
      </c>
      <c r="C4378" s="3" t="str">
        <f>HYPERLINK("http://www.ncbi.nlm.nih.gov/protein/6678832","Mcm6")</f>
        <v>Mcm6</v>
      </c>
      <c r="E4378" t="str">
        <f>HYPERLINK("J:\Depot - mpkCCD Fractions\Main Web Page\Web Pages_old\proteomic_fractions_linear_files/Yang_linear_img/6678832.jpg","show blot")</f>
        <v>show blot</v>
      </c>
      <c r="G4378" t="s">
        <v>4176</v>
      </c>
      <c r="I4378" s="6">
        <v>6.4872871837446553</v>
      </c>
      <c r="K4378" s="8"/>
    </row>
    <row r="4379" spans="1:11" ht="15" x14ac:dyDescent="0.25">
      <c r="A4379" s="3" t="str">
        <f>HYPERLINK("proteomic_fractions_linear_files/Yang_linear_img/10242373.jpg", "10242373")</f>
        <v>10242373</v>
      </c>
      <c r="C4379" s="3" t="str">
        <f>HYPERLINK("http://www.ncbi.nlm.nih.gov/protein/10242373","Mcm7")</f>
        <v>Mcm7</v>
      </c>
      <c r="E4379" t="str">
        <f>HYPERLINK("J:\Depot - mpkCCD Fractions\Main Web Page\Web Pages_old\proteomic_fractions_linear_files/Yang_linear_img/10242373.jpg","show blot")</f>
        <v>show blot</v>
      </c>
      <c r="G4379" t="s">
        <v>4177</v>
      </c>
      <c r="I4379" s="6">
        <v>6.4946593552883423</v>
      </c>
      <c r="K4379" s="8"/>
    </row>
    <row r="4380" spans="1:11" ht="15" x14ac:dyDescent="0.25">
      <c r="A4380" s="3" t="str">
        <f>HYPERLINK("proteomic_fractions_linear_files/Yang_linear_img/22122389.jpg", "22122389")</f>
        <v>22122389</v>
      </c>
      <c r="C4380" s="3" t="str">
        <f>HYPERLINK("http://www.ncbi.nlm.nih.gov/protein/22122389","Mcmbp")</f>
        <v>Mcmbp</v>
      </c>
      <c r="E4380" t="str">
        <f>HYPERLINK("J:\Depot - mpkCCD Fractions\Main Web Page\Web Pages_old\proteomic_fractions_linear_files/Yang_linear_img/22122389.jpg","show blot")</f>
        <v>show blot</v>
      </c>
      <c r="G4380" t="s">
        <v>4178</v>
      </c>
      <c r="I4380" s="6">
        <v>4.9838522141659238</v>
      </c>
      <c r="K4380" s="8"/>
    </row>
    <row r="4381" spans="1:11" ht="15" x14ac:dyDescent="0.25">
      <c r="A4381" s="3" t="str">
        <f>HYPERLINK("proteomic_fractions_linear_files/Yang_linear_img/21389327.jpg", "21389327")</f>
        <v>21389327</v>
      </c>
      <c r="C4381" s="3" t="str">
        <f>HYPERLINK("http://www.ncbi.nlm.nih.gov/protein/21389327","Mcoln2")</f>
        <v>Mcoln2</v>
      </c>
      <c r="E4381" t="str">
        <f>HYPERLINK("J:\Depot - mpkCCD Fractions\Main Web Page\Web Pages_old\proteomic_fractions_linear_files/Yang_linear_img/21389327.jpg","show blot")</f>
        <v>show blot</v>
      </c>
      <c r="G4381" t="s">
        <v>4179</v>
      </c>
      <c r="I4381" s="6">
        <v>5.3576473615205495</v>
      </c>
      <c r="K4381" s="8"/>
    </row>
    <row r="4382" spans="1:11" ht="15" x14ac:dyDescent="0.25">
      <c r="A4382" s="3" t="str">
        <f>HYPERLINK("proteomic_fractions_linear_files/Yang_linear_img/54292128.jpg", "54292128")</f>
        <v>54292128</v>
      </c>
      <c r="C4382" s="3" t="str">
        <f>HYPERLINK("http://www.ncbi.nlm.nih.gov/protein/54292128","Mcoln2")</f>
        <v>Mcoln2</v>
      </c>
      <c r="E4382" t="str">
        <f>HYPERLINK("J:\Depot - mpkCCD Fractions\Main Web Page\Web Pages_old\proteomic_fractions_linear_files/Yang_linear_img/54292128.jpg","show blot")</f>
        <v>show blot</v>
      </c>
      <c r="G4382" t="s">
        <v>4180</v>
      </c>
      <c r="I4382" s="6">
        <v>5.3576473615205495</v>
      </c>
      <c r="K4382" s="8"/>
    </row>
    <row r="4383" spans="1:11" ht="15" x14ac:dyDescent="0.25">
      <c r="A4383" s="3" t="str">
        <f>HYPERLINK("proteomic_fractions_linear_files/Yang_linear_img/21312175.jpg", "21312175")</f>
        <v>21312175</v>
      </c>
      <c r="C4383" s="3" t="str">
        <f>HYPERLINK("http://www.ncbi.nlm.nih.gov/protein/21312175","Mcts1")</f>
        <v>Mcts1</v>
      </c>
      <c r="E4383" t="str">
        <f>HYPERLINK("J:\Depot - mpkCCD Fractions\Main Web Page\Web Pages_old\proteomic_fractions_linear_files/Yang_linear_img/21312175.jpg","show blot")</f>
        <v>show blot</v>
      </c>
      <c r="G4383" t="s">
        <v>4181</v>
      </c>
      <c r="I4383" s="6">
        <v>5.0186164089819885</v>
      </c>
      <c r="K4383" s="8"/>
    </row>
    <row r="4384" spans="1:11" ht="15" x14ac:dyDescent="0.25">
      <c r="A4384" s="3" t="str">
        <f>HYPERLINK("proteomic_fractions_linear_files/Yang_linear_img/13384966.jpg", "13384966")</f>
        <v>13384966</v>
      </c>
      <c r="C4384" s="3" t="str">
        <f>HYPERLINK("http://www.ncbi.nlm.nih.gov/protein/13384966","Mcts2")</f>
        <v>Mcts2</v>
      </c>
      <c r="E4384" t="str">
        <f>HYPERLINK("J:\Depot - mpkCCD Fractions\Main Web Page\Web Pages_old\proteomic_fractions_linear_files/Yang_linear_img/13384966.jpg","show blot")</f>
        <v>show blot</v>
      </c>
      <c r="G4384" t="s">
        <v>4182</v>
      </c>
      <c r="I4384" s="6">
        <v>4.9433103594410079</v>
      </c>
      <c r="K4384" s="8"/>
    </row>
    <row r="4385" spans="1:11" ht="15" x14ac:dyDescent="0.25">
      <c r="A4385" s="3" t="str">
        <f>HYPERLINK("proteomic_fractions_linear_files/Yang_linear_img/168823441.jpg", "168823441")</f>
        <v>168823441</v>
      </c>
      <c r="C4385" s="3" t="str">
        <f>HYPERLINK("http://www.ncbi.nlm.nih.gov/protein/168823441","Mcu")</f>
        <v>Mcu</v>
      </c>
      <c r="E4385" t="str">
        <f>HYPERLINK("J:\Depot - mpkCCD Fractions\Main Web Page\Web Pages_old\proteomic_fractions_linear_files/Yang_linear_img/168823441.jpg","show blot")</f>
        <v>show blot</v>
      </c>
      <c r="G4385" t="s">
        <v>4183</v>
      </c>
      <c r="I4385" s="6">
        <v>5.3991614012814937</v>
      </c>
      <c r="K4385" s="8"/>
    </row>
    <row r="4386" spans="1:11" ht="15" x14ac:dyDescent="0.25">
      <c r="A4386" s="3" t="str">
        <f>HYPERLINK("proteomic_fractions_linear_files/Yang_linear_img/124486696.jpg", "124486696")</f>
        <v>124486696</v>
      </c>
      <c r="C4386" s="3" t="str">
        <f>HYPERLINK("http://www.ncbi.nlm.nih.gov/protein/124486696","Mcur1")</f>
        <v>Mcur1</v>
      </c>
      <c r="E4386" t="str">
        <f>HYPERLINK("J:\Depot - mpkCCD Fractions\Main Web Page\Web Pages_old\proteomic_fractions_linear_files/Yang_linear_img/124486696.jpg","show blot")</f>
        <v>show blot</v>
      </c>
      <c r="G4386" t="s">
        <v>4184</v>
      </c>
      <c r="I4386" s="6">
        <v>2.8454646768754999</v>
      </c>
      <c r="K4386" s="8"/>
    </row>
    <row r="4387" spans="1:11" ht="15" x14ac:dyDescent="0.25">
      <c r="A4387" s="3" t="str">
        <f>HYPERLINK("proteomic_fractions_linear_files/Yang_linear_img/132626693.jpg", "132626693")</f>
        <v>132626693</v>
      </c>
      <c r="C4387" s="3" t="str">
        <f>HYPERLINK("http://www.ncbi.nlm.nih.gov/protein/132626693","Mdc1")</f>
        <v>Mdc1</v>
      </c>
      <c r="E4387" t="str">
        <f>HYPERLINK("J:\Depot - mpkCCD Fractions\Main Web Page\Web Pages_old\proteomic_fractions_linear_files/Yang_linear_img/132626693.jpg","show blot")</f>
        <v>show blot</v>
      </c>
      <c r="G4387" t="s">
        <v>4185</v>
      </c>
      <c r="I4387" s="6">
        <v>2.7558073040420501</v>
      </c>
      <c r="K4387" s="8"/>
    </row>
    <row r="4388" spans="1:11" ht="15" x14ac:dyDescent="0.25">
      <c r="A4388" s="3" t="str">
        <f>HYPERLINK("proteomic_fractions_linear_files/Yang_linear_img/124487209.jpg", "124487209")</f>
        <v>124487209</v>
      </c>
      <c r="C4388" s="3" t="str">
        <f>HYPERLINK("http://www.ncbi.nlm.nih.gov/protein/124487209","Mdga1")</f>
        <v>Mdga1</v>
      </c>
      <c r="E4388" t="str">
        <f>HYPERLINK("J:\Depot - mpkCCD Fractions\Main Web Page\Web Pages_old\proteomic_fractions_linear_files/Yang_linear_img/124487209.jpg","show blot")</f>
        <v>show blot</v>
      </c>
      <c r="G4388" t="s">
        <v>4186</v>
      </c>
      <c r="I4388" s="6">
        <v>3.7804084282104182</v>
      </c>
      <c r="K4388" s="8"/>
    </row>
    <row r="4389" spans="1:11" ht="15" x14ac:dyDescent="0.25">
      <c r="A4389" s="3" t="str">
        <f>HYPERLINK("proteomic_fractions_linear_files/Yang_linear_img/254540027.jpg", "254540027")</f>
        <v>254540027</v>
      </c>
      <c r="C4389" s="3" t="str">
        <f>HYPERLINK("http://www.ncbi.nlm.nih.gov/protein/254540027","Mdh1")</f>
        <v>Mdh1</v>
      </c>
      <c r="E4389" t="str">
        <f>HYPERLINK("J:\Depot - mpkCCD Fractions\Main Web Page\Web Pages_old\proteomic_fractions_linear_files/Yang_linear_img/254540027.jpg","show blot")</f>
        <v>show blot</v>
      </c>
      <c r="G4389" t="s">
        <v>4187</v>
      </c>
      <c r="I4389" s="6">
        <v>6.6039051915092335</v>
      </c>
      <c r="K4389" s="8"/>
    </row>
    <row r="4390" spans="1:11" ht="15" x14ac:dyDescent="0.25">
      <c r="A4390" s="3" t="str">
        <f>HYPERLINK("proteomic_fractions_linear_files/Yang_linear_img/31982186.jpg", "31982186")</f>
        <v>31982186</v>
      </c>
      <c r="C4390" s="3" t="str">
        <f>HYPERLINK("http://www.ncbi.nlm.nih.gov/protein/31982186","Mdh2")</f>
        <v>Mdh2</v>
      </c>
      <c r="E4390" t="str">
        <f>HYPERLINK("J:\Depot - mpkCCD Fractions\Main Web Page\Web Pages_old\proteomic_fractions_linear_files/Yang_linear_img/31982186.jpg","show blot")</f>
        <v>show blot</v>
      </c>
      <c r="G4390" t="s">
        <v>4188</v>
      </c>
      <c r="I4390" s="6">
        <v>7.1225056726699094</v>
      </c>
      <c r="K4390" s="8"/>
    </row>
    <row r="4391" spans="1:11" ht="15" x14ac:dyDescent="0.25">
      <c r="A4391" s="3" t="str">
        <f>HYPERLINK("proteomic_fractions_linear_files/Yang_linear_img/31543245.jpg", "31543245")</f>
        <v>31543245</v>
      </c>
      <c r="C4391" s="3" t="str">
        <f>HYPERLINK("http://www.ncbi.nlm.nih.gov/protein/31543245","Mdm4")</f>
        <v>Mdm4</v>
      </c>
      <c r="E4391" t="str">
        <f>HYPERLINK("J:\Depot - mpkCCD Fractions\Main Web Page\Web Pages_old\proteomic_fractions_linear_files/Yang_linear_img/31543245.jpg","show blot")</f>
        <v>show blot</v>
      </c>
      <c r="G4391" t="s">
        <v>4189</v>
      </c>
      <c r="I4391" s="6">
        <v>5.1018679644383411</v>
      </c>
      <c r="K4391" s="8"/>
    </row>
    <row r="4392" spans="1:11" ht="15" x14ac:dyDescent="0.25">
      <c r="A4392" s="3" t="str">
        <f>HYPERLINK("proteomic_fractions_linear_files/Yang_linear_img/124487133.jpg", "124487133")</f>
        <v>124487133</v>
      </c>
      <c r="C4392" s="3" t="str">
        <f>HYPERLINK("http://www.ncbi.nlm.nih.gov/protein/124487133","Mdn1")</f>
        <v>Mdn1</v>
      </c>
      <c r="E4392" t="str">
        <f>HYPERLINK("J:\Depot - mpkCCD Fractions\Main Web Page\Web Pages_old\proteomic_fractions_linear_files/Yang_linear_img/124487133.jpg","show blot")</f>
        <v>show blot</v>
      </c>
      <c r="G4392" t="s">
        <v>4190</v>
      </c>
      <c r="I4392" s="6">
        <v>2.7414535850665711</v>
      </c>
      <c r="K4392" s="8"/>
    </row>
    <row r="4393" spans="1:11" ht="15" x14ac:dyDescent="0.25">
      <c r="A4393" s="3" t="str">
        <f>HYPERLINK("proteomic_fractions_linear_files/Yang_linear_img/12963663.jpg", "12963663")</f>
        <v>12963663</v>
      </c>
      <c r="C4393" s="3" t="str">
        <f>HYPERLINK("http://www.ncbi.nlm.nih.gov/protein/12963663","Mdp1")</f>
        <v>Mdp1</v>
      </c>
      <c r="E4393" t="str">
        <f>HYPERLINK("J:\Depot - mpkCCD Fractions\Main Web Page\Web Pages_old\proteomic_fractions_linear_files/Yang_linear_img/12963663.jpg","show blot")</f>
        <v>show blot</v>
      </c>
      <c r="G4393" t="s">
        <v>4191</v>
      </c>
      <c r="I4393" s="6">
        <v>5.5814089334922787</v>
      </c>
      <c r="K4393" s="8"/>
    </row>
    <row r="4394" spans="1:11" ht="15" x14ac:dyDescent="0.25">
      <c r="A4394" s="3" t="str">
        <f>HYPERLINK("proteomic_fractions_linear_files/Yang_linear_img/162139827.jpg", "162139827")</f>
        <v>162139827</v>
      </c>
      <c r="C4394" s="3" t="str">
        <f>HYPERLINK("http://www.ncbi.nlm.nih.gov/protein/162139827","Me1")</f>
        <v>Me1</v>
      </c>
      <c r="E4394" t="str">
        <f>HYPERLINK("J:\Depot - mpkCCD Fractions\Main Web Page\Web Pages_old\proteomic_fractions_linear_files/Yang_linear_img/162139827.jpg","show blot")</f>
        <v>show blot</v>
      </c>
      <c r="G4394" t="s">
        <v>4192</v>
      </c>
      <c r="I4394" s="6">
        <v>5.5465429351206668</v>
      </c>
      <c r="K4394" s="8"/>
    </row>
    <row r="4395" spans="1:11" ht="15" x14ac:dyDescent="0.25">
      <c r="A4395" s="3" t="str">
        <f>HYPERLINK("proteomic_fractions_linear_files/Yang_linear_img/312147392.jpg", "312147392")</f>
        <v>312147392</v>
      </c>
      <c r="C4395" s="3" t="str">
        <f>HYPERLINK("http://www.ncbi.nlm.nih.gov/protein/312147392","Me1")</f>
        <v>Me1</v>
      </c>
      <c r="E4395" t="str">
        <f>HYPERLINK("J:\Depot - mpkCCD Fractions\Main Web Page\Web Pages_old\proteomic_fractions_linear_files/Yang_linear_img/312147392.jpg","show blot")</f>
        <v>show blot</v>
      </c>
      <c r="G4395" t="s">
        <v>4193</v>
      </c>
      <c r="I4395" s="6">
        <v>5.5465429351206668</v>
      </c>
      <c r="K4395" s="8"/>
    </row>
    <row r="4396" spans="1:11" ht="15" x14ac:dyDescent="0.25">
      <c r="A4396" s="3" t="str">
        <f>HYPERLINK("proteomic_fractions_linear_files/Yang_linear_img/21703972.jpg", "21703972")</f>
        <v>21703972</v>
      </c>
      <c r="C4396" s="3" t="str">
        <f>HYPERLINK("http://www.ncbi.nlm.nih.gov/protein/21703972","Me2")</f>
        <v>Me2</v>
      </c>
      <c r="E4396" t="str">
        <f>HYPERLINK("J:\Depot - mpkCCD Fractions\Main Web Page\Web Pages_old\proteomic_fractions_linear_files/Yang_linear_img/21703972.jpg","show blot")</f>
        <v>show blot</v>
      </c>
      <c r="G4396" t="s">
        <v>4194</v>
      </c>
      <c r="I4396" s="6">
        <v>4.6329834220702724</v>
      </c>
      <c r="K4396" s="8"/>
    </row>
    <row r="4397" spans="1:11" ht="15" x14ac:dyDescent="0.25">
      <c r="A4397" s="3" t="str">
        <f>HYPERLINK("proteomic_fractions_linear_files/Yang_linear_img/227116358.jpg", "227116358")</f>
        <v>227116358</v>
      </c>
      <c r="C4397" s="3" t="str">
        <f>HYPERLINK("http://www.ncbi.nlm.nih.gov/protein/227116358","Mecr")</f>
        <v>Mecr</v>
      </c>
      <c r="E4397" t="str">
        <f>HYPERLINK("J:\Depot - mpkCCD Fractions\Main Web Page\Web Pages_old\proteomic_fractions_linear_files/Yang_linear_img/227116358.jpg","show blot")</f>
        <v>show blot</v>
      </c>
      <c r="G4397" t="s">
        <v>4195</v>
      </c>
      <c r="I4397" s="6">
        <v>4.1091498222914886</v>
      </c>
      <c r="K4397" s="8"/>
    </row>
    <row r="4398" spans="1:11" ht="15" x14ac:dyDescent="0.25">
      <c r="A4398" s="3" t="str">
        <f>HYPERLINK("proteomic_fractions_linear_files/Yang_linear_img/121582398.jpg", "121582398")</f>
        <v>121582398</v>
      </c>
      <c r="C4398" s="3" t="str">
        <f>HYPERLINK("http://www.ncbi.nlm.nih.gov/protein/121582398","Med1")</f>
        <v>Med1</v>
      </c>
      <c r="E4398" t="str">
        <f>HYPERLINK("J:\Depot - mpkCCD Fractions\Main Web Page\Web Pages_old\proteomic_fractions_linear_files/Yang_linear_img/121582398.jpg","show blot")</f>
        <v>show blot</v>
      </c>
      <c r="G4398" t="s">
        <v>4196</v>
      </c>
      <c r="I4398" s="6">
        <v>2.6844627362755711</v>
      </c>
      <c r="K4398" s="8"/>
    </row>
    <row r="4399" spans="1:11" ht="15" x14ac:dyDescent="0.25">
      <c r="A4399" s="3" t="str">
        <f>HYPERLINK("proteomic_fractions_linear_files/Yang_linear_img/121582430.jpg", "121582430")</f>
        <v>121582430</v>
      </c>
      <c r="C4399" s="3" t="str">
        <f>HYPERLINK("http://www.ncbi.nlm.nih.gov/protein/121582430","Med1")</f>
        <v>Med1</v>
      </c>
      <c r="E4399" t="str">
        <f>HYPERLINK("J:\Depot - mpkCCD Fractions\Main Web Page\Web Pages_old\proteomic_fractions_linear_files/Yang_linear_img/121582430.jpg","show blot")</f>
        <v>show blot</v>
      </c>
      <c r="G4399" t="s">
        <v>4197</v>
      </c>
      <c r="I4399" s="6">
        <v>2.6844627362755711</v>
      </c>
      <c r="K4399" s="8"/>
    </row>
    <row r="4400" spans="1:11" ht="15" x14ac:dyDescent="0.25">
      <c r="A4400" s="3" t="str">
        <f>HYPERLINK("proteomic_fractions_linear_files/Yang_linear_img/121583906.jpg", "121583906")</f>
        <v>121583906</v>
      </c>
      <c r="C4400" s="3" t="str">
        <f>HYPERLINK("http://www.ncbi.nlm.nih.gov/protein/121583906","Med1")</f>
        <v>Med1</v>
      </c>
      <c r="E4400" t="str">
        <f>HYPERLINK("J:\Depot - mpkCCD Fractions\Main Web Page\Web Pages_old\proteomic_fractions_linear_files/Yang_linear_img/121583906.jpg","show blot")</f>
        <v>show blot</v>
      </c>
      <c r="G4400" t="s">
        <v>4198</v>
      </c>
      <c r="I4400" s="6">
        <v>2.6844627362755711</v>
      </c>
      <c r="K4400" s="8"/>
    </row>
    <row r="4401" spans="1:11" ht="15" x14ac:dyDescent="0.25">
      <c r="A4401" s="3" t="str">
        <f>HYPERLINK("proteomic_fractions_linear_files/Yang_linear_img/125628662.jpg", "125628662")</f>
        <v>125628662</v>
      </c>
      <c r="C4401" s="3" t="str">
        <f>HYPERLINK("http://www.ncbi.nlm.nih.gov/protein/125628662","Med12")</f>
        <v>Med12</v>
      </c>
      <c r="E4401" t="str">
        <f>HYPERLINK("J:\Depot - mpkCCD Fractions\Main Web Page\Web Pages_old\proteomic_fractions_linear_files/Yang_linear_img/125628662.jpg","show blot")</f>
        <v>show blot</v>
      </c>
      <c r="G4401" t="s">
        <v>4199</v>
      </c>
      <c r="I4401" s="6">
        <v>2.3233544248946298</v>
      </c>
      <c r="K4401" s="8"/>
    </row>
    <row r="4402" spans="1:11" ht="15" x14ac:dyDescent="0.25">
      <c r="A4402" s="3" t="str">
        <f>HYPERLINK("proteomic_fractions_linear_files/Yang_linear_img/242397421.jpg", "242397421")</f>
        <v>242397421</v>
      </c>
      <c r="C4402" s="3" t="str">
        <f>HYPERLINK("http://www.ncbi.nlm.nih.gov/protein/242397421","Med12l")</f>
        <v>Med12l</v>
      </c>
      <c r="E4402" t="str">
        <f>HYPERLINK("J:\Depot - mpkCCD Fractions\Main Web Page\Web Pages_old\proteomic_fractions_linear_files/Yang_linear_img/242397421.jpg","show blot")</f>
        <v>show blot</v>
      </c>
      <c r="G4402" t="s">
        <v>4200</v>
      </c>
      <c r="I4402" s="6">
        <v>1.3464491743584199</v>
      </c>
      <c r="K4402" s="8"/>
    </row>
    <row r="4403" spans="1:11" ht="15" x14ac:dyDescent="0.25">
      <c r="A4403" s="3" t="str">
        <f>HYPERLINK("proteomic_fractions_linear_files/Yang_linear_img/115270972.jpg", "115270972")</f>
        <v>115270972</v>
      </c>
      <c r="C4403" s="3" t="str">
        <f>HYPERLINK("http://www.ncbi.nlm.nih.gov/protein/115270972","Med14")</f>
        <v>Med14</v>
      </c>
      <c r="E4403" t="str">
        <f>HYPERLINK("J:\Depot - mpkCCD Fractions\Main Web Page\Web Pages_old\proteomic_fractions_linear_files/Yang_linear_img/115270972.jpg","show blot")</f>
        <v>show blot</v>
      </c>
      <c r="G4403" t="s">
        <v>4201</v>
      </c>
      <c r="I4403" s="6">
        <v>2.5372407592584665</v>
      </c>
      <c r="K4403" s="8"/>
    </row>
    <row r="4404" spans="1:11" ht="15" x14ac:dyDescent="0.25">
      <c r="A4404" s="3" t="str">
        <f>HYPERLINK("proteomic_fractions_linear_files/Yang_linear_img/115270977.jpg", "115270977")</f>
        <v>115270977</v>
      </c>
      <c r="C4404" s="3" t="str">
        <f>HYPERLINK("http://www.ncbi.nlm.nih.gov/protein/115270977","Med14")</f>
        <v>Med14</v>
      </c>
      <c r="E4404" t="str">
        <f>HYPERLINK("J:\Depot - mpkCCD Fractions\Main Web Page\Web Pages_old\proteomic_fractions_linear_files/Yang_linear_img/115270977.jpg","show blot")</f>
        <v>show blot</v>
      </c>
      <c r="G4404" t="s">
        <v>4202</v>
      </c>
      <c r="I4404" s="6">
        <v>2.5372407592584665</v>
      </c>
      <c r="K4404" s="8"/>
    </row>
    <row r="4405" spans="1:11" ht="15" x14ac:dyDescent="0.25">
      <c r="A4405" s="3" t="str">
        <f>HYPERLINK("proteomic_fractions_linear_files/Yang_linear_img/100816770.jpg", "100816770")</f>
        <v>100816770</v>
      </c>
      <c r="C4405" s="3" t="str">
        <f>HYPERLINK("http://www.ncbi.nlm.nih.gov/protein/100816770","Med15")</f>
        <v>Med15</v>
      </c>
      <c r="E4405" t="str">
        <f>HYPERLINK("J:\Depot - mpkCCD Fractions\Main Web Page\Web Pages_old\proteomic_fractions_linear_files/Yang_linear_img/100816770.jpg","show blot")</f>
        <v>show blot</v>
      </c>
      <c r="G4405" t="s">
        <v>4203</v>
      </c>
      <c r="I4405" s="6">
        <v>1.7952015645884007</v>
      </c>
      <c r="K4405" s="8"/>
    </row>
    <row r="4406" spans="1:11" ht="15" x14ac:dyDescent="0.25">
      <c r="A4406" s="3" t="str">
        <f>HYPERLINK("proteomic_fractions_linear_files/Yang_linear_img/100817039.jpg", "100817039")</f>
        <v>100817039</v>
      </c>
      <c r="C4406" s="3" t="str">
        <f>HYPERLINK("http://www.ncbi.nlm.nih.gov/protein/100817039","Med15")</f>
        <v>Med15</v>
      </c>
      <c r="E4406" t="str">
        <f>HYPERLINK("J:\Depot - mpkCCD Fractions\Main Web Page\Web Pages_old\proteomic_fractions_linear_files/Yang_linear_img/100817039.jpg","show blot")</f>
        <v>show blot</v>
      </c>
      <c r="G4406" t="s">
        <v>4204</v>
      </c>
      <c r="I4406" s="6">
        <v>1.7952015645884007</v>
      </c>
      <c r="K4406" s="8"/>
    </row>
    <row r="4407" spans="1:11" ht="15" x14ac:dyDescent="0.25">
      <c r="A4407" s="3" t="str">
        <f>HYPERLINK("proteomic_fractions_linear_files/Yang_linear_img/21450345.jpg", "21450345")</f>
        <v>21450345</v>
      </c>
      <c r="C4407" s="3" t="str">
        <f>HYPERLINK("http://www.ncbi.nlm.nih.gov/protein/21450345","Med17")</f>
        <v>Med17</v>
      </c>
      <c r="E4407" t="str">
        <f>HYPERLINK("J:\Depot - mpkCCD Fractions\Main Web Page\Web Pages_old\proteomic_fractions_linear_files/Yang_linear_img/21450345.jpg","show blot")</f>
        <v>show blot</v>
      </c>
      <c r="G4407" t="s">
        <v>4205</v>
      </c>
      <c r="I4407" s="6">
        <v>3.3906113252387136</v>
      </c>
      <c r="K4407" s="8"/>
    </row>
    <row r="4408" spans="1:11" ht="15" x14ac:dyDescent="0.25">
      <c r="A4408" s="3" t="str">
        <f>HYPERLINK("proteomic_fractions_linear_files/Yang_linear_img/21313064.jpg", "21313064")</f>
        <v>21313064</v>
      </c>
      <c r="C4408" s="3" t="str">
        <f>HYPERLINK("http://www.ncbi.nlm.nih.gov/protein/21313064","Med18")</f>
        <v>Med18</v>
      </c>
      <c r="E4408" t="str">
        <f>HYPERLINK("J:\Depot - mpkCCD Fractions\Main Web Page\Web Pages_old\proteomic_fractions_linear_files/Yang_linear_img/21313064.jpg","show blot")</f>
        <v>show blot</v>
      </c>
      <c r="G4408" t="s">
        <v>4206</v>
      </c>
      <c r="I4408" s="6">
        <v>3.0573966462033311</v>
      </c>
      <c r="K4408" s="8"/>
    </row>
    <row r="4409" spans="1:11" ht="15" x14ac:dyDescent="0.25">
      <c r="A4409" s="3" t="str">
        <f>HYPERLINK("proteomic_fractions_linear_files/Yang_linear_img/21313194.jpg", "21313194")</f>
        <v>21313194</v>
      </c>
      <c r="C4409" s="3" t="str">
        <f>HYPERLINK("http://www.ncbi.nlm.nih.gov/protein/21313194","Med19")</f>
        <v>Med19</v>
      </c>
      <c r="E4409" t="str">
        <f>HYPERLINK("J:\Depot - mpkCCD Fractions\Main Web Page\Web Pages_old\proteomic_fractions_linear_files/Yang_linear_img/21313194.jpg","show blot")</f>
        <v>show blot</v>
      </c>
      <c r="G4409" t="s">
        <v>4207</v>
      </c>
      <c r="I4409" s="6">
        <v>2.9873936536887169</v>
      </c>
      <c r="K4409" s="8"/>
    </row>
    <row r="4410" spans="1:11" ht="15" x14ac:dyDescent="0.25">
      <c r="A4410" s="3" t="str">
        <f>HYPERLINK("proteomic_fractions_linear_files/Yang_linear_img/9910590.jpg", "9910590")</f>
        <v>9910590</v>
      </c>
      <c r="C4410" s="3" t="str">
        <f>HYPERLINK("http://www.ncbi.nlm.nih.gov/protein/9910590","Med20")</f>
        <v>Med20</v>
      </c>
      <c r="E4410" t="str">
        <f>HYPERLINK("J:\Depot - mpkCCD Fractions\Main Web Page\Web Pages_old\proteomic_fractions_linear_files/Yang_linear_img/9910590.jpg","show blot")</f>
        <v>show blot</v>
      </c>
      <c r="G4410" t="s">
        <v>4208</v>
      </c>
      <c r="I4410" s="6">
        <v>4.4059208628290234</v>
      </c>
      <c r="K4410" s="8"/>
    </row>
    <row r="4411" spans="1:11" ht="15" x14ac:dyDescent="0.25">
      <c r="A4411" s="3" t="str">
        <f>HYPERLINK("proteomic_fractions_linear_files/Yang_linear_img/13384678.jpg", "13384678")</f>
        <v>13384678</v>
      </c>
      <c r="C4411" s="3" t="str">
        <f>HYPERLINK("http://www.ncbi.nlm.nih.gov/protein/13384678","Med21")</f>
        <v>Med21</v>
      </c>
      <c r="E4411" t="str">
        <f>HYPERLINK("J:\Depot - mpkCCD Fractions\Main Web Page\Web Pages_old\proteomic_fractions_linear_files/Yang_linear_img/13384678.jpg","show blot")</f>
        <v>show blot</v>
      </c>
      <c r="G4411" t="s">
        <v>4209</v>
      </c>
      <c r="I4411" s="6">
        <v>3.7014444694493354</v>
      </c>
      <c r="K4411" s="8"/>
    </row>
    <row r="4412" spans="1:11" ht="15" x14ac:dyDescent="0.25">
      <c r="A4412" s="3" t="str">
        <f>HYPERLINK("proteomic_fractions_linear_files/Yang_linear_img/6755700.jpg", "6755700")</f>
        <v>6755700</v>
      </c>
      <c r="C4412" s="3" t="str">
        <f>HYPERLINK("http://www.ncbi.nlm.nih.gov/protein/6755700","Med22")</f>
        <v>Med22</v>
      </c>
      <c r="E4412" t="str">
        <f>HYPERLINK("J:\Depot - mpkCCD Fractions\Main Web Page\Web Pages_old\proteomic_fractions_linear_files/Yang_linear_img/6755700.jpg","show blot")</f>
        <v>show blot</v>
      </c>
      <c r="G4412" t="s">
        <v>4210</v>
      </c>
      <c r="I4412" s="6">
        <v>3.047314685868316</v>
      </c>
      <c r="K4412" s="8"/>
    </row>
    <row r="4413" spans="1:11" ht="15" x14ac:dyDescent="0.25">
      <c r="A4413" s="3" t="str">
        <f>HYPERLINK("proteomic_fractions_linear_files/Yang_linear_img/76781479.jpg", "76781479")</f>
        <v>76781479</v>
      </c>
      <c r="C4413" s="3" t="str">
        <f>HYPERLINK("http://www.ncbi.nlm.nih.gov/protein/76781479","Med22")</f>
        <v>Med22</v>
      </c>
      <c r="E4413" t="str">
        <f>HYPERLINK("J:\Depot - mpkCCD Fractions\Main Web Page\Web Pages_old\proteomic_fractions_linear_files/Yang_linear_img/76781479.jpg","show blot")</f>
        <v>show blot</v>
      </c>
      <c r="G4413" t="s">
        <v>4211</v>
      </c>
      <c r="I4413" s="6">
        <v>3.047314685868316</v>
      </c>
      <c r="K4413" s="8"/>
    </row>
    <row r="4414" spans="1:11" ht="15" x14ac:dyDescent="0.25">
      <c r="A4414" s="3" t="str">
        <f>HYPERLINK("proteomic_fractions_linear_files/Yang_linear_img/261878545.jpg", "261878545")</f>
        <v>261878545</v>
      </c>
      <c r="C4414" s="3" t="str">
        <f>HYPERLINK("http://www.ncbi.nlm.nih.gov/protein/261878545","Med23")</f>
        <v>Med23</v>
      </c>
      <c r="E4414" t="str">
        <f>HYPERLINK("J:\Depot - mpkCCD Fractions\Main Web Page\Web Pages_old\proteomic_fractions_linear_files/Yang_linear_img/261878545.jpg","show blot")</f>
        <v>show blot</v>
      </c>
      <c r="G4414" t="s">
        <v>4212</v>
      </c>
      <c r="I4414" s="6">
        <v>3.3757477818519752</v>
      </c>
      <c r="K4414" s="8"/>
    </row>
    <row r="4415" spans="1:11" ht="15" x14ac:dyDescent="0.25">
      <c r="A4415" s="3" t="str">
        <f>HYPERLINK("proteomic_fractions_linear_files/Yang_linear_img/261878547.jpg", "261878547")</f>
        <v>261878547</v>
      </c>
      <c r="C4415" s="3" t="str">
        <f>HYPERLINK("http://www.ncbi.nlm.nih.gov/protein/261878547","Med23")</f>
        <v>Med23</v>
      </c>
      <c r="E4415" t="str">
        <f>HYPERLINK("J:\Depot - mpkCCD Fractions\Main Web Page\Web Pages_old\proteomic_fractions_linear_files/Yang_linear_img/261878547.jpg","show blot")</f>
        <v>show blot</v>
      </c>
      <c r="G4415" t="s">
        <v>4213</v>
      </c>
      <c r="I4415" s="6">
        <v>3.3757477818519752</v>
      </c>
      <c r="K4415" s="8"/>
    </row>
    <row r="4416" spans="1:11" ht="15" x14ac:dyDescent="0.25">
      <c r="A4416" s="3" t="str">
        <f>HYPERLINK("proteomic_fractions_linear_files/Yang_linear_img/119220579.jpg", "119220579")</f>
        <v>119220579</v>
      </c>
      <c r="C4416" s="3" t="str">
        <f>HYPERLINK("http://www.ncbi.nlm.nih.gov/protein/119220579","Med24")</f>
        <v>Med24</v>
      </c>
      <c r="E4416" t="str">
        <f>HYPERLINK("J:\Depot - mpkCCD Fractions\Main Web Page\Web Pages_old\proteomic_fractions_linear_files/Yang_linear_img/119220579.jpg","show blot")</f>
        <v>show blot</v>
      </c>
      <c r="G4416" t="s">
        <v>4214</v>
      </c>
      <c r="I4416" s="6">
        <v>2.4414951842182608</v>
      </c>
      <c r="K4416" s="8"/>
    </row>
    <row r="4417" spans="1:11" ht="15" x14ac:dyDescent="0.25">
      <c r="A4417" s="3" t="str">
        <f>HYPERLINK("proteomic_fractions_linear_files/Yang_linear_img/76253678.jpg", "76253678")</f>
        <v>76253678</v>
      </c>
      <c r="C4417" s="3" t="str">
        <f>HYPERLINK("http://www.ncbi.nlm.nih.gov/protein/76253678","Med27")</f>
        <v>Med27</v>
      </c>
      <c r="E4417" t="str">
        <f>HYPERLINK("J:\Depot - mpkCCD Fractions\Main Web Page\Web Pages_old\proteomic_fractions_linear_files/Yang_linear_img/76253678.jpg","show blot")</f>
        <v>show blot</v>
      </c>
      <c r="G4417" t="s">
        <v>4215</v>
      </c>
      <c r="I4417" s="6">
        <v>3.9206417414894514</v>
      </c>
      <c r="K4417" s="8"/>
    </row>
    <row r="4418" spans="1:11" ht="15" x14ac:dyDescent="0.25">
      <c r="A4418" s="3" t="str">
        <f>HYPERLINK("proteomic_fractions_linear_files/Yang_linear_img/13385388.jpg", "13385388")</f>
        <v>13385388</v>
      </c>
      <c r="C4418" s="3" t="str">
        <f>HYPERLINK("http://www.ncbi.nlm.nih.gov/protein/13385388","Med28")</f>
        <v>Med28</v>
      </c>
      <c r="E4418" t="str">
        <f>HYPERLINK("J:\Depot - mpkCCD Fractions\Main Web Page\Web Pages_old\proteomic_fractions_linear_files/Yang_linear_img/13385388.jpg","show blot")</f>
        <v>show blot</v>
      </c>
      <c r="G4418" t="s">
        <v>4216</v>
      </c>
      <c r="I4418" s="6">
        <v>3.5543830465656838</v>
      </c>
      <c r="K4418" s="8"/>
    </row>
    <row r="4419" spans="1:11" ht="15" x14ac:dyDescent="0.25">
      <c r="A4419" s="3" t="str">
        <f>HYPERLINK("proteomic_fractions_linear_files/Yang_linear_img/19882231.jpg", "19882231")</f>
        <v>19882231</v>
      </c>
      <c r="C4419" s="3" t="str">
        <f>HYPERLINK("http://www.ncbi.nlm.nih.gov/protein/19882231","Med30")</f>
        <v>Med30</v>
      </c>
      <c r="E4419" t="str">
        <f>HYPERLINK("J:\Depot - mpkCCD Fractions\Main Web Page\Web Pages_old\proteomic_fractions_linear_files/Yang_linear_img/19882231.jpg","show blot")</f>
        <v>show blot</v>
      </c>
      <c r="G4419" t="s">
        <v>4217</v>
      </c>
      <c r="I4419" s="6">
        <v>4.6383109397749918</v>
      </c>
      <c r="K4419" s="8"/>
    </row>
    <row r="4420" spans="1:11" ht="15" x14ac:dyDescent="0.25">
      <c r="A4420" s="3" t="str">
        <f>HYPERLINK("proteomic_fractions_linear_files/Yang_linear_img/56119162.jpg", "56119162")</f>
        <v>56119162</v>
      </c>
      <c r="C4420" s="3" t="str">
        <f>HYPERLINK("http://www.ncbi.nlm.nih.gov/protein/56119162","Med31")</f>
        <v>Med31</v>
      </c>
      <c r="E4420" t="str">
        <f>HYPERLINK("J:\Depot - mpkCCD Fractions\Main Web Page\Web Pages_old\proteomic_fractions_linear_files/Yang_linear_img/56119162.jpg","show blot")</f>
        <v>show blot</v>
      </c>
      <c r="G4420" t="s">
        <v>4218</v>
      </c>
      <c r="I4420" s="6">
        <v>4.0681080156527729</v>
      </c>
      <c r="K4420" s="8"/>
    </row>
    <row r="4421" spans="1:11" ht="15" x14ac:dyDescent="0.25">
      <c r="A4421" s="3" t="str">
        <f>HYPERLINK("proteomic_fractions_linear_files/Yang_linear_img/157266302;157266322.jpg", "157266302;157266322")</f>
        <v>157266302;157266322</v>
      </c>
      <c r="C4421" s="3" t="str">
        <f>HYPERLINK("http://www.ncbi.nlm.nih.gov/protein/157266302;157266322","Med7")</f>
        <v>Med7</v>
      </c>
      <c r="E4421" t="str">
        <f>HYPERLINK("J:\Depot - mpkCCD Fractions\Main Web Page\Web Pages_old\proteomic_fractions_linear_files/Yang_linear_img/157266302;157266322.jpg","show blot")</f>
        <v>show blot</v>
      </c>
      <c r="G4421" t="s">
        <v>4219</v>
      </c>
      <c r="I4421" s="6">
        <v>3.1280831755968341</v>
      </c>
      <c r="K4421" s="8"/>
    </row>
    <row r="4422" spans="1:11" ht="15" x14ac:dyDescent="0.25">
      <c r="A4422" s="3" t="str">
        <f>HYPERLINK("proteomic_fractions_linear_files/Yang_linear_img/255982602.jpg", "255982602")</f>
        <v>255982602</v>
      </c>
      <c r="C4422" s="3" t="str">
        <f>HYPERLINK("http://www.ncbi.nlm.nih.gov/protein/255982602","Mei1")</f>
        <v>Mei1</v>
      </c>
      <c r="E4422" t="str">
        <f>HYPERLINK("J:\Depot - mpkCCD Fractions\Main Web Page\Web Pages_old\proteomic_fractions_linear_files/Yang_linear_img/255982602.jpg","show blot")</f>
        <v>show blot</v>
      </c>
      <c r="G4422" t="s">
        <v>4220</v>
      </c>
      <c r="I4422" s="6">
        <v>3.1074986333221073</v>
      </c>
      <c r="K4422" s="8"/>
    </row>
    <row r="4423" spans="1:11" ht="15" x14ac:dyDescent="0.25">
      <c r="A4423" s="3" t="str">
        <f>HYPERLINK("proteomic_fractions_linear_files/Yang_linear_img/19526994.jpg", "19526994")</f>
        <v>19526994</v>
      </c>
      <c r="C4423" s="3" t="str">
        <f>HYPERLINK("http://www.ncbi.nlm.nih.gov/protein/19526994","Memo1")</f>
        <v>Memo1</v>
      </c>
      <c r="E4423" t="str">
        <f>HYPERLINK("J:\Depot - mpkCCD Fractions\Main Web Page\Web Pages_old\proteomic_fractions_linear_files/Yang_linear_img/19526994.jpg","show blot")</f>
        <v>show blot</v>
      </c>
      <c r="G4423" t="s">
        <v>4221</v>
      </c>
      <c r="I4423" s="6">
        <v>4.9938762300717974</v>
      </c>
      <c r="K4423" s="8"/>
    </row>
    <row r="4424" spans="1:11" ht="15" x14ac:dyDescent="0.25">
      <c r="A4424" s="3" t="str">
        <f>HYPERLINK("proteomic_fractions_linear_files/Yang_linear_img/119672920.jpg", "119672920")</f>
        <v>119672920</v>
      </c>
      <c r="C4424" s="3" t="str">
        <f>HYPERLINK("http://www.ncbi.nlm.nih.gov/protein/119672920","Mepce")</f>
        <v>Mepce</v>
      </c>
      <c r="E4424" t="str">
        <f>HYPERLINK("J:\Depot - mpkCCD Fractions\Main Web Page\Web Pages_old\proteomic_fractions_linear_files/Yang_linear_img/119672920.jpg","show blot")</f>
        <v>show blot</v>
      </c>
      <c r="G4424" t="s">
        <v>4222</v>
      </c>
      <c r="I4424" s="6">
        <v>4.1688951297126211</v>
      </c>
      <c r="K4424" s="8"/>
    </row>
    <row r="4425" spans="1:11" ht="15" x14ac:dyDescent="0.25">
      <c r="A4425" s="3" t="str">
        <f>HYPERLINK("proteomic_fractions_linear_files/Yang_linear_img/228480219.jpg", "228480219")</f>
        <v>228480219</v>
      </c>
      <c r="C4425" s="3" t="str">
        <f>HYPERLINK("http://www.ncbi.nlm.nih.gov/protein/228480219","Mesdc2")</f>
        <v>Mesdc2</v>
      </c>
      <c r="E4425" t="str">
        <f>HYPERLINK("J:\Depot - mpkCCD Fractions\Main Web Page\Web Pages_old\proteomic_fractions_linear_files/Yang_linear_img/228480219.jpg","show blot")</f>
        <v>show blot</v>
      </c>
      <c r="G4425" t="s">
        <v>4223</v>
      </c>
      <c r="I4425" s="6">
        <v>4.0072774037432097</v>
      </c>
      <c r="K4425" s="8"/>
    </row>
    <row r="4426" spans="1:11" ht="15" x14ac:dyDescent="0.25">
      <c r="A4426" s="3" t="str">
        <f>HYPERLINK("proteomic_fractions_linear_files/Yang_linear_img/146198696.jpg", "146198696")</f>
        <v>146198696</v>
      </c>
      <c r="C4426" s="3" t="str">
        <f>HYPERLINK("http://www.ncbi.nlm.nih.gov/protein/146198696","Met")</f>
        <v>Met</v>
      </c>
      <c r="E4426" t="str">
        <f>HYPERLINK("J:\Depot - mpkCCD Fractions\Main Web Page\Web Pages_old\proteomic_fractions_linear_files/Yang_linear_img/146198696.jpg","show blot")</f>
        <v>show blot</v>
      </c>
      <c r="G4426" t="s">
        <v>4224</v>
      </c>
      <c r="I4426" s="6">
        <v>4.1935509483533435</v>
      </c>
      <c r="K4426" s="8"/>
    </row>
    <row r="4427" spans="1:11" ht="15" x14ac:dyDescent="0.25">
      <c r="A4427" s="3" t="str">
        <f>HYPERLINK("proteomic_fractions_linear_files/Yang_linear_img/28202007.jpg", "28202007")</f>
        <v>28202007</v>
      </c>
      <c r="C4427" s="3" t="str">
        <f>HYPERLINK("http://www.ncbi.nlm.nih.gov/protein/28202007","Metap1")</f>
        <v>Metap1</v>
      </c>
      <c r="E4427" t="str">
        <f>HYPERLINK("J:\Depot - mpkCCD Fractions\Main Web Page\Web Pages_old\proteomic_fractions_linear_files/Yang_linear_img/28202007.jpg","show blot")</f>
        <v>show blot</v>
      </c>
      <c r="G4427" t="s">
        <v>4225</v>
      </c>
      <c r="I4427" s="6">
        <v>5.5276527788693794</v>
      </c>
      <c r="K4427" s="8"/>
    </row>
    <row r="4428" spans="1:11" ht="15" x14ac:dyDescent="0.25">
      <c r="A4428" s="3" t="str">
        <f>HYPERLINK("proteomic_fractions_linear_files/Yang_linear_img/17975502.jpg", "17975502")</f>
        <v>17975502</v>
      </c>
      <c r="C4428" s="3" t="str">
        <f>HYPERLINK("http://www.ncbi.nlm.nih.gov/protein/17975502","Metap1d")</f>
        <v>Metap1d</v>
      </c>
      <c r="E4428" t="str">
        <f>HYPERLINK("J:\Depot - mpkCCD Fractions\Main Web Page\Web Pages_old\proteomic_fractions_linear_files/Yang_linear_img/17975502.jpg","show blot")</f>
        <v>show blot</v>
      </c>
      <c r="G4428" t="s">
        <v>4226</v>
      </c>
      <c r="I4428" s="6">
        <v>3.2983035541864116</v>
      </c>
      <c r="K4428" s="8"/>
    </row>
    <row r="4429" spans="1:11" ht="15" x14ac:dyDescent="0.25">
      <c r="A4429" s="3" t="str">
        <f>HYPERLINK("proteomic_fractions_linear_files/Yang_linear_img/9789873.jpg", "9789873")</f>
        <v>9789873</v>
      </c>
      <c r="C4429" s="3" t="str">
        <f>HYPERLINK("http://www.ncbi.nlm.nih.gov/protein/9789873","Metap2")</f>
        <v>Metap2</v>
      </c>
      <c r="E4429" t="str">
        <f>HYPERLINK("J:\Depot - mpkCCD Fractions\Main Web Page\Web Pages_old\proteomic_fractions_linear_files/Yang_linear_img/9789873.jpg","show blot")</f>
        <v>show blot</v>
      </c>
      <c r="G4429" t="s">
        <v>4227</v>
      </c>
      <c r="I4429" s="6">
        <v>5.583428858137232</v>
      </c>
      <c r="K4429" s="8"/>
    </row>
    <row r="4430" spans="1:11" ht="15" x14ac:dyDescent="0.25">
      <c r="A4430" s="3" t="str">
        <f>HYPERLINK("proteomic_fractions_linear_files/Yang_linear_img/6754682.jpg", "6754682")</f>
        <v>6754682</v>
      </c>
      <c r="C4430" s="3" t="str">
        <f>HYPERLINK("http://www.ncbi.nlm.nih.gov/protein/6754682","Mettl1")</f>
        <v>Mettl1</v>
      </c>
      <c r="E4430" t="str">
        <f>HYPERLINK("J:\Depot - mpkCCD Fractions\Main Web Page\Web Pages_old\proteomic_fractions_linear_files/Yang_linear_img/6754682.jpg","show blot")</f>
        <v>show blot</v>
      </c>
      <c r="G4430" t="s">
        <v>4228</v>
      </c>
      <c r="I4430" s="6">
        <v>4.6396424988065679</v>
      </c>
      <c r="K4430" s="8"/>
    </row>
    <row r="4431" spans="1:11" ht="15" x14ac:dyDescent="0.25">
      <c r="A4431" s="3" t="str">
        <f>HYPERLINK("proteomic_fractions_linear_files/Yang_linear_img/47059504.jpg", "47059504")</f>
        <v>47059504</v>
      </c>
      <c r="C4431" s="3" t="str">
        <f>HYPERLINK("http://www.ncbi.nlm.nih.gov/protein/47059504","Mettl10")</f>
        <v>Mettl10</v>
      </c>
      <c r="E4431" t="str">
        <f>HYPERLINK("J:\Depot - mpkCCD Fractions\Main Web Page\Web Pages_old\proteomic_fractions_linear_files/Yang_linear_img/47059504.jpg","show blot")</f>
        <v>show blot</v>
      </c>
      <c r="G4431" t="s">
        <v>4229</v>
      </c>
      <c r="I4431" s="6">
        <v>4.2255000008063952</v>
      </c>
      <c r="K4431" s="8"/>
    </row>
    <row r="4432" spans="1:11" ht="15" x14ac:dyDescent="0.25">
      <c r="A4432" s="3" t="str">
        <f>HYPERLINK("proteomic_fractions_linear_files/Yang_linear_img/21536262.jpg", "21536262")</f>
        <v>21536262</v>
      </c>
      <c r="C4432" s="3" t="str">
        <f>HYPERLINK("http://www.ncbi.nlm.nih.gov/protein/21536262","Mettl13")</f>
        <v>Mettl13</v>
      </c>
      <c r="E4432" t="str">
        <f>HYPERLINK("J:\Depot - mpkCCD Fractions\Main Web Page\Web Pages_old\proteomic_fractions_linear_files/Yang_linear_img/21536262.jpg","show blot")</f>
        <v>show blot</v>
      </c>
      <c r="G4432" t="s">
        <v>4230</v>
      </c>
      <c r="I4432" s="6">
        <v>3.9104092391888758</v>
      </c>
      <c r="K4432" s="8"/>
    </row>
    <row r="4433" spans="1:11" ht="15" x14ac:dyDescent="0.25">
      <c r="A4433" s="3" t="str">
        <f>HYPERLINK("proteomic_fractions_linear_files/Yang_linear_img/21312938.jpg", "21312938")</f>
        <v>21312938</v>
      </c>
      <c r="C4433" s="3" t="str">
        <f>HYPERLINK("http://www.ncbi.nlm.nih.gov/protein/21312938","Mettl16")</f>
        <v>Mettl16</v>
      </c>
      <c r="E4433" t="str">
        <f>HYPERLINK("J:\Depot - mpkCCD Fractions\Main Web Page\Web Pages_old\proteomic_fractions_linear_files/Yang_linear_img/21312938.jpg","show blot")</f>
        <v>show blot</v>
      </c>
      <c r="G4433" t="s">
        <v>4231</v>
      </c>
      <c r="I4433" s="6">
        <v>4.0448611478396339</v>
      </c>
      <c r="K4433" s="8"/>
    </row>
    <row r="4434" spans="1:11" ht="15" x14ac:dyDescent="0.25">
      <c r="A4434" s="3" t="str">
        <f>HYPERLINK("proteomic_fractions_linear_files/Yang_linear_img/255683413.jpg", "255683413")</f>
        <v>255683413</v>
      </c>
      <c r="C4434" s="3" t="str">
        <f>HYPERLINK("http://www.ncbi.nlm.nih.gov/protein/255683413","Mettl2")</f>
        <v>Mettl2</v>
      </c>
      <c r="E4434" t="str">
        <f>HYPERLINK("J:\Depot - mpkCCD Fractions\Main Web Page\Web Pages_old\proteomic_fractions_linear_files/Yang_linear_img/255683413.jpg","show blot")</f>
        <v>show blot</v>
      </c>
      <c r="G4434" t="s">
        <v>4232</v>
      </c>
      <c r="I4434" s="6">
        <v>3.4919355576082958</v>
      </c>
      <c r="K4434" s="8"/>
    </row>
    <row r="4435" spans="1:11" ht="15" x14ac:dyDescent="0.25">
      <c r="A4435" s="3" t="str">
        <f>HYPERLINK("proteomic_fractions_linear_files/Yang_linear_img/77627973.jpg", "77627973")</f>
        <v>77627973</v>
      </c>
      <c r="C4435" s="3" t="str">
        <f>HYPERLINK("http://www.ncbi.nlm.nih.gov/protein/77627973","Mettl3")</f>
        <v>Mettl3</v>
      </c>
      <c r="E4435" t="str">
        <f>HYPERLINK("J:\Depot - mpkCCD Fractions\Main Web Page\Web Pages_old\proteomic_fractions_linear_files/Yang_linear_img/77627973.jpg","show blot")</f>
        <v>show blot</v>
      </c>
      <c r="G4435" t="s">
        <v>4233</v>
      </c>
      <c r="I4435" s="6">
        <v>3.4289111733028226</v>
      </c>
      <c r="K4435" s="8"/>
    </row>
    <row r="4436" spans="1:11" ht="15" x14ac:dyDescent="0.25">
      <c r="A4436" s="3" t="str">
        <f>HYPERLINK("proteomic_fractions_linear_files/Yang_linear_img/33563290.jpg", "33563290")</f>
        <v>33563290</v>
      </c>
      <c r="C4436" s="3" t="str">
        <f>HYPERLINK("http://www.ncbi.nlm.nih.gov/protein/33563290","Mettl7a1")</f>
        <v>Mettl7a1</v>
      </c>
      <c r="E4436" t="str">
        <f>HYPERLINK("J:\Depot - mpkCCD Fractions\Main Web Page\Web Pages_old\proteomic_fractions_linear_files/Yang_linear_img/33563290.jpg","show blot")</f>
        <v>show blot</v>
      </c>
      <c r="G4436" t="s">
        <v>4234</v>
      </c>
      <c r="I4436" s="6">
        <v>5.3499809809748768</v>
      </c>
      <c r="K4436" s="8"/>
    </row>
    <row r="4437" spans="1:11" ht="15" x14ac:dyDescent="0.25">
      <c r="A4437" s="3" t="str">
        <f>HYPERLINK("proteomic_fractions_linear_files/Yang_linear_img/61098178.jpg", "61098178")</f>
        <v>61098178</v>
      </c>
      <c r="C4437" s="3" t="str">
        <f>HYPERLINK("http://www.ncbi.nlm.nih.gov/protein/61098178","Mettl7a2")</f>
        <v>Mettl7a2</v>
      </c>
      <c r="E4437" t="str">
        <f>HYPERLINK("J:\Depot - mpkCCD Fractions\Main Web Page\Web Pages_old\proteomic_fractions_linear_files/Yang_linear_img/61098178.jpg","show blot")</f>
        <v>show blot</v>
      </c>
      <c r="G4437" t="s">
        <v>4235</v>
      </c>
      <c r="I4437" s="6">
        <v>5.2970360583129086</v>
      </c>
      <c r="K4437" s="8"/>
    </row>
    <row r="4438" spans="1:11" ht="15" x14ac:dyDescent="0.25">
      <c r="A4438" s="3" t="str">
        <f>HYPERLINK("proteomic_fractions_linear_files/Yang_linear_img/67003561.jpg", "67003561")</f>
        <v>67003561</v>
      </c>
      <c r="C4438" s="3" t="str">
        <f>HYPERLINK("http://www.ncbi.nlm.nih.gov/protein/67003561","Mettl7a2Higd1c")</f>
        <v>Mettl7a2Higd1c</v>
      </c>
      <c r="E4438" t="str">
        <f>HYPERLINK("J:\Depot - mpkCCD Fractions\Main Web Page\Web Pages_old\proteomic_fractions_linear_files/Yang_linear_img/67003561.jpg","show blot")</f>
        <v>show blot</v>
      </c>
      <c r="G4438" t="s">
        <v>4236</v>
      </c>
      <c r="I4438" s="6">
        <v>5.2670728349354654</v>
      </c>
      <c r="K4438" s="8"/>
    </row>
    <row r="4439" spans="1:11" ht="15" x14ac:dyDescent="0.25">
      <c r="A4439" s="3" t="str">
        <f>HYPERLINK("proteomic_fractions_linear_files/Yang_linear_img/125490373.jpg", "125490373")</f>
        <v>125490373</v>
      </c>
      <c r="C4439" s="3" t="str">
        <f>HYPERLINK("http://www.ncbi.nlm.nih.gov/protein/125490373","Mettl7a3")</f>
        <v>Mettl7a3</v>
      </c>
      <c r="E4439" t="str">
        <f>HYPERLINK("J:\Depot - mpkCCD Fractions\Main Web Page\Web Pages_old\proteomic_fractions_linear_files/Yang_linear_img/125490373.jpg","show blot")</f>
        <v>show blot</v>
      </c>
      <c r="G4439" t="s">
        <v>4237</v>
      </c>
      <c r="I4439" s="6">
        <v>4.9825760981092007</v>
      </c>
      <c r="K4439" s="8"/>
    </row>
    <row r="4440" spans="1:11" ht="15" x14ac:dyDescent="0.25">
      <c r="A4440" s="3" t="str">
        <f>HYPERLINK("proteomic_fractions_linear_files/Yang_linear_img/34328259.jpg", "34328259")</f>
        <v>34328259</v>
      </c>
      <c r="C4440" s="3" t="str">
        <f>HYPERLINK("http://www.ncbi.nlm.nih.gov/protein/34328259","Mettl9")</f>
        <v>Mettl9</v>
      </c>
      <c r="E4440" t="str">
        <f>HYPERLINK("J:\Depot - mpkCCD Fractions\Main Web Page\Web Pages_old\proteomic_fractions_linear_files/Yang_linear_img/34328259.jpg","show blot")</f>
        <v>show blot</v>
      </c>
      <c r="G4440" t="s">
        <v>4238</v>
      </c>
      <c r="I4440" s="6">
        <v>2.9677524690592412</v>
      </c>
      <c r="K4440" s="8"/>
    </row>
    <row r="4441" spans="1:11" ht="15" x14ac:dyDescent="0.25">
      <c r="A4441" s="3" t="str">
        <f>HYPERLINK("proteomic_fractions_linear_files/Yang_linear_img/126517472.jpg", "126517472")</f>
        <v>126517472</v>
      </c>
      <c r="C4441" s="3" t="str">
        <f>HYPERLINK("http://www.ncbi.nlm.nih.gov/protein/126517472","Mfap1b")</f>
        <v>Mfap1b</v>
      </c>
      <c r="E4441" t="str">
        <f>HYPERLINK("J:\Depot - mpkCCD Fractions\Main Web Page\Web Pages_old\proteomic_fractions_linear_files/Yang_linear_img/126517472.jpg","show blot")</f>
        <v>show blot</v>
      </c>
      <c r="G4441" t="s">
        <v>4239</v>
      </c>
      <c r="I4441" s="6">
        <v>2.0536050919342337</v>
      </c>
      <c r="K4441" s="8"/>
    </row>
    <row r="4442" spans="1:11" ht="15" x14ac:dyDescent="0.25">
      <c r="A4442" s="3" t="str">
        <f>HYPERLINK("proteomic_fractions_linear_files/Yang_linear_img/113865977.jpg", "113865977")</f>
        <v>113865977</v>
      </c>
      <c r="C4442" s="3" t="str">
        <f>HYPERLINK("http://www.ncbi.nlm.nih.gov/protein/113865977","Mfge8")</f>
        <v>Mfge8</v>
      </c>
      <c r="E4442" t="str">
        <f>HYPERLINK("J:\Depot - mpkCCD Fractions\Main Web Page\Web Pages_old\proteomic_fractions_linear_files/Yang_linear_img/113865977.jpg","show blot")</f>
        <v>show blot</v>
      </c>
      <c r="G4442" t="s">
        <v>4240</v>
      </c>
      <c r="I4442" s="6">
        <v>5.6433588102865517</v>
      </c>
      <c r="K4442" s="8"/>
    </row>
    <row r="4443" spans="1:11" ht="15" x14ac:dyDescent="0.25">
      <c r="A4443" s="3" t="str">
        <f>HYPERLINK("proteomic_fractions_linear_files/Yang_linear_img/113865979.jpg", "113865979")</f>
        <v>113865979</v>
      </c>
      <c r="C4443" s="3" t="str">
        <f>HYPERLINK("http://www.ncbi.nlm.nih.gov/protein/113865979","Mfge8")</f>
        <v>Mfge8</v>
      </c>
      <c r="E4443" t="str">
        <f>HYPERLINK("J:\Depot - mpkCCD Fractions\Main Web Page\Web Pages_old\proteomic_fractions_linear_files/Yang_linear_img/113865979.jpg","show blot")</f>
        <v>show blot</v>
      </c>
      <c r="G4443" t="s">
        <v>4241</v>
      </c>
      <c r="I4443" s="6">
        <v>5.6433588102865517</v>
      </c>
      <c r="K4443" s="8"/>
    </row>
    <row r="4444" spans="1:11" ht="15" x14ac:dyDescent="0.25">
      <c r="A4444" s="3" t="str">
        <f>HYPERLINK("proteomic_fractions_linear_files/Yang_linear_img/124486881.jpg", "124486881")</f>
        <v>124486881</v>
      </c>
      <c r="C4444" s="3" t="str">
        <f>HYPERLINK("http://www.ncbi.nlm.nih.gov/protein/124486881","Mfhas1")</f>
        <v>Mfhas1</v>
      </c>
      <c r="E4444" t="str">
        <f>HYPERLINK("J:\Depot - mpkCCD Fractions\Main Web Page\Web Pages_old\proteomic_fractions_linear_files/Yang_linear_img/124486881.jpg","show blot")</f>
        <v>show blot</v>
      </c>
      <c r="G4444" t="s">
        <v>4242</v>
      </c>
      <c r="I4444" s="6">
        <v>5.1393656480374554</v>
      </c>
      <c r="K4444" s="8"/>
    </row>
    <row r="4445" spans="1:11" ht="15" x14ac:dyDescent="0.25">
      <c r="A4445" s="3" t="str">
        <f>HYPERLINK("proteomic_fractions_linear_files/Yang_linear_img/244793488.jpg", "244793488")</f>
        <v>244793488</v>
      </c>
      <c r="C4445" s="3" t="str">
        <f>HYPERLINK("http://www.ncbi.nlm.nih.gov/protein/244793488","Mfn1")</f>
        <v>Mfn1</v>
      </c>
      <c r="E4445" t="str">
        <f>HYPERLINK("J:\Depot - mpkCCD Fractions\Main Web Page\Web Pages_old\proteomic_fractions_linear_files/Yang_linear_img/244793488.jpg","show blot")</f>
        <v>show blot</v>
      </c>
      <c r="G4445" t="s">
        <v>4243</v>
      </c>
      <c r="I4445" s="6">
        <v>4.1779170739383105</v>
      </c>
      <c r="K4445" s="8"/>
    </row>
    <row r="4446" spans="1:11" ht="15" x14ac:dyDescent="0.25">
      <c r="A4446" s="3" t="str">
        <f>HYPERLINK("proteomic_fractions_linear_files/Yang_linear_img/21313266.jpg", "21313266")</f>
        <v>21313266</v>
      </c>
      <c r="C4446" s="3" t="str">
        <f>HYPERLINK("http://www.ncbi.nlm.nih.gov/protein/21313266","Mfsd1")</f>
        <v>Mfsd1</v>
      </c>
      <c r="E4446" t="str">
        <f>HYPERLINK("J:\Depot - mpkCCD Fractions\Main Web Page\Web Pages_old\proteomic_fractions_linear_files/Yang_linear_img/21313266.jpg","show blot")</f>
        <v>show blot</v>
      </c>
      <c r="G4446" t="s">
        <v>4244</v>
      </c>
      <c r="I4446" s="6">
        <v>4.3231419287270221</v>
      </c>
      <c r="K4446" s="8"/>
    </row>
    <row r="4447" spans="1:11" ht="15" x14ac:dyDescent="0.25">
      <c r="A4447" s="3" t="str">
        <f>HYPERLINK("proteomic_fractions_linear_files/Yang_linear_img/13386144.jpg", "13386144")</f>
        <v>13386144</v>
      </c>
      <c r="C4447" s="3" t="str">
        <f>HYPERLINK("http://www.ncbi.nlm.nih.gov/protein/13386144","Mfsd10")</f>
        <v>Mfsd10</v>
      </c>
      <c r="E4447" t="str">
        <f>HYPERLINK("J:\Depot - mpkCCD Fractions\Main Web Page\Web Pages_old\proteomic_fractions_linear_files/Yang_linear_img/13386144.jpg","show blot")</f>
        <v>show blot</v>
      </c>
      <c r="G4447" t="s">
        <v>4245</v>
      </c>
      <c r="I4447" s="6">
        <v>4.6047989778725826</v>
      </c>
      <c r="K4447" s="8"/>
    </row>
    <row r="4448" spans="1:11" ht="15" x14ac:dyDescent="0.25">
      <c r="A4448" s="3" t="str">
        <f>HYPERLINK("proteomic_fractions_linear_files/Yang_linear_img/148540196.jpg", "148540196")</f>
        <v>148540196</v>
      </c>
      <c r="C4448" s="3" t="str">
        <f>HYPERLINK("http://www.ncbi.nlm.nih.gov/protein/148540196","Mfsd12")</f>
        <v>Mfsd12</v>
      </c>
      <c r="E4448" t="str">
        <f>HYPERLINK("J:\Depot - mpkCCD Fractions\Main Web Page\Web Pages_old\proteomic_fractions_linear_files/Yang_linear_img/148540196.jpg","show blot")</f>
        <v>show blot</v>
      </c>
      <c r="G4448" t="s">
        <v>4246</v>
      </c>
      <c r="I4448" s="6">
        <v>1.8989610813203643</v>
      </c>
      <c r="K4448" s="8"/>
    </row>
    <row r="4449" spans="1:11" ht="15" x14ac:dyDescent="0.25">
      <c r="A4449" s="3" t="str">
        <f>HYPERLINK("proteomic_fractions_linear_files/Yang_linear_img/19527330.jpg", "19527330")</f>
        <v>19527330</v>
      </c>
      <c r="C4449" s="3" t="str">
        <f>HYPERLINK("http://www.ncbi.nlm.nih.gov/protein/19527330","Mfsd5")</f>
        <v>Mfsd5</v>
      </c>
      <c r="E4449" t="str">
        <f>HYPERLINK("J:\Depot - mpkCCD Fractions\Main Web Page\Web Pages_old\proteomic_fractions_linear_files/Yang_linear_img/19527330.jpg","show blot")</f>
        <v>show blot</v>
      </c>
      <c r="G4449" t="s">
        <v>4247</v>
      </c>
      <c r="I4449" s="6">
        <v>3.100834459273849</v>
      </c>
      <c r="K4449" s="8"/>
    </row>
    <row r="4450" spans="1:11" ht="15" x14ac:dyDescent="0.25">
      <c r="A4450" s="3" t="str">
        <f>HYPERLINK("proteomic_fractions_linear_files/Yang_linear_img/160707919.jpg", "160707919")</f>
        <v>160707919</v>
      </c>
      <c r="C4450" s="3" t="str">
        <f>HYPERLINK("http://www.ncbi.nlm.nih.gov/protein/160707919","Mfsd6")</f>
        <v>Mfsd6</v>
      </c>
      <c r="E4450" t="str">
        <f>HYPERLINK("J:\Depot - mpkCCD Fractions\Main Web Page\Web Pages_old\proteomic_fractions_linear_files/Yang_linear_img/160707919.jpg","show blot")</f>
        <v>show blot</v>
      </c>
      <c r="G4450" t="s">
        <v>4248</v>
      </c>
      <c r="I4450" s="6">
        <v>2.8044369341857753</v>
      </c>
      <c r="K4450" s="8"/>
    </row>
    <row r="4451" spans="1:11" ht="15" x14ac:dyDescent="0.25">
      <c r="A4451" s="3" t="str">
        <f>HYPERLINK("proteomic_fractions_linear_files/Yang_linear_img/31541926.jpg", "31541926")</f>
        <v>31541926</v>
      </c>
      <c r="C4451" s="3" t="str">
        <f>HYPERLINK("http://www.ncbi.nlm.nih.gov/protein/31541926","Mfsd8")</f>
        <v>Mfsd8</v>
      </c>
      <c r="E4451" t="str">
        <f>HYPERLINK("J:\Depot - mpkCCD Fractions\Main Web Page\Web Pages_old\proteomic_fractions_linear_files/Yang_linear_img/31541926.jpg","show blot")</f>
        <v>show blot</v>
      </c>
      <c r="G4451" t="s">
        <v>4249</v>
      </c>
      <c r="I4451" s="6">
        <v>2.9414397175484832</v>
      </c>
      <c r="K4451" s="8"/>
    </row>
    <row r="4452" spans="1:11" ht="15" x14ac:dyDescent="0.25">
      <c r="A4452" s="3" t="str">
        <f>HYPERLINK("proteomic_fractions_linear_files/Yang_linear_img/158711696.jpg", "158711696")</f>
        <v>158711696</v>
      </c>
      <c r="C4452" s="3" t="str">
        <f>HYPERLINK("http://www.ncbi.nlm.nih.gov/protein/158711696","Mgat1")</f>
        <v>Mgat1</v>
      </c>
      <c r="E4452" t="str">
        <f>HYPERLINK("J:\Depot - mpkCCD Fractions\Main Web Page\Web Pages_old\proteomic_fractions_linear_files/Yang_linear_img/158711696.jpg","show blot")</f>
        <v>show blot</v>
      </c>
      <c r="G4452" t="s">
        <v>4250</v>
      </c>
      <c r="I4452" s="6">
        <v>3.2426661587920229</v>
      </c>
      <c r="K4452" s="8"/>
    </row>
    <row r="4453" spans="1:11" ht="15" x14ac:dyDescent="0.25">
      <c r="A4453" s="3" t="str">
        <f>HYPERLINK("proteomic_fractions_linear_files/Yang_linear_img/22122521.jpg", "22122521")</f>
        <v>22122521</v>
      </c>
      <c r="C4453" s="3" t="str">
        <f>HYPERLINK("http://www.ncbi.nlm.nih.gov/protein/22122521","Mgat2")</f>
        <v>Mgat2</v>
      </c>
      <c r="E4453" t="str">
        <f>HYPERLINK("J:\Depot - mpkCCD Fractions\Main Web Page\Web Pages_old\proteomic_fractions_linear_files/Yang_linear_img/22122521.jpg","show blot")</f>
        <v>show blot</v>
      </c>
      <c r="G4453" t="s">
        <v>4251</v>
      </c>
      <c r="I4453" s="6">
        <v>3.7753196655858887</v>
      </c>
      <c r="K4453" s="8"/>
    </row>
    <row r="4454" spans="1:11" ht="15" x14ac:dyDescent="0.25">
      <c r="A4454" s="3" t="str">
        <f>HYPERLINK("proteomic_fractions_linear_files/Yang_linear_img/253683470.jpg", "253683470")</f>
        <v>253683470</v>
      </c>
      <c r="C4454" s="3" t="str">
        <f>HYPERLINK("http://www.ncbi.nlm.nih.gov/protein/253683470","Mgat4b")</f>
        <v>Mgat4b</v>
      </c>
      <c r="E4454" t="str">
        <f>HYPERLINK("J:\Depot - mpkCCD Fractions\Main Web Page\Web Pages_old\proteomic_fractions_linear_files/Yang_linear_img/253683470.jpg","show blot")</f>
        <v>show blot</v>
      </c>
      <c r="G4454" t="s">
        <v>4252</v>
      </c>
      <c r="I4454" s="6">
        <v>2.2946847803255084</v>
      </c>
      <c r="K4454" s="8"/>
    </row>
    <row r="4455" spans="1:11" ht="15" x14ac:dyDescent="0.25">
      <c r="A4455" s="3" t="str">
        <f>HYPERLINK("proteomic_fractions_linear_files/Yang_linear_img/326633239.jpg", "326633239")</f>
        <v>326633239</v>
      </c>
      <c r="C4455" s="3" t="str">
        <f>HYPERLINK("http://www.ncbi.nlm.nih.gov/protein/326633239","Mgat4c")</f>
        <v>Mgat4c</v>
      </c>
      <c r="E4455" t="str">
        <f>HYPERLINK("J:\Depot - mpkCCD Fractions\Main Web Page\Web Pages_old\proteomic_fractions_linear_files/Yang_linear_img/326633239.jpg","show blot")</f>
        <v>show blot</v>
      </c>
      <c r="G4455" t="s">
        <v>4253</v>
      </c>
      <c r="I4455" s="6">
        <v>3.4125235449614748</v>
      </c>
      <c r="K4455" s="8"/>
    </row>
    <row r="4456" spans="1:11" ht="15" x14ac:dyDescent="0.25">
      <c r="A4456" s="3" t="str">
        <f>HYPERLINK("proteomic_fractions_linear_files/Yang_linear_img/15011884.jpg", "15011884")</f>
        <v>15011884</v>
      </c>
      <c r="C4456" s="3" t="str">
        <f>HYPERLINK("http://www.ncbi.nlm.nih.gov/protein/15011884","Mgea5")</f>
        <v>Mgea5</v>
      </c>
      <c r="E4456" t="str">
        <f>HYPERLINK("J:\Depot - mpkCCD Fractions\Main Web Page\Web Pages_old\proteomic_fractions_linear_files/Yang_linear_img/15011884.jpg","show blot")</f>
        <v>show blot</v>
      </c>
      <c r="G4456" t="s">
        <v>4254</v>
      </c>
      <c r="I4456" s="6">
        <v>4.9180650765781664</v>
      </c>
      <c r="K4456" s="8"/>
    </row>
    <row r="4457" spans="1:11" ht="15" x14ac:dyDescent="0.25">
      <c r="A4457" s="3" t="str">
        <f>HYPERLINK("proteomic_fractions_linear_files/Yang_linear_img/21312780.jpg", "21312780")</f>
        <v>21312780</v>
      </c>
      <c r="C4457" s="3" t="str">
        <f>HYPERLINK("http://www.ncbi.nlm.nih.gov/protein/21312780","Mgme1")</f>
        <v>Mgme1</v>
      </c>
      <c r="E4457" t="str">
        <f>HYPERLINK("J:\Depot - mpkCCD Fractions\Main Web Page\Web Pages_old\proteomic_fractions_linear_files/Yang_linear_img/21312780.jpg","show blot")</f>
        <v>show blot</v>
      </c>
      <c r="G4457" t="s">
        <v>4255</v>
      </c>
      <c r="I4457" s="6">
        <v>3.4574652356167013</v>
      </c>
      <c r="K4457" s="8"/>
    </row>
    <row r="4458" spans="1:11" ht="15" x14ac:dyDescent="0.25">
      <c r="A4458" s="3" t="str">
        <f>HYPERLINK("proteomic_fractions_linear_files/Yang_linear_img/27229238.jpg", "27229238")</f>
        <v>27229238</v>
      </c>
      <c r="C4458" s="3" t="str">
        <f>HYPERLINK("http://www.ncbi.nlm.nih.gov/protein/27229238","Mgrn1")</f>
        <v>Mgrn1</v>
      </c>
      <c r="E4458" t="str">
        <f>HYPERLINK("J:\Depot - mpkCCD Fractions\Main Web Page\Web Pages_old\proteomic_fractions_linear_files/Yang_linear_img/27229238.jpg","show blot")</f>
        <v>show blot</v>
      </c>
      <c r="G4458" t="s">
        <v>4256</v>
      </c>
      <c r="I4458" s="6">
        <v>3.8649066731978499</v>
      </c>
      <c r="K4458" s="8"/>
    </row>
    <row r="4459" spans="1:11" ht="15" x14ac:dyDescent="0.25">
      <c r="A4459" s="3" t="str">
        <f>HYPERLINK("proteomic_fractions_linear_files/Yang_linear_img/356995926.jpg", "356995926")</f>
        <v>356995926</v>
      </c>
      <c r="C4459" s="3" t="str">
        <f>HYPERLINK("http://www.ncbi.nlm.nih.gov/protein/356995926","Mgrn1")</f>
        <v>Mgrn1</v>
      </c>
      <c r="E4459" t="str">
        <f>HYPERLINK("J:\Depot - mpkCCD Fractions\Main Web Page\Web Pages_old\proteomic_fractions_linear_files/Yang_linear_img/356995926.jpg","show blot")</f>
        <v>show blot</v>
      </c>
      <c r="G4459" t="s">
        <v>4257</v>
      </c>
      <c r="I4459" s="6">
        <v>3.8649066731978499</v>
      </c>
      <c r="K4459" s="8"/>
    </row>
    <row r="4460" spans="1:11" ht="15" x14ac:dyDescent="0.25">
      <c r="A4460" s="3" t="str">
        <f>HYPERLINK("proteomic_fractions_linear_files/Yang_linear_img/31981068.jpg", "31981068")</f>
        <v>31981068</v>
      </c>
      <c r="C4460" s="3" t="str">
        <f>HYPERLINK("http://www.ncbi.nlm.nih.gov/protein/31981068","Mgst1")</f>
        <v>Mgst1</v>
      </c>
      <c r="E4460" t="str">
        <f>HYPERLINK("J:\Depot - mpkCCD Fractions\Main Web Page\Web Pages_old\proteomic_fractions_linear_files/Yang_linear_img/31981068.jpg","show blot")</f>
        <v>show blot</v>
      </c>
      <c r="G4460" t="s">
        <v>4258</v>
      </c>
      <c r="I4460" s="6">
        <v>5.3896730419143539</v>
      </c>
      <c r="K4460" s="8"/>
    </row>
    <row r="4461" spans="1:11" ht="15" x14ac:dyDescent="0.25">
      <c r="A4461" s="3" t="str">
        <f>HYPERLINK("proteomic_fractions_linear_files/Yang_linear_img/13385010.jpg", "13385010")</f>
        <v>13385010</v>
      </c>
      <c r="C4461" s="3" t="str">
        <f>HYPERLINK("http://www.ncbi.nlm.nih.gov/protein/13385010","Mgst3")</f>
        <v>Mgst3</v>
      </c>
      <c r="E4461" t="str">
        <f>HYPERLINK("J:\Depot - mpkCCD Fractions\Main Web Page\Web Pages_old\proteomic_fractions_linear_files/Yang_linear_img/13385010.jpg","show blot")</f>
        <v>show blot</v>
      </c>
      <c r="G4461" t="s">
        <v>4259</v>
      </c>
      <c r="I4461" s="6">
        <v>5.127457110320023</v>
      </c>
      <c r="K4461" s="8"/>
    </row>
    <row r="4462" spans="1:11" ht="15" x14ac:dyDescent="0.25">
      <c r="A4462" s="3" t="str">
        <f>HYPERLINK("proteomic_fractions_linear_files/Yang_linear_img/124001582.jpg", "124001582")</f>
        <v>124001582</v>
      </c>
      <c r="C4462" s="3" t="str">
        <f>HYPERLINK("http://www.ncbi.nlm.nih.gov/protein/124001582","Mia3")</f>
        <v>Mia3</v>
      </c>
      <c r="E4462" t="str">
        <f>HYPERLINK("J:\Depot - mpkCCD Fractions\Main Web Page\Web Pages_old\proteomic_fractions_linear_files/Yang_linear_img/124001582.jpg","show blot")</f>
        <v>show blot</v>
      </c>
      <c r="G4462" t="s">
        <v>4260</v>
      </c>
      <c r="I4462" s="6">
        <v>2.6977402130608961</v>
      </c>
      <c r="K4462" s="8"/>
    </row>
    <row r="4463" spans="1:11" ht="15" x14ac:dyDescent="0.25">
      <c r="A4463" s="3" t="str">
        <f>HYPERLINK("proteomic_fractions_linear_files/Yang_linear_img/32189428.jpg", "32189428")</f>
        <v>32189428</v>
      </c>
      <c r="C4463" s="3" t="str">
        <f>HYPERLINK("http://www.ncbi.nlm.nih.gov/protein/32189428","Mib1")</f>
        <v>Mib1</v>
      </c>
      <c r="E4463" t="str">
        <f>HYPERLINK("J:\Depot - mpkCCD Fractions\Main Web Page\Web Pages_old\proteomic_fractions_linear_files/Yang_linear_img/32189428.jpg","show blot")</f>
        <v>show blot</v>
      </c>
      <c r="G4463" t="s">
        <v>4261</v>
      </c>
      <c r="I4463" s="6">
        <v>3.8896331604902725</v>
      </c>
      <c r="K4463" s="8"/>
    </row>
    <row r="4464" spans="1:11" ht="15" x14ac:dyDescent="0.25">
      <c r="A4464" s="3" t="str">
        <f>HYPERLINK("proteomic_fractions_linear_files/Yang_linear_img/170932490.jpg", "170932490")</f>
        <v>170932490</v>
      </c>
      <c r="C4464" s="3" t="str">
        <f>HYPERLINK("http://www.ncbi.nlm.nih.gov/protein/170932490","Mical3")</f>
        <v>Mical3</v>
      </c>
      <c r="E4464" t="str">
        <f>HYPERLINK("J:\Depot - mpkCCD Fractions\Main Web Page\Web Pages_old\proteomic_fractions_linear_files/Yang_linear_img/170932490.jpg","show blot")</f>
        <v>show blot</v>
      </c>
      <c r="G4464" t="s">
        <v>4262</v>
      </c>
      <c r="I4464" s="6">
        <v>3.7346998131323486</v>
      </c>
      <c r="K4464" s="8"/>
    </row>
    <row r="4465" spans="1:11" ht="15" x14ac:dyDescent="0.25">
      <c r="A4465" s="3" t="str">
        <f>HYPERLINK("proteomic_fractions_linear_files/Yang_linear_img/394582113.jpg", "394582113")</f>
        <v>394582113</v>
      </c>
      <c r="C4465" s="3" t="str">
        <f>HYPERLINK("http://www.ncbi.nlm.nih.gov/protein/394582113","Mical3")</f>
        <v>Mical3</v>
      </c>
      <c r="E4465" t="str">
        <f>HYPERLINK("J:\Depot - mpkCCD Fractions\Main Web Page\Web Pages_old\proteomic_fractions_linear_files/Yang_linear_img/394582113.jpg","show blot")</f>
        <v>show blot</v>
      </c>
      <c r="G4465" t="s">
        <v>4263</v>
      </c>
      <c r="I4465" s="6">
        <v>3.7346998131323486</v>
      </c>
      <c r="K4465" s="8"/>
    </row>
    <row r="4466" spans="1:11" ht="15" x14ac:dyDescent="0.25">
      <c r="A4466" s="3" t="str">
        <f>HYPERLINK("proteomic_fractions_linear_files/Yang_linear_img/168229165.jpg", "168229165")</f>
        <v>168229165</v>
      </c>
      <c r="C4466" s="3" t="str">
        <f>HYPERLINK("http://www.ncbi.nlm.nih.gov/protein/168229165","Micall1")</f>
        <v>Micall1</v>
      </c>
      <c r="E4466" t="str">
        <f>HYPERLINK("J:\Depot - mpkCCD Fractions\Main Web Page\Web Pages_old\proteomic_fractions_linear_files/Yang_linear_img/168229165.jpg","show blot")</f>
        <v>show blot</v>
      </c>
      <c r="G4466" t="s">
        <v>4264</v>
      </c>
      <c r="I4466" s="6">
        <v>2.8612303848308036</v>
      </c>
      <c r="K4466" s="8"/>
    </row>
    <row r="4467" spans="1:11" ht="15" x14ac:dyDescent="0.25">
      <c r="A4467" s="3" t="str">
        <f>HYPERLINK("proteomic_fractions_linear_files/Yang_linear_img/21450201.jpg", "21450201")</f>
        <v>21450201</v>
      </c>
      <c r="C4467" s="3" t="str">
        <f>HYPERLINK("http://www.ncbi.nlm.nih.gov/protein/21450201","Micu1")</f>
        <v>Micu1</v>
      </c>
      <c r="E4467" t="str">
        <f>HYPERLINK("J:\Depot - mpkCCD Fractions\Main Web Page\Web Pages_old\proteomic_fractions_linear_files/Yang_linear_img/21450201.jpg","show blot")</f>
        <v>show blot</v>
      </c>
      <c r="G4467" t="s">
        <v>4265</v>
      </c>
      <c r="I4467" s="6">
        <v>3.9070658864743573</v>
      </c>
      <c r="K4467" s="8"/>
    </row>
    <row r="4468" spans="1:11" ht="15" x14ac:dyDescent="0.25">
      <c r="A4468" s="3" t="str">
        <f>HYPERLINK("proteomic_fractions_linear_files/Yang_linear_img/27477043.jpg", "27477043")</f>
        <v>27477043</v>
      </c>
      <c r="C4468" s="3" t="str">
        <f>HYPERLINK("http://www.ncbi.nlm.nih.gov/protein/27477043","Micu2")</f>
        <v>Micu2</v>
      </c>
      <c r="E4468" t="str">
        <f>HYPERLINK("J:\Depot - mpkCCD Fractions\Main Web Page\Web Pages_old\proteomic_fractions_linear_files/Yang_linear_img/27477043.jpg","show blot")</f>
        <v>show blot</v>
      </c>
      <c r="G4468" t="s">
        <v>4266</v>
      </c>
      <c r="I4468" s="6">
        <v>4.5748272588414425</v>
      </c>
      <c r="K4468" s="8"/>
    </row>
    <row r="4469" spans="1:11" ht="15" x14ac:dyDescent="0.25">
      <c r="A4469" s="3" t="str">
        <f>HYPERLINK("proteomic_fractions_linear_files/Yang_linear_img/10947008.jpg", "10947008")</f>
        <v>10947008</v>
      </c>
      <c r="C4469" s="3" t="str">
        <f>HYPERLINK("http://www.ncbi.nlm.nih.gov/protein/10947008","Midn")</f>
        <v>Midn</v>
      </c>
      <c r="E4469" t="str">
        <f>HYPERLINK("J:\Depot - mpkCCD Fractions\Main Web Page\Web Pages_old\proteomic_fractions_linear_files/Yang_linear_img/10947008.jpg","show blot")</f>
        <v>show blot</v>
      </c>
      <c r="G4469" t="s">
        <v>4267</v>
      </c>
      <c r="I4469" s="6">
        <v>4.8533214668300477</v>
      </c>
      <c r="K4469" s="8"/>
    </row>
    <row r="4470" spans="1:11" ht="15" x14ac:dyDescent="0.25">
      <c r="A4470" s="3" t="str">
        <f>HYPERLINK("proteomic_fractions_linear_files/Yang_linear_img/13384990.jpg", "13384990")</f>
        <v>13384990</v>
      </c>
      <c r="C4470" s="3" t="str">
        <f>HYPERLINK("http://www.ncbi.nlm.nih.gov/protein/13384990","Mien1")</f>
        <v>Mien1</v>
      </c>
      <c r="E4470" t="str">
        <f>HYPERLINK("J:\Depot - mpkCCD Fractions\Main Web Page\Web Pages_old\proteomic_fractions_linear_files/Yang_linear_img/13384990.jpg","show blot")</f>
        <v>show blot</v>
      </c>
      <c r="G4470" t="s">
        <v>4268</v>
      </c>
      <c r="I4470" s="6">
        <v>4.8083034132304423</v>
      </c>
      <c r="K4470" s="8"/>
    </row>
    <row r="4471" spans="1:11" ht="15" x14ac:dyDescent="0.25">
      <c r="A4471" s="3" t="str">
        <f>HYPERLINK("proteomic_fractions_linear_files/Yang_linear_img/555290129.jpg", "555290129")</f>
        <v>555290129</v>
      </c>
      <c r="C4471" s="3" t="str">
        <f>HYPERLINK("http://www.ncbi.nlm.nih.gov/protein/555290129","Mier1")</f>
        <v>Mier1</v>
      </c>
      <c r="E4471" t="str">
        <f>HYPERLINK("J:\Depot - mpkCCD Fractions\Main Web Page\Web Pages_old\proteomic_fractions_linear_files/Yang_linear_img/555290129.jpg","show blot")</f>
        <v>show blot</v>
      </c>
      <c r="G4471" t="s">
        <v>4269</v>
      </c>
      <c r="I4471" s="6">
        <v>3.6720086484818335</v>
      </c>
      <c r="K4471" s="8"/>
    </row>
    <row r="4472" spans="1:11" ht="15" x14ac:dyDescent="0.25">
      <c r="A4472" s="3" t="str">
        <f>HYPERLINK("proteomic_fractions_linear_files/Yang_linear_img/555290144.jpg", "555290144")</f>
        <v>555290144</v>
      </c>
      <c r="C4472" s="3" t="str">
        <f>HYPERLINK("http://www.ncbi.nlm.nih.gov/protein/555290144","Mier1")</f>
        <v>Mier1</v>
      </c>
      <c r="E4472" t="str">
        <f>HYPERLINK("J:\Depot - mpkCCD Fractions\Main Web Page\Web Pages_old\proteomic_fractions_linear_files/Yang_linear_img/555290144.jpg","show blot")</f>
        <v>show blot</v>
      </c>
      <c r="G4472" t="s">
        <v>4270</v>
      </c>
      <c r="I4472" s="6">
        <v>3.6720086484818335</v>
      </c>
      <c r="K4472" s="8"/>
    </row>
    <row r="4473" spans="1:11" ht="15" x14ac:dyDescent="0.25">
      <c r="A4473" s="3" t="str">
        <f>HYPERLINK("proteomic_fractions_linear_files/Yang_linear_img/84872225.jpg", "84872225")</f>
        <v>84872225</v>
      </c>
      <c r="C4473" s="3" t="str">
        <f>HYPERLINK("http://www.ncbi.nlm.nih.gov/protein/84872225","Mier1")</f>
        <v>Mier1</v>
      </c>
      <c r="E4473" t="str">
        <f>HYPERLINK("J:\Depot - mpkCCD Fractions\Main Web Page\Web Pages_old\proteomic_fractions_linear_files/Yang_linear_img/84872225.jpg","show blot")</f>
        <v>show blot</v>
      </c>
      <c r="G4473" t="s">
        <v>4271</v>
      </c>
      <c r="I4473" s="6">
        <v>3.6720086484818335</v>
      </c>
      <c r="K4473" s="8"/>
    </row>
    <row r="4474" spans="1:11" ht="15" x14ac:dyDescent="0.25">
      <c r="A4474" s="3" t="str">
        <f>HYPERLINK("proteomic_fractions_linear_files/Yang_linear_img/84872227.jpg", "84872227")</f>
        <v>84872227</v>
      </c>
      <c r="C4474" s="3" t="str">
        <f>HYPERLINK("http://www.ncbi.nlm.nih.gov/protein/84872227","Mier1")</f>
        <v>Mier1</v>
      </c>
      <c r="E4474" t="str">
        <f>HYPERLINK("J:\Depot - mpkCCD Fractions\Main Web Page\Web Pages_old\proteomic_fractions_linear_files/Yang_linear_img/84872227.jpg","show blot")</f>
        <v>show blot</v>
      </c>
      <c r="G4474" t="s">
        <v>4272</v>
      </c>
      <c r="I4474" s="6">
        <v>3.6720086484818335</v>
      </c>
      <c r="K4474" s="8"/>
    </row>
    <row r="4475" spans="1:11" ht="15" x14ac:dyDescent="0.25">
      <c r="A4475" s="3" t="str">
        <f>HYPERLINK("proteomic_fractions_linear_files/Yang_linear_img/6754696.jpg", "6754696")</f>
        <v>6754696</v>
      </c>
      <c r="C4475" s="3" t="str">
        <f>HYPERLINK("http://www.ncbi.nlm.nih.gov/protein/6754696","Mif")</f>
        <v>Mif</v>
      </c>
      <c r="E4475" t="str">
        <f>HYPERLINK("J:\Depot - mpkCCD Fractions\Main Web Page\Web Pages_old\proteomic_fractions_linear_files/Yang_linear_img/6754696.jpg","show blot")</f>
        <v>show blot</v>
      </c>
      <c r="G4475" t="s">
        <v>4273</v>
      </c>
      <c r="I4475" s="6">
        <v>6.3180717467579877</v>
      </c>
      <c r="K4475" s="8"/>
    </row>
    <row r="4476" spans="1:11" ht="15" x14ac:dyDescent="0.25">
      <c r="A4476" s="3" t="str">
        <f>HYPERLINK("proteomic_fractions_linear_files/Yang_linear_img/343790914;262073012.jpg", "343790914;262073012")</f>
        <v>343790914;262073012</v>
      </c>
      <c r="C4476" s="3" t="str">
        <f>HYPERLINK("http://www.ncbi.nlm.nih.gov/protein/343790914;262073012","Mif4gd")</f>
        <v>Mif4gd</v>
      </c>
      <c r="E4476" t="str">
        <f>HYPERLINK("J:\Depot - mpkCCD Fractions\Main Web Page\Web Pages_old\proteomic_fractions_linear_files/Yang_linear_img/343790914;262073012.jpg","show blot")</f>
        <v>show blot</v>
      </c>
      <c r="G4476" t="s">
        <v>4274</v>
      </c>
      <c r="I4476" s="6">
        <v>3.7901545759384487</v>
      </c>
      <c r="K4476" s="8"/>
    </row>
    <row r="4477" spans="1:11" ht="15" x14ac:dyDescent="0.25">
      <c r="A4477" s="3" t="str">
        <f>HYPERLINK("proteomic_fractions_linear_files/Yang_linear_img/343790916.jpg", "343790916")</f>
        <v>343790916</v>
      </c>
      <c r="C4477" s="3" t="str">
        <f>HYPERLINK("http://www.ncbi.nlm.nih.gov/protein/343790916","Mif4gd")</f>
        <v>Mif4gd</v>
      </c>
      <c r="E4477" t="str">
        <f>HYPERLINK("J:\Depot - mpkCCD Fractions\Main Web Page\Web Pages_old\proteomic_fractions_linear_files/Yang_linear_img/343790916.jpg","show blot")</f>
        <v>show blot</v>
      </c>
      <c r="G4477" t="s">
        <v>4275</v>
      </c>
      <c r="I4477" s="6">
        <v>3.7901545759384487</v>
      </c>
      <c r="K4477" s="8"/>
    </row>
    <row r="4478" spans="1:11" ht="15" x14ac:dyDescent="0.25">
      <c r="A4478" s="3" t="str">
        <f>HYPERLINK("proteomic_fractions_linear_files/Yang_linear_img/256355182.jpg", "256355182")</f>
        <v>256355182</v>
      </c>
      <c r="C4478" s="3" t="str">
        <f>HYPERLINK("http://www.ncbi.nlm.nih.gov/protein/256355182","Mina")</f>
        <v>Mina</v>
      </c>
      <c r="E4478" t="str">
        <f>HYPERLINK("J:\Depot - mpkCCD Fractions\Main Web Page\Web Pages_old\proteomic_fractions_linear_files/Yang_linear_img/256355182.jpg","show blot")</f>
        <v>show blot</v>
      </c>
      <c r="G4478" t="s">
        <v>4276</v>
      </c>
      <c r="I4478" s="6">
        <v>4.4546205202599696</v>
      </c>
      <c r="K4478" s="8"/>
    </row>
    <row r="4479" spans="1:11" ht="15" x14ac:dyDescent="0.25">
      <c r="A4479" s="3" t="str">
        <f>HYPERLINK("proteomic_fractions_linear_files/Yang_linear_img/114052104.jpg", "114052104")</f>
        <v>114052104</v>
      </c>
      <c r="C4479" s="3" t="str">
        <f>HYPERLINK("http://www.ncbi.nlm.nih.gov/protein/114052104","Mink1")</f>
        <v>Mink1</v>
      </c>
      <c r="E4479" t="str">
        <f>HYPERLINK("J:\Depot - mpkCCD Fractions\Main Web Page\Web Pages_old\proteomic_fractions_linear_files/Yang_linear_img/114052104.jpg","show blot")</f>
        <v>show blot</v>
      </c>
      <c r="G4479" t="s">
        <v>4277</v>
      </c>
      <c r="I4479" s="6">
        <v>2.5421003444230799</v>
      </c>
      <c r="K4479" s="8"/>
    </row>
    <row r="4480" spans="1:11" ht="15" x14ac:dyDescent="0.25">
      <c r="A4480" s="3" t="str">
        <f>HYPERLINK("proteomic_fractions_linear_files/Yang_linear_img/114052416.jpg", "114052416")</f>
        <v>114052416</v>
      </c>
      <c r="C4480" s="3" t="str">
        <f>HYPERLINK("http://www.ncbi.nlm.nih.gov/protein/114052416","Mink1")</f>
        <v>Mink1</v>
      </c>
      <c r="E4480" t="str">
        <f>HYPERLINK("J:\Depot - mpkCCD Fractions\Main Web Page\Web Pages_old\proteomic_fractions_linear_files/Yang_linear_img/114052416.jpg","show blot")</f>
        <v>show blot</v>
      </c>
      <c r="G4480" t="s">
        <v>4278</v>
      </c>
      <c r="I4480" s="6">
        <v>2.5421003444230799</v>
      </c>
      <c r="K4480" s="8"/>
    </row>
    <row r="4481" spans="1:11" ht="15" x14ac:dyDescent="0.25">
      <c r="A4481" s="3" t="str">
        <f>HYPERLINK("proteomic_fractions_linear_files/Yang_linear_img/114052442.jpg", "114052442")</f>
        <v>114052442</v>
      </c>
      <c r="C4481" s="3" t="str">
        <f>HYPERLINK("http://www.ncbi.nlm.nih.gov/protein/114052442","Mink1")</f>
        <v>Mink1</v>
      </c>
      <c r="E4481" t="str">
        <f>HYPERLINK("J:\Depot - mpkCCD Fractions\Main Web Page\Web Pages_old\proteomic_fractions_linear_files/Yang_linear_img/114052442.jpg","show blot")</f>
        <v>show blot</v>
      </c>
      <c r="G4481" t="s">
        <v>4279</v>
      </c>
      <c r="I4481" s="6">
        <v>2.5421003444230799</v>
      </c>
      <c r="K4481" s="8"/>
    </row>
    <row r="4482" spans="1:11" ht="15" x14ac:dyDescent="0.25">
      <c r="A4482" s="3" t="str">
        <f>HYPERLINK("proteomic_fractions_linear_files/Yang_linear_img/114052522.jpg", "114052522")</f>
        <v>114052522</v>
      </c>
      <c r="C4482" s="3" t="str">
        <f>HYPERLINK("http://www.ncbi.nlm.nih.gov/protein/114052522","Mink1")</f>
        <v>Mink1</v>
      </c>
      <c r="E4482" t="str">
        <f>HYPERLINK("J:\Depot - mpkCCD Fractions\Main Web Page\Web Pages_old\proteomic_fractions_linear_files/Yang_linear_img/114052522.jpg","show blot")</f>
        <v>show blot</v>
      </c>
      <c r="G4482" t="s">
        <v>4280</v>
      </c>
      <c r="I4482" s="6">
        <v>2.5421003444230799</v>
      </c>
      <c r="K4482" s="8"/>
    </row>
    <row r="4483" spans="1:11" ht="15" x14ac:dyDescent="0.25">
      <c r="A4483" s="3" t="str">
        <f>HYPERLINK("proteomic_fractions_linear_files/Yang_linear_img/244791232.jpg", "244791232")</f>
        <v>244791232</v>
      </c>
      <c r="C4483" s="3" t="str">
        <f>HYPERLINK("http://www.ncbi.nlm.nih.gov/protein/244791232","Minos1")</f>
        <v>Minos1</v>
      </c>
      <c r="E4483" t="str">
        <f>HYPERLINK("J:\Depot - mpkCCD Fractions\Main Web Page\Web Pages_old\proteomic_fractions_linear_files/Yang_linear_img/244791232.jpg","show blot")</f>
        <v>show blot</v>
      </c>
      <c r="G4483" t="s">
        <v>4281</v>
      </c>
      <c r="I4483" s="6">
        <v>4.6200670557240811</v>
      </c>
      <c r="K4483" s="8"/>
    </row>
    <row r="4484" spans="1:11" ht="15" x14ac:dyDescent="0.25">
      <c r="A4484" s="3" t="str">
        <f>HYPERLINK("proteomic_fractions_linear_files/Yang_linear_img/6754698.jpg", "6754698")</f>
        <v>6754698</v>
      </c>
      <c r="C4484" s="3" t="str">
        <f>HYPERLINK("http://www.ncbi.nlm.nih.gov/protein/6754698","Minpp1")</f>
        <v>Minpp1</v>
      </c>
      <c r="E4484" t="str">
        <f>HYPERLINK("J:\Depot - mpkCCD Fractions\Main Web Page\Web Pages_old\proteomic_fractions_linear_files/Yang_linear_img/6754698.jpg","show blot")</f>
        <v>show blot</v>
      </c>
      <c r="G4484" t="s">
        <v>4282</v>
      </c>
      <c r="I4484" s="6">
        <v>3.6762852896206009</v>
      </c>
      <c r="K4484" s="8"/>
    </row>
    <row r="4485" spans="1:11" ht="15" x14ac:dyDescent="0.25">
      <c r="A4485" s="3" t="str">
        <f>HYPERLINK("proteomic_fractions_linear_files/Yang_linear_img/213021192.jpg", "213021192")</f>
        <v>213021192</v>
      </c>
      <c r="C4485" s="3" t="str">
        <f>HYPERLINK("http://www.ncbi.nlm.nih.gov/protein/213021192","Mios")</f>
        <v>Mios</v>
      </c>
      <c r="E4485" t="str">
        <f>HYPERLINK("J:\Depot - mpkCCD Fractions\Main Web Page\Web Pages_old\proteomic_fractions_linear_files/Yang_linear_img/213021192.jpg","show blot")</f>
        <v>show blot</v>
      </c>
      <c r="G4485" t="s">
        <v>4283</v>
      </c>
      <c r="I4485" s="6">
        <v>3.8017540876555809</v>
      </c>
      <c r="K4485" s="8"/>
    </row>
    <row r="4486" spans="1:11" ht="15" x14ac:dyDescent="0.25">
      <c r="A4486" s="3" t="str">
        <f>HYPERLINK("proteomic_fractions_linear_files/Yang_linear_img/256418961.jpg", "256418961")</f>
        <v>256418961</v>
      </c>
      <c r="C4486" s="3" t="str">
        <f>HYPERLINK("http://www.ncbi.nlm.nih.gov/protein/256418961","Mipol1")</f>
        <v>Mipol1</v>
      </c>
      <c r="E4486" t="str">
        <f>HYPERLINK("J:\Depot - mpkCCD Fractions\Main Web Page\Web Pages_old\proteomic_fractions_linear_files/Yang_linear_img/256418961.jpg","show blot")</f>
        <v>show blot</v>
      </c>
      <c r="G4486" t="s">
        <v>4284</v>
      </c>
      <c r="I4486" s="6">
        <v>4.635611455821075</v>
      </c>
      <c r="K4486" s="8"/>
    </row>
    <row r="4487" spans="1:11" ht="15" x14ac:dyDescent="0.25">
      <c r="A4487" s="3" t="str">
        <f>HYPERLINK("proteomic_fractions_linear_files/Yang_linear_img/70909369.jpg", "70909369")</f>
        <v>70909369</v>
      </c>
      <c r="C4487" s="3" t="str">
        <f>HYPERLINK("http://www.ncbi.nlm.nih.gov/protein/70909369","Mis18a")</f>
        <v>Mis18a</v>
      </c>
      <c r="E4487" t="str">
        <f>HYPERLINK("J:\Depot - mpkCCD Fractions\Main Web Page\Web Pages_old\proteomic_fractions_linear_files/Yang_linear_img/70909369.jpg","show blot")</f>
        <v>show blot</v>
      </c>
      <c r="G4487" t="s">
        <v>4285</v>
      </c>
      <c r="I4487" s="6">
        <v>3.4828610606133208</v>
      </c>
      <c r="K4487" s="8"/>
    </row>
    <row r="4488" spans="1:11" ht="15" x14ac:dyDescent="0.25">
      <c r="A4488" s="3" t="str">
        <f>HYPERLINK("proteomic_fractions_linear_files/Yang_linear_img/110625710.jpg", "110625710")</f>
        <v>110625710</v>
      </c>
      <c r="C4488" s="3" t="str">
        <f>HYPERLINK("http://www.ncbi.nlm.nih.gov/protein/110625710","Mitd1")</f>
        <v>Mitd1</v>
      </c>
      <c r="E4488" t="str">
        <f>HYPERLINK("J:\Depot - mpkCCD Fractions\Main Web Page\Web Pages_old\proteomic_fractions_linear_files/Yang_linear_img/110625710.jpg","show blot")</f>
        <v>show blot</v>
      </c>
      <c r="G4488" t="s">
        <v>4286</v>
      </c>
      <c r="I4488" s="6">
        <v>3.8287742562014548</v>
      </c>
      <c r="K4488" s="8"/>
    </row>
    <row r="4489" spans="1:11" ht="15" x14ac:dyDescent="0.25">
      <c r="A4489" s="3" t="str">
        <f>HYPERLINK("proteomic_fractions_linear_files/Yang_linear_img/127138894.jpg", "127138894")</f>
        <v>127138894</v>
      </c>
      <c r="C4489" s="3" t="str">
        <f>HYPERLINK("http://www.ncbi.nlm.nih.gov/protein/127138894","Mkl1")</f>
        <v>Mkl1</v>
      </c>
      <c r="E4489" t="str">
        <f>HYPERLINK("J:\Depot - mpkCCD Fractions\Main Web Page\Web Pages_old\proteomic_fractions_linear_files/Yang_linear_img/127138894.jpg","show blot")</f>
        <v>show blot</v>
      </c>
      <c r="G4489" t="s">
        <v>4287</v>
      </c>
      <c r="I4489" s="6">
        <v>4.1519299571439179</v>
      </c>
      <c r="K4489" s="8"/>
    </row>
    <row r="4490" spans="1:11" ht="15" x14ac:dyDescent="0.25">
      <c r="A4490" s="3" t="str">
        <f>HYPERLINK("proteomic_fractions_linear_files/Yang_linear_img/127139379.jpg", "127139379")</f>
        <v>127139379</v>
      </c>
      <c r="C4490" s="3" t="str">
        <f>HYPERLINK("http://www.ncbi.nlm.nih.gov/protein/127139379","Mkl1")</f>
        <v>Mkl1</v>
      </c>
      <c r="E4490" t="str">
        <f>HYPERLINK("J:\Depot - mpkCCD Fractions\Main Web Page\Web Pages_old\proteomic_fractions_linear_files/Yang_linear_img/127139379.jpg","show blot")</f>
        <v>show blot</v>
      </c>
      <c r="G4490" t="s">
        <v>4288</v>
      </c>
      <c r="I4490" s="6">
        <v>4.1519299571439179</v>
      </c>
      <c r="K4490" s="8"/>
    </row>
    <row r="4491" spans="1:11" ht="15" x14ac:dyDescent="0.25">
      <c r="A4491" s="3" t="str">
        <f>HYPERLINK("proteomic_fractions_linear_files/Yang_linear_img/169881261.jpg", "169881261")</f>
        <v>169881261</v>
      </c>
      <c r="C4491" s="3" t="str">
        <f>HYPERLINK("http://www.ncbi.nlm.nih.gov/protein/169881261","Mkl2")</f>
        <v>Mkl2</v>
      </c>
      <c r="E4491" t="str">
        <f>HYPERLINK("J:\Depot - mpkCCD Fractions\Main Web Page\Web Pages_old\proteomic_fractions_linear_files/Yang_linear_img/169881261.jpg","show blot")</f>
        <v>show blot</v>
      </c>
      <c r="G4491" t="s">
        <v>4289</v>
      </c>
      <c r="I4491" s="6">
        <v>4.1938685530583815</v>
      </c>
      <c r="K4491" s="8"/>
    </row>
    <row r="4492" spans="1:11" ht="15" x14ac:dyDescent="0.25">
      <c r="A4492" s="3" t="str">
        <f>HYPERLINK("proteomic_fractions_linear_files/Yang_linear_img/237820633.jpg", "237820633")</f>
        <v>237820633</v>
      </c>
      <c r="C4492" s="3" t="str">
        <f>HYPERLINK("http://www.ncbi.nlm.nih.gov/protein/237820633","Mkl2")</f>
        <v>Mkl2</v>
      </c>
      <c r="E4492" t="str">
        <f>HYPERLINK("J:\Depot - mpkCCD Fractions\Main Web Page\Web Pages_old\proteomic_fractions_linear_files/Yang_linear_img/237820633.jpg","show blot")</f>
        <v>show blot</v>
      </c>
      <c r="G4492" t="s">
        <v>4290</v>
      </c>
      <c r="I4492" s="6">
        <v>4.1938685530583815</v>
      </c>
      <c r="K4492" s="8"/>
    </row>
    <row r="4493" spans="1:11" ht="15" x14ac:dyDescent="0.25">
      <c r="A4493" s="3" t="str">
        <f>HYPERLINK("proteomic_fractions_linear_files/Yang_linear_img/7305271.jpg", "7305271")</f>
        <v>7305271</v>
      </c>
      <c r="C4493" s="3" t="str">
        <f>HYPERLINK("http://www.ncbi.nlm.nih.gov/protein/7305271","Mkln1")</f>
        <v>Mkln1</v>
      </c>
      <c r="E4493" t="str">
        <f>HYPERLINK("J:\Depot - mpkCCD Fractions\Main Web Page\Web Pages_old\proteomic_fractions_linear_files/Yang_linear_img/7305271.jpg","show blot")</f>
        <v>show blot</v>
      </c>
      <c r="G4493" t="s">
        <v>4291</v>
      </c>
      <c r="I4493" s="6">
        <v>3.8720543953955957</v>
      </c>
      <c r="K4493" s="8"/>
    </row>
    <row r="4494" spans="1:11" ht="15" x14ac:dyDescent="0.25">
      <c r="A4494" s="3" t="str">
        <f>HYPERLINK("proteomic_fractions_linear_files/Yang_linear_img/10946852.jpg", "10946852")</f>
        <v>10946852</v>
      </c>
      <c r="C4494" s="3" t="str">
        <f>HYPERLINK("http://www.ncbi.nlm.nih.gov/protein/10946852","Mknk2")</f>
        <v>Mknk2</v>
      </c>
      <c r="E4494" t="str">
        <f>HYPERLINK("J:\Depot - mpkCCD Fractions\Main Web Page\Web Pages_old\proteomic_fractions_linear_files/Yang_linear_img/10946852.jpg","show blot")</f>
        <v>show blot</v>
      </c>
      <c r="G4494" t="s">
        <v>4292</v>
      </c>
      <c r="I4494" s="6">
        <v>3.5268825084840683</v>
      </c>
      <c r="K4494" s="8"/>
    </row>
    <row r="4495" spans="1:11" ht="15" x14ac:dyDescent="0.25">
      <c r="A4495" s="3" t="str">
        <f>HYPERLINK("proteomic_fractions_linear_files/Yang_linear_img/88853570.jpg", "88853570")</f>
        <v>88853570</v>
      </c>
      <c r="C4495" s="3" t="str">
        <f>HYPERLINK("http://www.ncbi.nlm.nih.gov/protein/88853570","Mkrn2")</f>
        <v>Mkrn2</v>
      </c>
      <c r="E4495" t="str">
        <f>HYPERLINK("J:\Depot - mpkCCD Fractions\Main Web Page\Web Pages_old\proteomic_fractions_linear_files/Yang_linear_img/88853570.jpg","show blot")</f>
        <v>show blot</v>
      </c>
      <c r="G4495" t="s">
        <v>4293</v>
      </c>
      <c r="I4495" s="6">
        <v>3.431577109299158</v>
      </c>
      <c r="K4495" s="8"/>
    </row>
    <row r="4496" spans="1:11" ht="15" x14ac:dyDescent="0.25">
      <c r="A4496" s="3" t="str">
        <f>HYPERLINK("proteomic_fractions_linear_files/Yang_linear_img/188497650.jpg", "188497650")</f>
        <v>188497650</v>
      </c>
      <c r="C4496" s="3" t="str">
        <f>HYPERLINK("http://www.ncbi.nlm.nih.gov/protein/188497650","Mlec")</f>
        <v>Mlec</v>
      </c>
      <c r="E4496" t="str">
        <f>HYPERLINK("J:\Depot - mpkCCD Fractions\Main Web Page\Web Pages_old\proteomic_fractions_linear_files/Yang_linear_img/188497650.jpg","show blot")</f>
        <v>show blot</v>
      </c>
      <c r="G4496" t="s">
        <v>4294</v>
      </c>
      <c r="I4496" s="6">
        <v>5.7849791055367437</v>
      </c>
      <c r="K4496" s="8"/>
    </row>
    <row r="4497" spans="1:11" ht="15" x14ac:dyDescent="0.25">
      <c r="A4497" s="3" t="str">
        <f>HYPERLINK("proteomic_fractions_linear_files/Yang_linear_img/21703770.jpg", "21703770")</f>
        <v>21703770</v>
      </c>
      <c r="C4497" s="3" t="str">
        <f>HYPERLINK("http://www.ncbi.nlm.nih.gov/protein/21703770","Mlf2")</f>
        <v>Mlf2</v>
      </c>
      <c r="E4497" t="str">
        <f>HYPERLINK("J:\Depot - mpkCCD Fractions\Main Web Page\Web Pages_old\proteomic_fractions_linear_files/Yang_linear_img/21703770.jpg","show blot")</f>
        <v>show blot</v>
      </c>
      <c r="G4497" t="s">
        <v>4295</v>
      </c>
      <c r="I4497" s="6">
        <v>4.3759884087692082</v>
      </c>
      <c r="K4497" s="8"/>
    </row>
    <row r="4498" spans="1:11" ht="15" x14ac:dyDescent="0.25">
      <c r="A4498" s="3" t="str">
        <f>HYPERLINK("proteomic_fractions_linear_files/Yang_linear_img/110626037.jpg", "110626037")</f>
        <v>110626037</v>
      </c>
      <c r="C4498" s="3" t="str">
        <f>HYPERLINK("http://www.ncbi.nlm.nih.gov/protein/110626037","Mlkl")</f>
        <v>Mlkl</v>
      </c>
      <c r="E4498" t="str">
        <f>HYPERLINK("J:\Depot - mpkCCD Fractions\Main Web Page\Web Pages_old\proteomic_fractions_linear_files/Yang_linear_img/110626037.jpg","show blot")</f>
        <v>show blot</v>
      </c>
      <c r="G4498" t="s">
        <v>4296</v>
      </c>
      <c r="I4498" s="6">
        <v>4.5069178906722787</v>
      </c>
      <c r="K4498" s="8"/>
    </row>
    <row r="4499" spans="1:11" ht="15" x14ac:dyDescent="0.25">
      <c r="A4499" s="3" t="str">
        <f>HYPERLINK("proteomic_fractions_linear_files/Yang_linear_img/11612511.jpg", "11612511")</f>
        <v>11612511</v>
      </c>
      <c r="C4499" s="3" t="str">
        <f>HYPERLINK("http://www.ncbi.nlm.nih.gov/protein/11612511","Mllt1")</f>
        <v>Mllt1</v>
      </c>
      <c r="E4499" t="str">
        <f>HYPERLINK("J:\Depot - mpkCCD Fractions\Main Web Page\Web Pages_old\proteomic_fractions_linear_files/Yang_linear_img/11612511.jpg","show blot")</f>
        <v>show blot</v>
      </c>
      <c r="G4499" t="s">
        <v>4297</v>
      </c>
      <c r="I4499" s="6">
        <v>2.9444367619913456</v>
      </c>
      <c r="K4499" s="8"/>
    </row>
    <row r="4500" spans="1:11" ht="15" x14ac:dyDescent="0.25">
      <c r="A4500" s="3" t="str">
        <f>HYPERLINK("proteomic_fractions_linear_files/Yang_linear_img/145587092.jpg", "145587092")</f>
        <v>145587092</v>
      </c>
      <c r="C4500" s="3" t="str">
        <f>HYPERLINK("http://www.ncbi.nlm.nih.gov/protein/145587092","Mllt4")</f>
        <v>Mllt4</v>
      </c>
      <c r="E4500" t="str">
        <f>HYPERLINK("J:\Depot - mpkCCD Fractions\Main Web Page\Web Pages_old\proteomic_fractions_linear_files/Yang_linear_img/145587092.jpg","show blot")</f>
        <v>show blot</v>
      </c>
      <c r="G4500" t="s">
        <v>4298</v>
      </c>
      <c r="I4500" s="6">
        <v>4.880785274033884</v>
      </c>
      <c r="K4500" s="8"/>
    </row>
    <row r="4501" spans="1:11" ht="15" x14ac:dyDescent="0.25">
      <c r="A4501" s="3" t="str">
        <f>HYPERLINK("proteomic_fractions_linear_files/Yang_linear_img/357197121;357197118.jpg", "357197121;357197118")</f>
        <v>357197121;357197118</v>
      </c>
      <c r="C4501" s="3" t="str">
        <f>HYPERLINK("http://www.ncbi.nlm.nih.gov/protein/357197121;357197118","Mlst8")</f>
        <v>Mlst8</v>
      </c>
      <c r="E4501" t="str">
        <f>HYPERLINK("J:\Depot - mpkCCD Fractions\Main Web Page\Web Pages_old\proteomic_fractions_linear_files/Yang_linear_img/357197121;357197118.jpg","show blot")</f>
        <v>show blot</v>
      </c>
      <c r="G4501" t="s">
        <v>4299</v>
      </c>
      <c r="I4501" s="6">
        <v>4.5095436896455325</v>
      </c>
      <c r="K4501" s="8"/>
    </row>
    <row r="4502" spans="1:11" ht="15" x14ac:dyDescent="0.25">
      <c r="A4502" s="3" t="str">
        <f>HYPERLINK("proteomic_fractions_linear_files/Yang_linear_img/357197118.jpg", "357197118")</f>
        <v>357197118</v>
      </c>
      <c r="C4502" s="3" t="str">
        <f>HYPERLINK("http://www.ncbi.nlm.nih.gov/protein/357197118","Mlst8")</f>
        <v>Mlst8</v>
      </c>
      <c r="E4502" t="str">
        <f>HYPERLINK("J:\Depot - mpkCCD Fractions\Main Web Page\Web Pages_old\proteomic_fractions_linear_files/Yang_linear_img/357197118.jpg","show blot")</f>
        <v>show blot</v>
      </c>
      <c r="G4502" t="s">
        <v>4299</v>
      </c>
      <c r="I4502" s="6">
        <v>4.5095436896455325</v>
      </c>
      <c r="K4502" s="8"/>
    </row>
    <row r="4503" spans="1:11" ht="15" x14ac:dyDescent="0.25">
      <c r="A4503" s="3" t="str">
        <f>HYPERLINK("proteomic_fractions_linear_files/Yang_linear_img/357197123.jpg", "357197123")</f>
        <v>357197123</v>
      </c>
      <c r="C4503" s="3" t="str">
        <f>HYPERLINK("http://www.ncbi.nlm.nih.gov/protein/357197123","Mlst8")</f>
        <v>Mlst8</v>
      </c>
      <c r="E4503" t="str">
        <f>HYPERLINK("J:\Depot - mpkCCD Fractions\Main Web Page\Web Pages_old\proteomic_fractions_linear_files/Yang_linear_img/357197123.jpg","show blot")</f>
        <v>show blot</v>
      </c>
      <c r="G4503" t="s">
        <v>4300</v>
      </c>
      <c r="I4503" s="6">
        <v>4.5095436896455325</v>
      </c>
      <c r="K4503" s="8"/>
    </row>
    <row r="4504" spans="1:11" ht="15" x14ac:dyDescent="0.25">
      <c r="A4504" s="3" t="str">
        <f>HYPERLINK("proteomic_fractions_linear_files/Yang_linear_img/56797739.jpg", "56797739")</f>
        <v>56797739</v>
      </c>
      <c r="C4504" s="3" t="str">
        <f>HYPERLINK("http://www.ncbi.nlm.nih.gov/protein/56797739","Mlycd")</f>
        <v>Mlycd</v>
      </c>
      <c r="E4504" t="str">
        <f>HYPERLINK("J:\Depot - mpkCCD Fractions\Main Web Page\Web Pages_old\proteomic_fractions_linear_files/Yang_linear_img/56797739.jpg","show blot")</f>
        <v>show blot</v>
      </c>
      <c r="G4504" t="s">
        <v>4301</v>
      </c>
      <c r="I4504" s="6">
        <v>2.6986738684836995</v>
      </c>
      <c r="K4504" s="8"/>
    </row>
    <row r="4505" spans="1:11" ht="15" x14ac:dyDescent="0.25">
      <c r="A4505" s="3" t="str">
        <f>HYPERLINK("proteomic_fractions_linear_files/Yang_linear_img/21313396.jpg", "21313396")</f>
        <v>21313396</v>
      </c>
      <c r="C4505" s="3" t="str">
        <f>HYPERLINK("http://www.ncbi.nlm.nih.gov/protein/21313396","Mmab")</f>
        <v>Mmab</v>
      </c>
      <c r="E4505" t="str">
        <f>HYPERLINK("J:\Depot - mpkCCD Fractions\Main Web Page\Web Pages_old\proteomic_fractions_linear_files/Yang_linear_img/21313396.jpg","show blot")</f>
        <v>show blot</v>
      </c>
      <c r="G4505" t="s">
        <v>4302</v>
      </c>
      <c r="I4505" s="6">
        <v>3.7496952435703066</v>
      </c>
      <c r="K4505" s="8"/>
    </row>
    <row r="4506" spans="1:11" ht="15" x14ac:dyDescent="0.25">
      <c r="A4506" s="3" t="str">
        <f>HYPERLINK("proteomic_fractions_linear_files/Yang_linear_img/31543255.jpg", "31543255")</f>
        <v>31543255</v>
      </c>
      <c r="C4506" s="3" t="str">
        <f>HYPERLINK("http://www.ncbi.nlm.nih.gov/protein/31543255","Mme")</f>
        <v>Mme</v>
      </c>
      <c r="E4506" t="str">
        <f>HYPERLINK("J:\Depot - mpkCCD Fractions\Main Web Page\Web Pages_old\proteomic_fractions_linear_files/Yang_linear_img/31543255.jpg","show blot")</f>
        <v>show blot</v>
      </c>
      <c r="G4506" t="s">
        <v>4303</v>
      </c>
      <c r="I4506" s="6">
        <v>3.8810590166099592</v>
      </c>
      <c r="K4506" s="8"/>
    </row>
    <row r="4507" spans="1:11" ht="15" x14ac:dyDescent="0.25">
      <c r="A4507" s="3" t="str">
        <f>HYPERLINK("proteomic_fractions_linear_files/Yang_linear_img/22122803.jpg", "22122803")</f>
        <v>22122803</v>
      </c>
      <c r="C4507" s="3" t="str">
        <f>HYPERLINK("http://www.ncbi.nlm.nih.gov/protein/22122803","Mmgt1")</f>
        <v>Mmgt1</v>
      </c>
      <c r="E4507" t="str">
        <f>HYPERLINK("J:\Depot - mpkCCD Fractions\Main Web Page\Web Pages_old\proteomic_fractions_linear_files/Yang_linear_img/22122803.jpg","show blot")</f>
        <v>show blot</v>
      </c>
      <c r="G4507" t="s">
        <v>4304</v>
      </c>
      <c r="I4507" s="6">
        <v>3.6688875387560311</v>
      </c>
      <c r="K4507" s="8"/>
    </row>
    <row r="4508" spans="1:11" ht="15" x14ac:dyDescent="0.25">
      <c r="A4508" s="3" t="str">
        <f>HYPERLINK("proteomic_fractions_linear_files/Yang_linear_img/188528637.jpg", "188528637")</f>
        <v>188528637</v>
      </c>
      <c r="C4508" s="3" t="str">
        <f>HYPERLINK("http://www.ncbi.nlm.nih.gov/protein/188528637","Mmp14")</f>
        <v>Mmp14</v>
      </c>
      <c r="E4508" t="str">
        <f>HYPERLINK("J:\Depot - mpkCCD Fractions\Main Web Page\Web Pages_old\proteomic_fractions_linear_files/Yang_linear_img/188528637.jpg","show blot")</f>
        <v>show blot</v>
      </c>
      <c r="G4508" t="s">
        <v>4305</v>
      </c>
      <c r="I4508" s="6">
        <v>1.6932691014977854</v>
      </c>
      <c r="K4508" s="8"/>
    </row>
    <row r="4509" spans="1:11" ht="15" x14ac:dyDescent="0.25">
      <c r="A4509" s="3" t="str">
        <f>HYPERLINK("proteomic_fractions_linear_files/Yang_linear_img/23308683.jpg", "23308683")</f>
        <v>23308683</v>
      </c>
      <c r="C4509" s="3" t="str">
        <f>HYPERLINK("http://www.ncbi.nlm.nih.gov/protein/23308683","Mmp21")</f>
        <v>Mmp21</v>
      </c>
      <c r="E4509" t="str">
        <f>HYPERLINK("J:\Depot - mpkCCD Fractions\Main Web Page\Web Pages_old\proteomic_fractions_linear_files/Yang_linear_img/23308683.jpg","show blot")</f>
        <v>show blot</v>
      </c>
      <c r="G4509" t="s">
        <v>4306</v>
      </c>
      <c r="I4509" s="6">
        <v>3.4631295254129966</v>
      </c>
      <c r="K4509" s="8"/>
    </row>
    <row r="4510" spans="1:11" ht="15" x14ac:dyDescent="0.25">
      <c r="A4510" s="3" t="str">
        <f>HYPERLINK("proteomic_fractions_linear_files/Yang_linear_img/15100156.jpg", "15100156")</f>
        <v>15100156</v>
      </c>
      <c r="C4510" s="3" t="str">
        <f>HYPERLINK("http://www.ncbi.nlm.nih.gov/protein/15100156","Mms19")</f>
        <v>Mms19</v>
      </c>
      <c r="E4510" t="str">
        <f>HYPERLINK("J:\Depot - mpkCCD Fractions\Main Web Page\Web Pages_old\proteomic_fractions_linear_files/Yang_linear_img/15100156.jpg","show blot")</f>
        <v>show blot</v>
      </c>
      <c r="G4510" t="s">
        <v>4307</v>
      </c>
      <c r="I4510" s="6">
        <v>4.8159554478357931</v>
      </c>
      <c r="K4510" s="8"/>
    </row>
    <row r="4511" spans="1:11" ht="15" x14ac:dyDescent="0.25">
      <c r="A4511" s="3" t="str">
        <f>HYPERLINK("proteomic_fractions_linear_files/Yang_linear_img/253970429.jpg", "253970429")</f>
        <v>253970429</v>
      </c>
      <c r="C4511" s="3" t="str">
        <f>HYPERLINK("http://www.ncbi.nlm.nih.gov/protein/253970429","Mms22l")</f>
        <v>Mms22l</v>
      </c>
      <c r="E4511" t="str">
        <f>HYPERLINK("J:\Depot - mpkCCD Fractions\Main Web Page\Web Pages_old\proteomic_fractions_linear_files/Yang_linear_img/253970429.jpg","show blot")</f>
        <v>show blot</v>
      </c>
      <c r="G4511" t="s">
        <v>4308</v>
      </c>
      <c r="I4511" s="6">
        <v>1.6585214462367635</v>
      </c>
      <c r="K4511" s="8"/>
    </row>
    <row r="4512" spans="1:11" ht="15" x14ac:dyDescent="0.25">
      <c r="A4512" s="3" t="str">
        <f>HYPERLINK("proteomic_fractions_linear_files/Yang_linear_img/89363038.jpg", "89363038")</f>
        <v>89363038</v>
      </c>
      <c r="C4512" s="3" t="str">
        <f>HYPERLINK("http://www.ncbi.nlm.nih.gov/protein/89363038","Mnat1")</f>
        <v>Mnat1</v>
      </c>
      <c r="E4512" t="str">
        <f>HYPERLINK("J:\Depot - mpkCCD Fractions\Main Web Page\Web Pages_old\proteomic_fractions_linear_files/Yang_linear_img/89363038.jpg","show blot")</f>
        <v>show blot</v>
      </c>
      <c r="G4512" t="s">
        <v>4309</v>
      </c>
      <c r="I4512" s="6">
        <v>4.2808486378473853</v>
      </c>
      <c r="K4512" s="8"/>
    </row>
    <row r="4513" spans="1:11" ht="15" x14ac:dyDescent="0.25">
      <c r="A4513" s="3" t="str">
        <f>HYPERLINK("proteomic_fractions_linear_files/Yang_linear_img/84781795.jpg", "84781795")</f>
        <v>84781795</v>
      </c>
      <c r="C4513" s="3" t="str">
        <f>HYPERLINK("http://www.ncbi.nlm.nih.gov/protein/84781795","Mnda")</f>
        <v>Mnda</v>
      </c>
      <c r="E4513" t="str">
        <f>HYPERLINK("J:\Depot - mpkCCD Fractions\Main Web Page\Web Pages_old\proteomic_fractions_linear_files/Yang_linear_img/84781795.jpg","show blot")</f>
        <v>show blot</v>
      </c>
      <c r="G4513" t="s">
        <v>4310</v>
      </c>
      <c r="I4513" s="6">
        <v>5.7836457579326934</v>
      </c>
      <c r="K4513" s="8"/>
    </row>
    <row r="4514" spans="1:11" ht="15" x14ac:dyDescent="0.25">
      <c r="A4514" s="3" t="str">
        <f>HYPERLINK("proteomic_fractions_linear_files/Yang_linear_img/21704148.jpg", "21704148")</f>
        <v>21704148</v>
      </c>
      <c r="C4514" s="3" t="str">
        <f>HYPERLINK("http://www.ncbi.nlm.nih.gov/protein/21704148","Mob1a")</f>
        <v>Mob1a</v>
      </c>
      <c r="E4514" t="str">
        <f>HYPERLINK("J:\Depot - mpkCCD Fractions\Main Web Page\Web Pages_old\proteomic_fractions_linear_files/Yang_linear_img/21704148.jpg","show blot")</f>
        <v>show blot</v>
      </c>
      <c r="G4514" t="s">
        <v>4311</v>
      </c>
      <c r="I4514" s="6">
        <v>5.271495028686175</v>
      </c>
      <c r="K4514" s="8"/>
    </row>
    <row r="4515" spans="1:11" ht="15" x14ac:dyDescent="0.25">
      <c r="A4515" s="3" t="str">
        <f>HYPERLINK("proteomic_fractions_linear_files/Yang_linear_img/62412947.jpg", "62412947")</f>
        <v>62412947</v>
      </c>
      <c r="C4515" s="3" t="str">
        <f>HYPERLINK("http://www.ncbi.nlm.nih.gov/protein/62412947","Mob1b")</f>
        <v>Mob1b</v>
      </c>
      <c r="E4515" t="str">
        <f>HYPERLINK("J:\Depot - mpkCCD Fractions\Main Web Page\Web Pages_old\proteomic_fractions_linear_files/Yang_linear_img/62412947.jpg","show blot")</f>
        <v>show blot</v>
      </c>
      <c r="G4515" t="s">
        <v>4312</v>
      </c>
      <c r="I4515" s="6">
        <v>5.271495028686175</v>
      </c>
      <c r="K4515" s="8"/>
    </row>
    <row r="4516" spans="1:11" ht="15" x14ac:dyDescent="0.25">
      <c r="A4516" s="3" t="str">
        <f>HYPERLINK("proteomic_fractions_linear_files/Yang_linear_img/20149310.jpg", "20149310")</f>
        <v>20149310</v>
      </c>
      <c r="C4516" s="3" t="str">
        <f>HYPERLINK("http://www.ncbi.nlm.nih.gov/protein/20149310","Mob2")</f>
        <v>Mob2</v>
      </c>
      <c r="E4516" t="str">
        <f>HYPERLINK("J:\Depot - mpkCCD Fractions\Main Web Page\Web Pages_old\proteomic_fractions_linear_files/Yang_linear_img/20149310.jpg","show blot")</f>
        <v>show blot</v>
      </c>
      <c r="G4516" t="s">
        <v>4313</v>
      </c>
      <c r="I4516" s="6">
        <v>4.110289867391665</v>
      </c>
      <c r="K4516" s="8"/>
    </row>
    <row r="4517" spans="1:11" ht="15" x14ac:dyDescent="0.25">
      <c r="A4517" s="3" t="str">
        <f>HYPERLINK("proteomic_fractions_linear_files/Yang_linear_img/40254521.jpg", "40254521")</f>
        <v>40254521</v>
      </c>
      <c r="C4517" s="3" t="str">
        <f>HYPERLINK("http://www.ncbi.nlm.nih.gov/protein/40254521","Mob4")</f>
        <v>Mob4</v>
      </c>
      <c r="E4517" t="str">
        <f>HYPERLINK("J:\Depot - mpkCCD Fractions\Main Web Page\Web Pages_old\proteomic_fractions_linear_files/Yang_linear_img/40254521.jpg","show blot")</f>
        <v>show blot</v>
      </c>
      <c r="G4517" t="s">
        <v>4314</v>
      </c>
      <c r="I4517" s="6">
        <v>5.1216103458439006</v>
      </c>
      <c r="K4517" s="8"/>
    </row>
    <row r="4518" spans="1:11" ht="15" x14ac:dyDescent="0.25">
      <c r="A4518" s="3" t="str">
        <f>HYPERLINK("proteomic_fractions_linear_files/Yang_linear_img/161484628.jpg", "161484628")</f>
        <v>161484628</v>
      </c>
      <c r="C4518" s="3" t="str">
        <f>HYPERLINK("http://www.ncbi.nlm.nih.gov/protein/161484628","Mocs1")</f>
        <v>Mocs1</v>
      </c>
      <c r="E4518" t="str">
        <f>HYPERLINK("J:\Depot - mpkCCD Fractions\Main Web Page\Web Pages_old\proteomic_fractions_linear_files/Yang_linear_img/161484628.jpg","show blot")</f>
        <v>show blot</v>
      </c>
      <c r="G4518" t="s">
        <v>4315</v>
      </c>
      <c r="I4518" s="6">
        <v>2.4505163756613735</v>
      </c>
      <c r="K4518" s="8"/>
    </row>
    <row r="4519" spans="1:11" ht="15" x14ac:dyDescent="0.25">
      <c r="A4519" s="3" t="str">
        <f>HYPERLINK("proteomic_fractions_linear_files/Yang_linear_img/237820699.jpg", "237820699")</f>
        <v>237820699</v>
      </c>
      <c r="C4519" s="3" t="str">
        <f>HYPERLINK("http://www.ncbi.nlm.nih.gov/protein/237820699","Mocs3")</f>
        <v>Mocs3</v>
      </c>
      <c r="E4519" t="str">
        <f>HYPERLINK("J:\Depot - mpkCCD Fractions\Main Web Page\Web Pages_old\proteomic_fractions_linear_files/Yang_linear_img/237820699.jpg","show blot")</f>
        <v>show blot</v>
      </c>
      <c r="G4519" t="s">
        <v>4316</v>
      </c>
      <c r="I4519" s="6">
        <v>5.2760536530621041</v>
      </c>
      <c r="K4519" s="8"/>
    </row>
    <row r="4520" spans="1:11" ht="15" x14ac:dyDescent="0.25">
      <c r="A4520" s="3" t="str">
        <f>HYPERLINK("proteomic_fractions_linear_files/Yang_linear_img/31981106.jpg", "31981106")</f>
        <v>31981106</v>
      </c>
      <c r="C4520" s="3" t="str">
        <f>HYPERLINK("http://www.ncbi.nlm.nih.gov/protein/31981106","Mogs")</f>
        <v>Mogs</v>
      </c>
      <c r="E4520" t="str">
        <f>HYPERLINK("J:\Depot - mpkCCD Fractions\Main Web Page\Web Pages_old\proteomic_fractions_linear_files/Yang_linear_img/31981106.jpg","show blot")</f>
        <v>show blot</v>
      </c>
      <c r="G4520" t="s">
        <v>4317</v>
      </c>
      <c r="I4520" s="6">
        <v>4.7776546286955277</v>
      </c>
      <c r="K4520" s="8"/>
    </row>
    <row r="4521" spans="1:11" ht="15" x14ac:dyDescent="0.25">
      <c r="A4521" s="3" t="str">
        <f>HYPERLINK("proteomic_fractions_linear_files/Yang_linear_img/21312179.jpg", "21312179")</f>
        <v>21312179</v>
      </c>
      <c r="C4521" s="3" t="str">
        <f>HYPERLINK("http://www.ncbi.nlm.nih.gov/protein/21312179","Mon1a")</f>
        <v>Mon1a</v>
      </c>
      <c r="E4521" t="str">
        <f>HYPERLINK("J:\Depot - mpkCCD Fractions\Main Web Page\Web Pages_old\proteomic_fractions_linear_files/Yang_linear_img/21312179.jpg","show blot")</f>
        <v>show blot</v>
      </c>
      <c r="G4521" t="s">
        <v>4318</v>
      </c>
      <c r="I4521" s="6">
        <v>1.9872048017595707</v>
      </c>
      <c r="K4521" s="8"/>
    </row>
    <row r="4522" spans="1:11" ht="15" x14ac:dyDescent="0.25">
      <c r="A4522" s="3" t="str">
        <f>HYPERLINK("proteomic_fractions_linear_files/Yang_linear_img/27370524.jpg", "27370524")</f>
        <v>27370524</v>
      </c>
      <c r="C4522" s="3" t="str">
        <f>HYPERLINK("http://www.ncbi.nlm.nih.gov/protein/27370524","Mon1b")</f>
        <v>Mon1b</v>
      </c>
      <c r="E4522" t="str">
        <f>HYPERLINK("J:\Depot - mpkCCD Fractions\Main Web Page\Web Pages_old\proteomic_fractions_linear_files/Yang_linear_img/27370524.jpg","show blot")</f>
        <v>show blot</v>
      </c>
      <c r="G4522" t="s">
        <v>4319</v>
      </c>
      <c r="I4522" s="6">
        <v>2.4436916854790147</v>
      </c>
      <c r="K4522" s="8"/>
    </row>
    <row r="4523" spans="1:11" ht="15" x14ac:dyDescent="0.25">
      <c r="A4523" s="3" t="str">
        <f>HYPERLINK("proteomic_fractions_linear_files/Yang_linear_img/253683420.jpg", "253683420")</f>
        <v>253683420</v>
      </c>
      <c r="C4523" s="3" t="str">
        <f>HYPERLINK("http://www.ncbi.nlm.nih.gov/protein/253683420","Mon2")</f>
        <v>Mon2</v>
      </c>
      <c r="E4523" t="str">
        <f>HYPERLINK("J:\Depot - mpkCCD Fractions\Main Web Page\Web Pages_old\proteomic_fractions_linear_files/Yang_linear_img/253683420.jpg","show blot")</f>
        <v>show blot</v>
      </c>
      <c r="G4523" t="s">
        <v>4320</v>
      </c>
      <c r="I4523" s="6">
        <v>5.050049668521905</v>
      </c>
      <c r="K4523" s="8"/>
    </row>
    <row r="4524" spans="1:11" ht="15" x14ac:dyDescent="0.25">
      <c r="A4524" s="3" t="str">
        <f>HYPERLINK("proteomic_fractions_linear_files/Yang_linear_img/253683422.jpg", "253683422")</f>
        <v>253683422</v>
      </c>
      <c r="C4524" s="3" t="str">
        <f>HYPERLINK("http://www.ncbi.nlm.nih.gov/protein/253683422","Mon2")</f>
        <v>Mon2</v>
      </c>
      <c r="E4524" t="str">
        <f>HYPERLINK("J:\Depot - mpkCCD Fractions\Main Web Page\Web Pages_old\proteomic_fractions_linear_files/Yang_linear_img/253683422.jpg","show blot")</f>
        <v>show blot</v>
      </c>
      <c r="G4524" t="s">
        <v>4321</v>
      </c>
      <c r="I4524" s="6">
        <v>5.050049668521905</v>
      </c>
      <c r="K4524" s="8"/>
    </row>
    <row r="4525" spans="1:11" ht="15" x14ac:dyDescent="0.25">
      <c r="A4525" s="3" t="str">
        <f>HYPERLINK("proteomic_fractions_linear_files/Yang_linear_img/253683424.jpg", "253683424")</f>
        <v>253683424</v>
      </c>
      <c r="C4525" s="3" t="str">
        <f>HYPERLINK("http://www.ncbi.nlm.nih.gov/protein/253683424","Mon2")</f>
        <v>Mon2</v>
      </c>
      <c r="E4525" t="str">
        <f>HYPERLINK("J:\Depot - mpkCCD Fractions\Main Web Page\Web Pages_old\proteomic_fractions_linear_files/Yang_linear_img/253683424.jpg","show blot")</f>
        <v>show blot</v>
      </c>
      <c r="G4525" t="s">
        <v>4322</v>
      </c>
      <c r="I4525" s="6">
        <v>5.050049668521905</v>
      </c>
      <c r="K4525" s="8"/>
    </row>
    <row r="4526" spans="1:11" ht="15" x14ac:dyDescent="0.25">
      <c r="A4526" s="3" t="str">
        <f>HYPERLINK("proteomic_fractions_linear_files/Yang_linear_img/13277348.jpg", "13277348")</f>
        <v>13277348</v>
      </c>
      <c r="C4526" s="3" t="str">
        <f>HYPERLINK("http://www.ncbi.nlm.nih.gov/protein/13277348","Morf4l1")</f>
        <v>Morf4l1</v>
      </c>
      <c r="E4526" t="str">
        <f>HYPERLINK("J:\Depot - mpkCCD Fractions\Main Web Page\Web Pages_old\proteomic_fractions_linear_files/Yang_linear_img/13277348.jpg","show blot")</f>
        <v>show blot</v>
      </c>
      <c r="G4526" t="s">
        <v>4323</v>
      </c>
      <c r="I4526" s="6">
        <v>3.1252419525524284</v>
      </c>
      <c r="K4526" s="8"/>
    </row>
    <row r="4527" spans="1:11" ht="15" x14ac:dyDescent="0.25">
      <c r="A4527" s="3" t="str">
        <f>HYPERLINK("proteomic_fractions_linear_files/Yang_linear_img/85540473.jpg", "85540473")</f>
        <v>85540473</v>
      </c>
      <c r="C4527" s="3" t="str">
        <f>HYPERLINK("http://www.ncbi.nlm.nih.gov/protein/85540473","Morf4l1")</f>
        <v>Morf4l1</v>
      </c>
      <c r="E4527" t="str">
        <f>HYPERLINK("J:\Depot - mpkCCD Fractions\Main Web Page\Web Pages_old\proteomic_fractions_linear_files/Yang_linear_img/85540473.jpg","show blot")</f>
        <v>show blot</v>
      </c>
      <c r="G4527" t="s">
        <v>4324</v>
      </c>
      <c r="I4527" s="6">
        <v>3.1252419525524284</v>
      </c>
      <c r="K4527" s="8"/>
    </row>
    <row r="4528" spans="1:11" ht="15" x14ac:dyDescent="0.25">
      <c r="A4528" s="3" t="str">
        <f>HYPERLINK("proteomic_fractions_linear_files/Yang_linear_img/167234396.jpg", "167234396")</f>
        <v>167234396</v>
      </c>
      <c r="C4528" s="3" t="str">
        <f>HYPERLINK("http://www.ncbi.nlm.nih.gov/protein/167234396","Mospd2")</f>
        <v>Mospd2</v>
      </c>
      <c r="E4528" t="str">
        <f>HYPERLINK("J:\Depot - mpkCCD Fractions\Main Web Page\Web Pages_old\proteomic_fractions_linear_files/Yang_linear_img/167234396.jpg","show blot")</f>
        <v>show blot</v>
      </c>
      <c r="G4528" t="s">
        <v>4325</v>
      </c>
      <c r="I4528" s="6">
        <v>3.6900827612349349</v>
      </c>
      <c r="K4528" s="8"/>
    </row>
    <row r="4529" spans="1:11" ht="15" x14ac:dyDescent="0.25">
      <c r="A4529" s="3" t="str">
        <f>HYPERLINK("proteomic_fractions_linear_files/Yang_linear_img/254540179.jpg", "254540179")</f>
        <v>254540179</v>
      </c>
      <c r="C4529" s="3" t="str">
        <f>HYPERLINK("http://www.ncbi.nlm.nih.gov/protein/254540179","Mov10")</f>
        <v>Mov10</v>
      </c>
      <c r="E4529" t="str">
        <f>HYPERLINK("J:\Depot - mpkCCD Fractions\Main Web Page\Web Pages_old\proteomic_fractions_linear_files/Yang_linear_img/254540179.jpg","show blot")</f>
        <v>show blot</v>
      </c>
      <c r="G4529" t="s">
        <v>4326</v>
      </c>
      <c r="I4529" s="6">
        <v>4.8479835159093412</v>
      </c>
      <c r="K4529" s="8"/>
    </row>
    <row r="4530" spans="1:11" ht="15" x14ac:dyDescent="0.25">
      <c r="A4530" s="3" t="str">
        <f>HYPERLINK("proteomic_fractions_linear_files/Yang_linear_img/254540181.jpg", "254540181")</f>
        <v>254540181</v>
      </c>
      <c r="C4530" s="3" t="str">
        <f>HYPERLINK("http://www.ncbi.nlm.nih.gov/protein/254540181","Mov10")</f>
        <v>Mov10</v>
      </c>
      <c r="E4530" t="str">
        <f>HYPERLINK("J:\Depot - mpkCCD Fractions\Main Web Page\Web Pages_old\proteomic_fractions_linear_files/Yang_linear_img/254540181.jpg","show blot")</f>
        <v>show blot</v>
      </c>
      <c r="G4530" t="s">
        <v>4327</v>
      </c>
      <c r="I4530" s="6">
        <v>4.8479835159093412</v>
      </c>
      <c r="K4530" s="8"/>
    </row>
    <row r="4531" spans="1:11" ht="15" x14ac:dyDescent="0.25">
      <c r="A4531" s="3" t="str">
        <f>HYPERLINK("proteomic_fractions_linear_files/Yang_linear_img/9055178.jpg", "9055178")</f>
        <v>9055178</v>
      </c>
      <c r="C4531" s="3" t="str">
        <f>HYPERLINK("http://www.ncbi.nlm.nih.gov/protein/9055178","Mpc1")</f>
        <v>Mpc1</v>
      </c>
      <c r="E4531" t="str">
        <f>HYPERLINK("J:\Depot - mpkCCD Fractions\Main Web Page\Web Pages_old\proteomic_fractions_linear_files/Yang_linear_img/9055178.jpg","show blot")</f>
        <v>show blot</v>
      </c>
      <c r="G4531" t="s">
        <v>4328</v>
      </c>
      <c r="I4531" s="6">
        <v>4.1400924315414072</v>
      </c>
      <c r="K4531" s="8"/>
    </row>
    <row r="4532" spans="1:11" ht="15" x14ac:dyDescent="0.25">
      <c r="A4532" s="3" t="str">
        <f>HYPERLINK("proteomic_fractions_linear_files/Yang_linear_img/21312594.jpg", "21312594")</f>
        <v>21312594</v>
      </c>
      <c r="C4532" s="3" t="str">
        <f>HYPERLINK("http://www.ncbi.nlm.nih.gov/protein/21312594","Mpc2")</f>
        <v>Mpc2</v>
      </c>
      <c r="E4532" t="str">
        <f>HYPERLINK("J:\Depot - mpkCCD Fractions\Main Web Page\Web Pages_old\proteomic_fractions_linear_files/Yang_linear_img/21312594.jpg","show blot")</f>
        <v>show blot</v>
      </c>
      <c r="G4532" t="s">
        <v>4329</v>
      </c>
      <c r="I4532" s="6">
        <v>4.6779777588701963</v>
      </c>
      <c r="K4532" s="8"/>
    </row>
    <row r="4533" spans="1:11" ht="15" x14ac:dyDescent="0.25">
      <c r="A4533" s="3" t="str">
        <f>HYPERLINK("proteomic_fractions_linear_files/Yang_linear_img/31981340.jpg", "31981340")</f>
        <v>31981340</v>
      </c>
      <c r="C4533" s="3" t="str">
        <f>HYPERLINK("http://www.ncbi.nlm.nih.gov/protein/31981340","Mpdu1")</f>
        <v>Mpdu1</v>
      </c>
      <c r="E4533" t="str">
        <f>HYPERLINK("J:\Depot - mpkCCD Fractions\Main Web Page\Web Pages_old\proteomic_fractions_linear_files/Yang_linear_img/31981340.jpg","show blot")</f>
        <v>show blot</v>
      </c>
      <c r="G4533" t="s">
        <v>4330</v>
      </c>
      <c r="I4533" s="6">
        <v>4.8829007212946554</v>
      </c>
      <c r="K4533" s="8"/>
    </row>
    <row r="4534" spans="1:11" ht="15" x14ac:dyDescent="0.25">
      <c r="A4534" s="3" t="str">
        <f>HYPERLINK("proteomic_fractions_linear_files/Yang_linear_img/124053457.jpg", "124053457")</f>
        <v>124053457</v>
      </c>
      <c r="C4534" s="3" t="str">
        <f>HYPERLINK("http://www.ncbi.nlm.nih.gov/protein/124053457","Mpdz")</f>
        <v>Mpdz</v>
      </c>
      <c r="E4534" t="str">
        <f>HYPERLINK("J:\Depot - mpkCCD Fractions\Main Web Page\Web Pages_old\proteomic_fractions_linear_files/Yang_linear_img/124053457.jpg","show blot")</f>
        <v>show blot</v>
      </c>
      <c r="G4534" t="s">
        <v>4331</v>
      </c>
      <c r="I4534" s="6">
        <v>4.3563176488305055</v>
      </c>
      <c r="K4534" s="8"/>
    </row>
    <row r="4535" spans="1:11" ht="15" x14ac:dyDescent="0.25">
      <c r="A4535" s="3" t="str">
        <f>HYPERLINK("proteomic_fractions_linear_files/Yang_linear_img/268370034.jpg", "268370034")</f>
        <v>268370034</v>
      </c>
      <c r="C4535" s="3" t="str">
        <f>HYPERLINK("http://www.ncbi.nlm.nih.gov/protein/268370034","Mpg")</f>
        <v>Mpg</v>
      </c>
      <c r="E4535" t="str">
        <f>HYPERLINK("J:\Depot - mpkCCD Fractions\Main Web Page\Web Pages_old\proteomic_fractions_linear_files/Yang_linear_img/268370034.jpg","show blot")</f>
        <v>show blot</v>
      </c>
      <c r="G4535" t="s">
        <v>4332</v>
      </c>
      <c r="I4535" s="6">
        <v>2.1470944965562291</v>
      </c>
      <c r="K4535" s="8"/>
    </row>
    <row r="4536" spans="1:11" ht="15" x14ac:dyDescent="0.25">
      <c r="A4536" s="3" t="str">
        <f>HYPERLINK("proteomic_fractions_linear_files/Yang_linear_img/21312048.jpg", "21312048")</f>
        <v>21312048</v>
      </c>
      <c r="C4536" s="3" t="str">
        <f>HYPERLINK("http://www.ncbi.nlm.nih.gov/protein/21312048","Mphosph6")</f>
        <v>Mphosph6</v>
      </c>
      <c r="E4536" t="str">
        <f>HYPERLINK("J:\Depot - mpkCCD Fractions\Main Web Page\Web Pages_old\proteomic_fractions_linear_files/Yang_linear_img/21312048.jpg","show blot")</f>
        <v>show blot</v>
      </c>
      <c r="G4536" t="s">
        <v>4333</v>
      </c>
      <c r="I4536" s="6">
        <v>4.4876638947052649</v>
      </c>
      <c r="K4536" s="8"/>
    </row>
    <row r="4537" spans="1:11" ht="15" x14ac:dyDescent="0.25">
      <c r="A4537" s="3" t="str">
        <f>HYPERLINK("proteomic_fractions_linear_files/Yang_linear_img/91206392.jpg", "91206392")</f>
        <v>91206392</v>
      </c>
      <c r="C4537" s="3" t="str">
        <f>HYPERLINK("http://www.ncbi.nlm.nih.gov/protein/91206392","Mpi")</f>
        <v>Mpi</v>
      </c>
      <c r="E4537" t="str">
        <f>HYPERLINK("J:\Depot - mpkCCD Fractions\Main Web Page\Web Pages_old\proteomic_fractions_linear_files/Yang_linear_img/91206392.jpg","show blot")</f>
        <v>show blot</v>
      </c>
      <c r="G4537" t="s">
        <v>4334</v>
      </c>
      <c r="I4537" s="6">
        <v>5.4247984432728984</v>
      </c>
      <c r="K4537" s="8"/>
    </row>
    <row r="4538" spans="1:11" ht="15" x14ac:dyDescent="0.25">
      <c r="A4538" s="3" t="str">
        <f>HYPERLINK("proteomic_fractions_linear_files/Yang_linear_img/7710062.jpg", "7710062")</f>
        <v>7710062</v>
      </c>
      <c r="C4538" s="3" t="str">
        <f>HYPERLINK("http://www.ncbi.nlm.nih.gov/protein/7710062","Mpp2")</f>
        <v>Mpp2</v>
      </c>
      <c r="E4538" t="str">
        <f>HYPERLINK("J:\Depot - mpkCCD Fractions\Main Web Page\Web Pages_old\proteomic_fractions_linear_files/Yang_linear_img/7710062.jpg","show blot")</f>
        <v>show blot</v>
      </c>
      <c r="G4538" t="s">
        <v>4335</v>
      </c>
      <c r="I4538" s="6">
        <v>3.6831312243018495</v>
      </c>
      <c r="K4538" s="8"/>
    </row>
    <row r="4539" spans="1:11" ht="15" x14ac:dyDescent="0.25">
      <c r="A4539" s="3" t="str">
        <f>HYPERLINK("proteomic_fractions_linear_files/Yang_linear_img/118026923.jpg", "118026923")</f>
        <v>118026923</v>
      </c>
      <c r="C4539" s="3" t="str">
        <f>HYPERLINK("http://www.ncbi.nlm.nih.gov/protein/118026923","Mpp3")</f>
        <v>Mpp3</v>
      </c>
      <c r="E4539" t="str">
        <f>HYPERLINK("J:\Depot - mpkCCD Fractions\Main Web Page\Web Pages_old\proteomic_fractions_linear_files/Yang_linear_img/118026923.jpg","show blot")</f>
        <v>show blot</v>
      </c>
      <c r="G4539" t="s">
        <v>4336</v>
      </c>
      <c r="I4539" s="6">
        <v>3.0169574070524283</v>
      </c>
      <c r="K4539" s="8"/>
    </row>
    <row r="4540" spans="1:11" ht="15" x14ac:dyDescent="0.25">
      <c r="A4540" s="3" t="str">
        <f>HYPERLINK("proteomic_fractions_linear_files/Yang_linear_img/9625023.jpg", "9625023")</f>
        <v>9625023</v>
      </c>
      <c r="C4540" s="3" t="str">
        <f>HYPERLINK("http://www.ncbi.nlm.nih.gov/protein/9625023","Mpp5")</f>
        <v>Mpp5</v>
      </c>
      <c r="E4540" t="str">
        <f>HYPERLINK("J:\Depot - mpkCCD Fractions\Main Web Page\Web Pages_old\proteomic_fractions_linear_files/Yang_linear_img/9625023.jpg","show blot")</f>
        <v>show blot</v>
      </c>
      <c r="G4540" t="s">
        <v>4337</v>
      </c>
      <c r="I4540" s="6">
        <v>4.4077863102103239</v>
      </c>
      <c r="K4540" s="8"/>
    </row>
    <row r="4541" spans="1:11" ht="15" x14ac:dyDescent="0.25">
      <c r="A4541" s="3" t="str">
        <f>HYPERLINK("proteomic_fractions_linear_files/Yang_linear_img/257900522.jpg", "257900522")</f>
        <v>257900522</v>
      </c>
      <c r="C4541" s="3" t="str">
        <f>HYPERLINK("http://www.ncbi.nlm.nih.gov/protein/257900522","Mpp6")</f>
        <v>Mpp6</v>
      </c>
      <c r="E4541" t="str">
        <f>HYPERLINK("J:\Depot - mpkCCD Fractions\Main Web Page\Web Pages_old\proteomic_fractions_linear_files/Yang_linear_img/257900522.jpg","show blot")</f>
        <v>show blot</v>
      </c>
      <c r="G4541" t="s">
        <v>4338</v>
      </c>
      <c r="I4541" s="6">
        <v>4.7825787305403882</v>
      </c>
      <c r="K4541" s="8"/>
    </row>
    <row r="4542" spans="1:11" ht="15" x14ac:dyDescent="0.25">
      <c r="A4542" s="3" t="str">
        <f>HYPERLINK("proteomic_fractions_linear_files/Yang_linear_img/257900524;257900522.jpg", "257900524;257900522")</f>
        <v>257900524;257900522</v>
      </c>
      <c r="C4542" s="3" t="str">
        <f>HYPERLINK("http://www.ncbi.nlm.nih.gov/protein/257900524;257900522","Mpp6")</f>
        <v>Mpp6</v>
      </c>
      <c r="E4542" t="str">
        <f>HYPERLINK("J:\Depot - mpkCCD Fractions\Main Web Page\Web Pages_old\proteomic_fractions_linear_files/Yang_linear_img/257900524;257900522.jpg","show blot")</f>
        <v>show blot</v>
      </c>
      <c r="G4542" t="s">
        <v>4338</v>
      </c>
      <c r="I4542" s="6">
        <v>4.7825787305403882</v>
      </c>
      <c r="K4542" s="8"/>
    </row>
    <row r="4543" spans="1:11" ht="15" x14ac:dyDescent="0.25">
      <c r="A4543" s="3" t="str">
        <f>HYPERLINK("proteomic_fractions_linear_files/Yang_linear_img/257900520.jpg", "257900520")</f>
        <v>257900520</v>
      </c>
      <c r="C4543" s="3" t="str">
        <f>HYPERLINK("http://www.ncbi.nlm.nih.gov/protein/257900520","Mpp6")</f>
        <v>Mpp6</v>
      </c>
      <c r="E4543" t="str">
        <f>HYPERLINK("J:\Depot - mpkCCD Fractions\Main Web Page\Web Pages_old\proteomic_fractions_linear_files/Yang_linear_img/257900520.jpg","show blot")</f>
        <v>show blot</v>
      </c>
      <c r="G4543" t="s">
        <v>4339</v>
      </c>
      <c r="I4543" s="6">
        <v>4.7825787305403882</v>
      </c>
      <c r="K4543" s="8"/>
    </row>
    <row r="4544" spans="1:11" ht="15" x14ac:dyDescent="0.25">
      <c r="A4544" s="3" t="str">
        <f>HYPERLINK("proteomic_fractions_linear_files/Yang_linear_img/239051572.jpg", "239051572")</f>
        <v>239051572</v>
      </c>
      <c r="C4544" s="3" t="str">
        <f>HYPERLINK("http://www.ncbi.nlm.nih.gov/protein/239051572","Mpp7")</f>
        <v>Mpp7</v>
      </c>
      <c r="E4544" t="str">
        <f>HYPERLINK("J:\Depot - mpkCCD Fractions\Main Web Page\Web Pages_old\proteomic_fractions_linear_files/Yang_linear_img/239051572.jpg","show blot")</f>
        <v>show blot</v>
      </c>
      <c r="G4544" t="s">
        <v>4340</v>
      </c>
      <c r="I4544" s="6">
        <v>5.2784695627230711</v>
      </c>
      <c r="K4544" s="8"/>
    </row>
    <row r="4545" spans="1:11" ht="15" x14ac:dyDescent="0.25">
      <c r="A4545" s="3" t="str">
        <f>HYPERLINK("proteomic_fractions_linear_files/Yang_linear_img/239051602.jpg", "239051602")</f>
        <v>239051602</v>
      </c>
      <c r="C4545" s="3" t="str">
        <f>HYPERLINK("http://www.ncbi.nlm.nih.gov/protein/239051602","Mpp7")</f>
        <v>Mpp7</v>
      </c>
      <c r="E4545" t="str">
        <f>HYPERLINK("J:\Depot - mpkCCD Fractions\Main Web Page\Web Pages_old\proteomic_fractions_linear_files/Yang_linear_img/239051602.jpg","show blot")</f>
        <v>show blot</v>
      </c>
      <c r="G4545" t="s">
        <v>4341</v>
      </c>
      <c r="I4545" s="6">
        <v>5.2784695627230711</v>
      </c>
      <c r="K4545" s="8"/>
    </row>
    <row r="4546" spans="1:11" ht="15" x14ac:dyDescent="0.25">
      <c r="A4546" s="3" t="str">
        <f>HYPERLINK("proteomic_fractions_linear_files/Yang_linear_img/244789999.jpg", "244789999")</f>
        <v>244789999</v>
      </c>
      <c r="C4546" s="3" t="str">
        <f>HYPERLINK("http://www.ncbi.nlm.nih.gov/protein/244789999","Mpst")</f>
        <v>Mpst</v>
      </c>
      <c r="E4546" t="str">
        <f>HYPERLINK("J:\Depot - mpkCCD Fractions\Main Web Page\Web Pages_old\proteomic_fractions_linear_files/Yang_linear_img/244789999.jpg","show blot")</f>
        <v>show blot</v>
      </c>
      <c r="G4546" t="s">
        <v>4342</v>
      </c>
      <c r="I4546" s="6">
        <v>5.3816534368763085</v>
      </c>
      <c r="K4546" s="8"/>
    </row>
    <row r="4547" spans="1:11" ht="15" x14ac:dyDescent="0.25">
      <c r="A4547" s="3" t="str">
        <f>HYPERLINK("proteomic_fractions_linear_files/Yang_linear_img/6678926.jpg", "6678926")</f>
        <v>6678926</v>
      </c>
      <c r="C4547" s="3" t="str">
        <f>HYPERLINK("http://www.ncbi.nlm.nih.gov/protein/6678926","Mpv17")</f>
        <v>Mpv17</v>
      </c>
      <c r="E4547" t="str">
        <f>HYPERLINK("J:\Depot - mpkCCD Fractions\Main Web Page\Web Pages_old\proteomic_fractions_linear_files/Yang_linear_img/6678926.jpg","show blot")</f>
        <v>show blot</v>
      </c>
      <c r="G4547" t="s">
        <v>4343</v>
      </c>
      <c r="I4547" s="6">
        <v>3.685935027477476</v>
      </c>
      <c r="K4547" s="8"/>
    </row>
    <row r="4548" spans="1:11" ht="15" x14ac:dyDescent="0.25">
      <c r="A4548" s="3" t="str">
        <f>HYPERLINK("proteomic_fractions_linear_files/Yang_linear_img/31542623.jpg", "31542623")</f>
        <v>31542623</v>
      </c>
      <c r="C4548" s="3" t="str">
        <f>HYPERLINK("http://www.ncbi.nlm.nih.gov/protein/31542623","Mpzl2")</f>
        <v>Mpzl2</v>
      </c>
      <c r="E4548" t="str">
        <f>HYPERLINK("J:\Depot - mpkCCD Fractions\Main Web Page\Web Pages_old\proteomic_fractions_linear_files/Yang_linear_img/31542623.jpg","show blot")</f>
        <v>show blot</v>
      </c>
      <c r="G4548" t="s">
        <v>4344</v>
      </c>
      <c r="I4548" s="6">
        <v>4.1852139029524924</v>
      </c>
      <c r="K4548" s="8"/>
    </row>
    <row r="4549" spans="1:11" ht="15" x14ac:dyDescent="0.25">
      <c r="A4549" s="3" t="str">
        <f>HYPERLINK("proteomic_fractions_linear_files/Yang_linear_img/6678930.jpg", "6678930")</f>
        <v>6678930</v>
      </c>
      <c r="C4549" s="3" t="str">
        <f>HYPERLINK("http://www.ncbi.nlm.nih.gov/protein/6678930","Mras")</f>
        <v>Mras</v>
      </c>
      <c r="E4549" t="str">
        <f>HYPERLINK("J:\Depot - mpkCCD Fractions\Main Web Page\Web Pages_old\proteomic_fractions_linear_files/Yang_linear_img/6678930.jpg","show blot")</f>
        <v>show blot</v>
      </c>
      <c r="G4549" t="s">
        <v>4345</v>
      </c>
      <c r="I4549" s="6">
        <v>3.7592207318861064</v>
      </c>
      <c r="K4549" s="8"/>
    </row>
    <row r="4550" spans="1:11" ht="15" x14ac:dyDescent="0.25">
      <c r="A4550" s="3" t="str">
        <f>HYPERLINK("proteomic_fractions_linear_files/Yang_linear_img/9055282.jpg", "9055282")</f>
        <v>9055282</v>
      </c>
      <c r="C4550" s="3" t="str">
        <f>HYPERLINK("http://www.ncbi.nlm.nih.gov/protein/9055282","Mre11a")</f>
        <v>Mre11a</v>
      </c>
      <c r="E4550" t="str">
        <f>HYPERLINK("J:\Depot - mpkCCD Fractions\Main Web Page\Web Pages_old\proteomic_fractions_linear_files/Yang_linear_img/9055282.jpg","show blot")</f>
        <v>show blot</v>
      </c>
      <c r="G4550" t="s">
        <v>4346</v>
      </c>
      <c r="I4550" s="6">
        <v>3.9860727648873215</v>
      </c>
      <c r="K4550" s="8"/>
    </row>
    <row r="4551" spans="1:11" ht="15" x14ac:dyDescent="0.25">
      <c r="A4551" s="3" t="str">
        <f>HYPERLINK("proteomic_fractions_linear_files/Yang_linear_img/13385746.jpg", "13385746")</f>
        <v>13385746</v>
      </c>
      <c r="C4551" s="3" t="str">
        <f>HYPERLINK("http://www.ncbi.nlm.nih.gov/protein/13385746","Mrfap1")</f>
        <v>Mrfap1</v>
      </c>
      <c r="E4551" t="str">
        <f>HYPERLINK("J:\Depot - mpkCCD Fractions\Main Web Page\Web Pages_old\proteomic_fractions_linear_files/Yang_linear_img/13385746.jpg","show blot")</f>
        <v>show blot</v>
      </c>
      <c r="G4551" t="s">
        <v>4347</v>
      </c>
      <c r="I4551" s="6">
        <v>4.0601913690384475</v>
      </c>
      <c r="K4551" s="8"/>
    </row>
    <row r="4552" spans="1:11" ht="15" x14ac:dyDescent="0.25">
      <c r="A4552" s="3" t="str">
        <f>HYPERLINK("proteomic_fractions_linear_files/Yang_linear_img/268838020.jpg", "268838020")</f>
        <v>268838020</v>
      </c>
      <c r="C4552" s="3" t="str">
        <f>HYPERLINK("http://www.ncbi.nlm.nih.gov/protein/268838020","Mri1")</f>
        <v>Mri1</v>
      </c>
      <c r="E4552" t="str">
        <f>HYPERLINK("J:\Depot - mpkCCD Fractions\Main Web Page\Web Pages_old\proteomic_fractions_linear_files/Yang_linear_img/268838020.jpg","show blot")</f>
        <v>show blot</v>
      </c>
      <c r="G4552" t="s">
        <v>4348</v>
      </c>
      <c r="I4552" s="6">
        <v>5.4720356414023135</v>
      </c>
      <c r="K4552" s="8"/>
    </row>
    <row r="4553" spans="1:11" ht="15" x14ac:dyDescent="0.25">
      <c r="A4553" s="3" t="str">
        <f>HYPERLINK("proteomic_fractions_linear_files/Yang_linear_img/89337263.jpg", "89337263")</f>
        <v>89337263</v>
      </c>
      <c r="C4553" s="3" t="str">
        <f>HYPERLINK("http://www.ncbi.nlm.nih.gov/protein/89337263","Mrm1")</f>
        <v>Mrm1</v>
      </c>
      <c r="E4553" t="str">
        <f>HYPERLINK("J:\Depot - mpkCCD Fractions\Main Web Page\Web Pages_old\proteomic_fractions_linear_files/Yang_linear_img/89337263.jpg","show blot")</f>
        <v>show blot</v>
      </c>
      <c r="G4553" t="s">
        <v>4349</v>
      </c>
      <c r="I4553" s="6">
        <v>3.5035087284807012</v>
      </c>
      <c r="K4553" s="8"/>
    </row>
    <row r="4554" spans="1:11" ht="15" x14ac:dyDescent="0.25">
      <c r="A4554" s="3" t="str">
        <f>HYPERLINK("proteomic_fractions_linear_files/Yang_linear_img/241982824.jpg", "241982824")</f>
        <v>241982824</v>
      </c>
      <c r="C4554" s="3" t="str">
        <f>HYPERLINK("http://www.ncbi.nlm.nih.gov/protein/241982824","Mroh1")</f>
        <v>Mroh1</v>
      </c>
      <c r="E4554" t="str">
        <f>HYPERLINK("J:\Depot - mpkCCD Fractions\Main Web Page\Web Pages_old\proteomic_fractions_linear_files/Yang_linear_img/241982824.jpg","show blot")</f>
        <v>show blot</v>
      </c>
      <c r="G4554" t="s">
        <v>4350</v>
      </c>
      <c r="I4554" s="6">
        <v>4.8108726097961805</v>
      </c>
      <c r="K4554" s="8"/>
    </row>
    <row r="4555" spans="1:11" ht="15" x14ac:dyDescent="0.25">
      <c r="A4555" s="3" t="str">
        <f>HYPERLINK("proteomic_fractions_linear_files/Yang_linear_img/283046757.jpg", "283046757")</f>
        <v>283046757</v>
      </c>
      <c r="C4555" s="3" t="str">
        <f>HYPERLINK("http://www.ncbi.nlm.nih.gov/protein/283046757","Mroh1")</f>
        <v>Mroh1</v>
      </c>
      <c r="E4555" t="str">
        <f>HYPERLINK("J:\Depot - mpkCCD Fractions\Main Web Page\Web Pages_old\proteomic_fractions_linear_files/Yang_linear_img/283046757.jpg","show blot")</f>
        <v>show blot</v>
      </c>
      <c r="G4555" t="s">
        <v>4351</v>
      </c>
      <c r="I4555" s="6">
        <v>4.8108726097961805</v>
      </c>
      <c r="K4555" s="8"/>
    </row>
    <row r="4556" spans="1:11" ht="15" x14ac:dyDescent="0.25">
      <c r="A4556" s="3" t="str">
        <f>HYPERLINK("proteomic_fractions_linear_files/Yang_linear_img/527317377.jpg", "527317377")</f>
        <v>527317377</v>
      </c>
      <c r="C4556" s="3" t="str">
        <f>HYPERLINK("http://www.ncbi.nlm.nih.gov/protein/527317377","Mroh2a")</f>
        <v>Mroh2a</v>
      </c>
      <c r="E4556" t="str">
        <f>HYPERLINK("J:\Depot - mpkCCD Fractions\Main Web Page\Web Pages_old\proteomic_fractions_linear_files/Yang_linear_img/527317377.jpg","show blot")</f>
        <v>show blot</v>
      </c>
      <c r="G4556" t="s">
        <v>4352</v>
      </c>
      <c r="I4556" s="6">
        <v>3.2993591969296006</v>
      </c>
      <c r="K4556" s="8"/>
    </row>
    <row r="4557" spans="1:11" ht="15" x14ac:dyDescent="0.25">
      <c r="A4557" s="3" t="str">
        <f>HYPERLINK("proteomic_fractions_linear_files/Yang_linear_img/294460010.jpg", "294460010")</f>
        <v>294460010</v>
      </c>
      <c r="C4557" s="3" t="str">
        <f>HYPERLINK("http://www.ncbi.nlm.nih.gov/protein/294460010","Mroh4")</f>
        <v>Mroh4</v>
      </c>
      <c r="E4557" t="str">
        <f>HYPERLINK("J:\Depot - mpkCCD Fractions\Main Web Page\Web Pages_old\proteomic_fractions_linear_files/Yang_linear_img/294460010.jpg","show blot")</f>
        <v>show blot</v>
      </c>
      <c r="G4557" t="s">
        <v>4353</v>
      </c>
      <c r="I4557" s="6">
        <v>5.2988257234964093</v>
      </c>
      <c r="K4557" s="8"/>
    </row>
    <row r="4558" spans="1:11" ht="15" x14ac:dyDescent="0.25">
      <c r="A4558" s="3" t="str">
        <f>HYPERLINK("proteomic_fractions_linear_files/Yang_linear_img/254692919.jpg", "254692919")</f>
        <v>254692919</v>
      </c>
      <c r="C4558" s="3" t="str">
        <f>HYPERLINK("http://www.ncbi.nlm.nih.gov/protein/254692919","Mroh9")</f>
        <v>Mroh9</v>
      </c>
      <c r="E4558" t="str">
        <f>HYPERLINK("J:\Depot - mpkCCD Fractions\Main Web Page\Web Pages_old\proteomic_fractions_linear_files/Yang_linear_img/254692919.jpg","show blot")</f>
        <v>show blot</v>
      </c>
      <c r="G4558" t="s">
        <v>4354</v>
      </c>
      <c r="I4558" s="6">
        <v>4.8336304821706673</v>
      </c>
      <c r="K4558" s="8"/>
    </row>
    <row r="4559" spans="1:11" ht="15" x14ac:dyDescent="0.25">
      <c r="A4559" s="3" t="str">
        <f>HYPERLINK("proteomic_fractions_linear_files/Yang_linear_img/13385888.jpg", "13385888")</f>
        <v>13385888</v>
      </c>
      <c r="C4559" s="3" t="str">
        <f>HYPERLINK("http://www.ncbi.nlm.nih.gov/protein/13385888","Mrp63")</f>
        <v>Mrp63</v>
      </c>
      <c r="E4559" t="str">
        <f>HYPERLINK("J:\Depot - mpkCCD Fractions\Main Web Page\Web Pages_old\proteomic_fractions_linear_files/Yang_linear_img/13385888.jpg","show blot")</f>
        <v>show blot</v>
      </c>
      <c r="G4559" t="s">
        <v>4355</v>
      </c>
      <c r="I4559" s="6">
        <v>3.9866446288208373</v>
      </c>
      <c r="K4559" s="8"/>
    </row>
    <row r="4560" spans="1:11" ht="15" x14ac:dyDescent="0.25">
      <c r="A4560" s="3" t="str">
        <f>HYPERLINK("proteomic_fractions_linear_files/Yang_linear_img/84875528.jpg", "84875528")</f>
        <v>84875528</v>
      </c>
      <c r="C4560" s="3" t="str">
        <f>HYPERLINK("http://www.ncbi.nlm.nih.gov/protein/84875528","Mrpl1")</f>
        <v>Mrpl1</v>
      </c>
      <c r="E4560" t="str">
        <f>HYPERLINK("J:\Depot - mpkCCD Fractions\Main Web Page\Web Pages_old\proteomic_fractions_linear_files/Yang_linear_img/84875528.jpg","show blot")</f>
        <v>show blot</v>
      </c>
      <c r="G4560" t="s">
        <v>4356</v>
      </c>
      <c r="I4560" s="6">
        <v>4.5931804209743916</v>
      </c>
      <c r="K4560" s="8"/>
    </row>
    <row r="4561" spans="1:11" ht="15" x14ac:dyDescent="0.25">
      <c r="A4561" s="3" t="str">
        <f>HYPERLINK("proteomic_fractions_linear_files/Yang_linear_img/84875532.jpg", "84875532")</f>
        <v>84875532</v>
      </c>
      <c r="C4561" s="3" t="str">
        <f>HYPERLINK("http://www.ncbi.nlm.nih.gov/protein/84875532","Mrpl1")</f>
        <v>Mrpl1</v>
      </c>
      <c r="E4561" t="str">
        <f>HYPERLINK("J:\Depot - mpkCCD Fractions\Main Web Page\Web Pages_old\proteomic_fractions_linear_files/Yang_linear_img/84875532.jpg","show blot")</f>
        <v>show blot</v>
      </c>
      <c r="G4561" t="s">
        <v>4357</v>
      </c>
      <c r="I4561" s="6">
        <v>4.5931804209743916</v>
      </c>
      <c r="K4561" s="8"/>
    </row>
    <row r="4562" spans="1:11" ht="15" x14ac:dyDescent="0.25">
      <c r="A4562" s="3" t="str">
        <f>HYPERLINK("proteomic_fractions_linear_files/Yang_linear_img/13385658.jpg", "13385658")</f>
        <v>13385658</v>
      </c>
      <c r="C4562" s="3" t="str">
        <f>HYPERLINK("http://www.ncbi.nlm.nih.gov/protein/13385658","Mrpl10")</f>
        <v>Mrpl10</v>
      </c>
      <c r="E4562" t="str">
        <f>HYPERLINK("J:\Depot - mpkCCD Fractions\Main Web Page\Web Pages_old\proteomic_fractions_linear_files/Yang_linear_img/13385658.jpg","show blot")</f>
        <v>show blot</v>
      </c>
      <c r="G4562" t="s">
        <v>4358</v>
      </c>
      <c r="I4562" s="6">
        <v>3.3102564005695938</v>
      </c>
      <c r="K4562" s="8"/>
    </row>
    <row r="4563" spans="1:11" ht="15" x14ac:dyDescent="0.25">
      <c r="A4563" s="3" t="str">
        <f>HYPERLINK("proteomic_fractions_linear_files/Yang_linear_img/13384980.jpg", "13384980")</f>
        <v>13384980</v>
      </c>
      <c r="C4563" s="3" t="str">
        <f>HYPERLINK("http://www.ncbi.nlm.nih.gov/protein/13384980","Mrpl11")</f>
        <v>Mrpl11</v>
      </c>
      <c r="E4563" t="str">
        <f>HYPERLINK("J:\Depot - mpkCCD Fractions\Main Web Page\Web Pages_old\proteomic_fractions_linear_files/Yang_linear_img/13384980.jpg","show blot")</f>
        <v>show blot</v>
      </c>
      <c r="G4563" t="s">
        <v>4359</v>
      </c>
      <c r="I4563" s="6">
        <v>5.0430545898798469</v>
      </c>
      <c r="K4563" s="8"/>
    </row>
    <row r="4564" spans="1:11" ht="15" x14ac:dyDescent="0.25">
      <c r="A4564" s="3" t="str">
        <f>HYPERLINK("proteomic_fractions_linear_files/Yang_linear_img/22164792.jpg", "22164792")</f>
        <v>22164792</v>
      </c>
      <c r="C4564" s="3" t="str">
        <f>HYPERLINK("http://www.ncbi.nlm.nih.gov/protein/22164792","Mrpl12")</f>
        <v>Mrpl12</v>
      </c>
      <c r="E4564" t="str">
        <f>HYPERLINK("J:\Depot - mpkCCD Fractions\Main Web Page\Web Pages_old\proteomic_fractions_linear_files/Yang_linear_img/22164792.jpg","show blot")</f>
        <v>show blot</v>
      </c>
      <c r="G4564" t="s">
        <v>4360</v>
      </c>
      <c r="I4564" s="6">
        <v>5.7730832112901869</v>
      </c>
      <c r="K4564" s="8"/>
    </row>
    <row r="4565" spans="1:11" ht="15" x14ac:dyDescent="0.25">
      <c r="A4565" s="3" t="str">
        <f>HYPERLINK("proteomic_fractions_linear_files/Yang_linear_img/21312936.jpg", "21312936")</f>
        <v>21312936</v>
      </c>
      <c r="C4565" s="3" t="str">
        <f>HYPERLINK("http://www.ncbi.nlm.nih.gov/protein/21312936","Mrpl13")</f>
        <v>Mrpl13</v>
      </c>
      <c r="E4565" t="str">
        <f>HYPERLINK("J:\Depot - mpkCCD Fractions\Main Web Page\Web Pages_old\proteomic_fractions_linear_files/Yang_linear_img/21312936.jpg","show blot")</f>
        <v>show blot</v>
      </c>
      <c r="G4565" t="s">
        <v>4361</v>
      </c>
      <c r="I4565" s="6">
        <v>4.7587344575069652</v>
      </c>
      <c r="K4565" s="8"/>
    </row>
    <row r="4566" spans="1:11" ht="15" x14ac:dyDescent="0.25">
      <c r="A4566" s="3" t="str">
        <f>HYPERLINK("proteomic_fractions_linear_files/Yang_linear_img/21312028.jpg", "21312028")</f>
        <v>21312028</v>
      </c>
      <c r="C4566" s="3" t="str">
        <f>HYPERLINK("http://www.ncbi.nlm.nih.gov/protein/21312028","Mrpl14")</f>
        <v>Mrpl14</v>
      </c>
      <c r="E4566" t="str">
        <f>HYPERLINK("J:\Depot - mpkCCD Fractions\Main Web Page\Web Pages_old\proteomic_fractions_linear_files/Yang_linear_img/21312028.jpg","show blot")</f>
        <v>show blot</v>
      </c>
      <c r="G4566" t="s">
        <v>4362</v>
      </c>
      <c r="I4566" s="6">
        <v>3.7820001141945734</v>
      </c>
      <c r="K4566" s="8"/>
    </row>
    <row r="4567" spans="1:11" ht="15" x14ac:dyDescent="0.25">
      <c r="A4567" s="3" t="str">
        <f>HYPERLINK("proteomic_fractions_linear_files/Yang_linear_img/295054166.jpg", "295054166")</f>
        <v>295054166</v>
      </c>
      <c r="C4567" s="3" t="str">
        <f>HYPERLINK("http://www.ncbi.nlm.nih.gov/protein/295054166","Mrpl15")</f>
        <v>Mrpl15</v>
      </c>
      <c r="E4567" t="str">
        <f>HYPERLINK("J:\Depot - mpkCCD Fractions\Main Web Page\Web Pages_old\proteomic_fractions_linear_files/Yang_linear_img/295054166.jpg","show blot")</f>
        <v>show blot</v>
      </c>
      <c r="G4567" t="s">
        <v>4363</v>
      </c>
      <c r="I4567" s="6">
        <v>4.6234616325471327</v>
      </c>
      <c r="K4567" s="8"/>
    </row>
    <row r="4568" spans="1:11" ht="15" x14ac:dyDescent="0.25">
      <c r="A4568" s="3" t="str">
        <f>HYPERLINK("proteomic_fractions_linear_files/Yang_linear_img/33468983.jpg", "33468983")</f>
        <v>33468983</v>
      </c>
      <c r="C4568" s="3" t="str">
        <f>HYPERLINK("http://www.ncbi.nlm.nih.gov/protein/33468983","Mrpl15")</f>
        <v>Mrpl15</v>
      </c>
      <c r="E4568" t="str">
        <f>HYPERLINK("J:\Depot - mpkCCD Fractions\Main Web Page\Web Pages_old\proteomic_fractions_linear_files/Yang_linear_img/33468983.jpg","show blot")</f>
        <v>show blot</v>
      </c>
      <c r="G4568" t="s">
        <v>4364</v>
      </c>
      <c r="I4568" s="6">
        <v>4.6234616325471327</v>
      </c>
      <c r="K4568" s="8"/>
    </row>
    <row r="4569" spans="1:11" ht="15" x14ac:dyDescent="0.25">
      <c r="A4569" s="3" t="str">
        <f>HYPERLINK("proteomic_fractions_linear_files/Yang_linear_img/19424352.jpg", "19424352")</f>
        <v>19424352</v>
      </c>
      <c r="C4569" s="3" t="str">
        <f>HYPERLINK("http://www.ncbi.nlm.nih.gov/protein/19424352","Mrpl16")</f>
        <v>Mrpl16</v>
      </c>
      <c r="E4569" t="str">
        <f>HYPERLINK("J:\Depot - mpkCCD Fractions\Main Web Page\Web Pages_old\proteomic_fractions_linear_files/Yang_linear_img/19424352.jpg","show blot")</f>
        <v>show blot</v>
      </c>
      <c r="G4569" t="s">
        <v>4365</v>
      </c>
      <c r="I4569" s="6">
        <v>3.9798129161679783</v>
      </c>
      <c r="K4569" s="8"/>
    </row>
    <row r="4570" spans="1:11" ht="15" x14ac:dyDescent="0.25">
      <c r="A4570" s="3" t="str">
        <f>HYPERLINK("proteomic_fractions_linear_files/Yang_linear_img/13384658.jpg", "13384658")</f>
        <v>13384658</v>
      </c>
      <c r="C4570" s="3" t="str">
        <f>HYPERLINK("http://www.ncbi.nlm.nih.gov/protein/13384658","Mrpl17")</f>
        <v>Mrpl17</v>
      </c>
      <c r="E4570" t="str">
        <f>HYPERLINK("J:\Depot - mpkCCD Fractions\Main Web Page\Web Pages_old\proteomic_fractions_linear_files/Yang_linear_img/13384658.jpg","show blot")</f>
        <v>show blot</v>
      </c>
      <c r="G4570" t="s">
        <v>4366</v>
      </c>
      <c r="I4570" s="6">
        <v>3.9742390380149848</v>
      </c>
      <c r="K4570" s="8"/>
    </row>
    <row r="4571" spans="1:11" ht="15" x14ac:dyDescent="0.25">
      <c r="A4571" s="3" t="str">
        <f>HYPERLINK("proteomic_fractions_linear_files/Yang_linear_img/13385808.jpg", "13385808")</f>
        <v>13385808</v>
      </c>
      <c r="C4571" s="3" t="str">
        <f>HYPERLINK("http://www.ncbi.nlm.nih.gov/protein/13385808","Mrpl18")</f>
        <v>Mrpl18</v>
      </c>
      <c r="E4571" t="str">
        <f>HYPERLINK("J:\Depot - mpkCCD Fractions\Main Web Page\Web Pages_old\proteomic_fractions_linear_files/Yang_linear_img/13385808.jpg","show blot")</f>
        <v>show blot</v>
      </c>
      <c r="G4571" t="s">
        <v>4367</v>
      </c>
      <c r="I4571" s="6">
        <v>4.9574748547711103</v>
      </c>
      <c r="K4571" s="8"/>
    </row>
    <row r="4572" spans="1:11" ht="15" x14ac:dyDescent="0.25">
      <c r="A4572" s="3" t="str">
        <f>HYPERLINK("proteomic_fractions_linear_files/Yang_linear_img/13385976.jpg", "13385976")</f>
        <v>13385976</v>
      </c>
      <c r="C4572" s="3" t="str">
        <f>HYPERLINK("http://www.ncbi.nlm.nih.gov/protein/13385976","Mrpl19")</f>
        <v>Mrpl19</v>
      </c>
      <c r="E4572" t="str">
        <f>HYPERLINK("J:\Depot - mpkCCD Fractions\Main Web Page\Web Pages_old\proteomic_fractions_linear_files/Yang_linear_img/13385976.jpg","show blot")</f>
        <v>show blot</v>
      </c>
      <c r="G4572" t="s">
        <v>4368</v>
      </c>
      <c r="I4572" s="6">
        <v>4.2095119955479241</v>
      </c>
      <c r="K4572" s="8"/>
    </row>
    <row r="4573" spans="1:11" ht="15" x14ac:dyDescent="0.25">
      <c r="A4573" s="3" t="str">
        <f>HYPERLINK("proteomic_fractions_linear_files/Yang_linear_img/13384660.jpg", "13384660")</f>
        <v>13384660</v>
      </c>
      <c r="C4573" s="3" t="str">
        <f>HYPERLINK("http://www.ncbi.nlm.nih.gov/protein/13384660","Mrpl2")</f>
        <v>Mrpl2</v>
      </c>
      <c r="E4573" t="str">
        <f>HYPERLINK("J:\Depot - mpkCCD Fractions\Main Web Page\Web Pages_old\proteomic_fractions_linear_files/Yang_linear_img/13384660.jpg","show blot")</f>
        <v>show blot</v>
      </c>
      <c r="G4573" t="s">
        <v>4369</v>
      </c>
      <c r="I4573" s="6">
        <v>5.1749543294826452</v>
      </c>
      <c r="K4573" s="8"/>
    </row>
    <row r="4574" spans="1:11" ht="15" x14ac:dyDescent="0.25">
      <c r="A4574" s="3" t="str">
        <f>HYPERLINK("proteomic_fractions_linear_files/Yang_linear_img/20270194.jpg", "20270194")</f>
        <v>20270194</v>
      </c>
      <c r="C4574" s="3" t="str">
        <f>HYPERLINK("http://www.ncbi.nlm.nih.gov/protein/20270194","Mrpl20")</f>
        <v>Mrpl20</v>
      </c>
      <c r="E4574" t="str">
        <f>HYPERLINK("J:\Depot - mpkCCD Fractions\Main Web Page\Web Pages_old\proteomic_fractions_linear_files/Yang_linear_img/20270194.jpg","show blot")</f>
        <v>show blot</v>
      </c>
      <c r="G4574" t="s">
        <v>4370</v>
      </c>
      <c r="I4574" s="6">
        <v>4.3364964251792744</v>
      </c>
      <c r="K4574" s="8"/>
    </row>
    <row r="4575" spans="1:11" ht="15" x14ac:dyDescent="0.25">
      <c r="A4575" s="3" t="str">
        <f>HYPERLINK("proteomic_fractions_linear_files/Yang_linear_img/31982032.jpg", "31982032")</f>
        <v>31982032</v>
      </c>
      <c r="C4575" s="3" t="str">
        <f>HYPERLINK("http://www.ncbi.nlm.nih.gov/protein/31982032","Mrpl21")</f>
        <v>Mrpl21</v>
      </c>
      <c r="E4575" t="str">
        <f>HYPERLINK("J:\Depot - mpkCCD Fractions\Main Web Page\Web Pages_old\proteomic_fractions_linear_files/Yang_linear_img/31982032.jpg","show blot")</f>
        <v>show blot</v>
      </c>
      <c r="G4575" t="s">
        <v>4371</v>
      </c>
      <c r="I4575" s="6">
        <v>4.6856788774786953</v>
      </c>
      <c r="K4575" s="8"/>
    </row>
    <row r="4576" spans="1:11" ht="15" x14ac:dyDescent="0.25">
      <c r="A4576" s="3" t="str">
        <f>HYPERLINK("proteomic_fractions_linear_files/Yang_linear_img/262263310.jpg", "262263310")</f>
        <v>262263310</v>
      </c>
      <c r="C4576" s="3" t="str">
        <f>HYPERLINK("http://www.ncbi.nlm.nih.gov/protein/262263310","Mrpl22")</f>
        <v>Mrpl22</v>
      </c>
      <c r="E4576" t="str">
        <f>HYPERLINK("J:\Depot - mpkCCD Fractions\Main Web Page\Web Pages_old\proteomic_fractions_linear_files/Yang_linear_img/262263310.jpg","show blot")</f>
        <v>show blot</v>
      </c>
      <c r="G4576" t="s">
        <v>4372</v>
      </c>
      <c r="I4576" s="6">
        <v>5.1855656295329648</v>
      </c>
      <c r="K4576" s="8"/>
    </row>
    <row r="4577" spans="1:11" ht="15" x14ac:dyDescent="0.25">
      <c r="A4577" s="3" t="str">
        <f>HYPERLINK("proteomic_fractions_linear_files/Yang_linear_img/6755352.jpg", "6755352")</f>
        <v>6755352</v>
      </c>
      <c r="C4577" s="3" t="str">
        <f>HYPERLINK("http://www.ncbi.nlm.nih.gov/protein/6755352","Mrpl23")</f>
        <v>Mrpl23</v>
      </c>
      <c r="E4577" t="str">
        <f>HYPERLINK("J:\Depot - mpkCCD Fractions\Main Web Page\Web Pages_old\proteomic_fractions_linear_files/Yang_linear_img/6755352.jpg","show blot")</f>
        <v>show blot</v>
      </c>
      <c r="G4577" t="s">
        <v>4373</v>
      </c>
      <c r="I4577" s="6">
        <v>4.8963664692367201</v>
      </c>
      <c r="K4577" s="8"/>
    </row>
    <row r="4578" spans="1:11" ht="15" x14ac:dyDescent="0.25">
      <c r="A4578" s="3" t="str">
        <f>HYPERLINK("proteomic_fractions_linear_files/Yang_linear_img/153792729.jpg", "153792729")</f>
        <v>153792729</v>
      </c>
      <c r="C4578" s="3" t="str">
        <f>HYPERLINK("http://www.ncbi.nlm.nih.gov/protein/153792729","Mrpl24")</f>
        <v>Mrpl24</v>
      </c>
      <c r="E4578" t="str">
        <f>HYPERLINK("J:\Depot - mpkCCD Fractions\Main Web Page\Web Pages_old\proteomic_fractions_linear_files/Yang_linear_img/153792729.jpg","show blot")</f>
        <v>show blot</v>
      </c>
      <c r="G4578" t="s">
        <v>4374</v>
      </c>
      <c r="I4578" s="6">
        <v>4.327828036249719</v>
      </c>
      <c r="K4578" s="8"/>
    </row>
    <row r="4579" spans="1:11" ht="15" x14ac:dyDescent="0.25">
      <c r="A4579" s="3" t="str">
        <f>HYPERLINK("proteomic_fractions_linear_files/Yang_linear_img/16716447.jpg", "16716447")</f>
        <v>16716447</v>
      </c>
      <c r="C4579" s="3" t="str">
        <f>HYPERLINK("http://www.ncbi.nlm.nih.gov/protein/16716447","Mrpl27")</f>
        <v>Mrpl27</v>
      </c>
      <c r="E4579" t="str">
        <f>HYPERLINK("J:\Depot - mpkCCD Fractions\Main Web Page\Web Pages_old\proteomic_fractions_linear_files/Yang_linear_img/16716447.jpg","show blot")</f>
        <v>show blot</v>
      </c>
      <c r="G4579" t="s">
        <v>4375</v>
      </c>
      <c r="I4579" s="6">
        <v>4.5977021201177886</v>
      </c>
      <c r="K4579" s="8"/>
    </row>
    <row r="4580" spans="1:11" ht="15" x14ac:dyDescent="0.25">
      <c r="A4580" s="3" t="str">
        <f>HYPERLINK("proteomic_fractions_linear_files/Yang_linear_img/26787989.jpg", "26787989")</f>
        <v>26787989</v>
      </c>
      <c r="C4580" s="3" t="str">
        <f>HYPERLINK("http://www.ncbi.nlm.nih.gov/protein/26787989","Mrpl28")</f>
        <v>Mrpl28</v>
      </c>
      <c r="E4580" t="str">
        <f>HYPERLINK("J:\Depot - mpkCCD Fractions\Main Web Page\Web Pages_old\proteomic_fractions_linear_files/Yang_linear_img/26787989.jpg","show blot")</f>
        <v>show blot</v>
      </c>
      <c r="G4580" t="s">
        <v>4376</v>
      </c>
      <c r="I4580" s="6">
        <v>4.3153025225080137</v>
      </c>
      <c r="K4580" s="8"/>
    </row>
    <row r="4581" spans="1:11" ht="15" x14ac:dyDescent="0.25">
      <c r="A4581" s="3" t="str">
        <f>HYPERLINK("proteomic_fractions_linear_files/Yang_linear_img/31981470.jpg", "31981470")</f>
        <v>31981470</v>
      </c>
      <c r="C4581" s="3" t="str">
        <f>HYPERLINK("http://www.ncbi.nlm.nih.gov/protein/31981470","Mrpl3")</f>
        <v>Mrpl3</v>
      </c>
      <c r="E4581" t="str">
        <f>HYPERLINK("J:\Depot - mpkCCD Fractions\Main Web Page\Web Pages_old\proteomic_fractions_linear_files/Yang_linear_img/31981470.jpg","show blot")</f>
        <v>show blot</v>
      </c>
      <c r="G4581" t="s">
        <v>4377</v>
      </c>
      <c r="I4581" s="6">
        <v>4.5638636437597961</v>
      </c>
      <c r="K4581" s="8"/>
    </row>
    <row r="4582" spans="1:11" ht="15" x14ac:dyDescent="0.25">
      <c r="A4582" s="3" t="str">
        <f>HYPERLINK("proteomic_fractions_linear_files/Yang_linear_img/21312302.jpg", "21312302")</f>
        <v>21312302</v>
      </c>
      <c r="C4582" s="3" t="str">
        <f>HYPERLINK("http://www.ncbi.nlm.nih.gov/protein/21312302","Mrpl30")</f>
        <v>Mrpl30</v>
      </c>
      <c r="E4582" t="str">
        <f>HYPERLINK("J:\Depot - mpkCCD Fractions\Main Web Page\Web Pages_old\proteomic_fractions_linear_files/Yang_linear_img/21312302.jpg","show blot")</f>
        <v>show blot</v>
      </c>
      <c r="G4582" t="s">
        <v>4378</v>
      </c>
      <c r="I4582" s="6">
        <v>4.215800719114287</v>
      </c>
      <c r="K4582" s="8"/>
    </row>
    <row r="4583" spans="1:11" ht="15" x14ac:dyDescent="0.25">
      <c r="A4583" s="3" t="str">
        <f>HYPERLINK("proteomic_fractions_linear_files/Yang_linear_img/21312948.jpg", "21312948")</f>
        <v>21312948</v>
      </c>
      <c r="C4583" s="3" t="str">
        <f>HYPERLINK("http://www.ncbi.nlm.nih.gov/protein/21312948","Mrpl32")</f>
        <v>Mrpl32</v>
      </c>
      <c r="E4583" t="str">
        <f>HYPERLINK("J:\Depot - mpkCCD Fractions\Main Web Page\Web Pages_old\proteomic_fractions_linear_files/Yang_linear_img/21312948.jpg","show blot")</f>
        <v>show blot</v>
      </c>
      <c r="G4583" t="s">
        <v>4379</v>
      </c>
      <c r="I4583" s="6">
        <v>3.4025768410977539</v>
      </c>
      <c r="K4583" s="8"/>
    </row>
    <row r="4584" spans="1:11" ht="15" x14ac:dyDescent="0.25">
      <c r="A4584" s="3" t="str">
        <f>HYPERLINK("proteomic_fractions_linear_files/Yang_linear_img/269784741.jpg", "269784741")</f>
        <v>269784741</v>
      </c>
      <c r="C4584" s="3" t="str">
        <f>HYPERLINK("http://www.ncbi.nlm.nih.gov/protein/269784741","Mrpl33")</f>
        <v>Mrpl33</v>
      </c>
      <c r="E4584" t="str">
        <f>HYPERLINK("J:\Depot - mpkCCD Fractions\Main Web Page\Web Pages_old\proteomic_fractions_linear_files/Yang_linear_img/269784741.jpg","show blot")</f>
        <v>show blot</v>
      </c>
      <c r="G4584" t="s">
        <v>4380</v>
      </c>
      <c r="I4584" s="6">
        <v>4.3115050107913637</v>
      </c>
      <c r="K4584" s="8"/>
    </row>
    <row r="4585" spans="1:11" ht="15" x14ac:dyDescent="0.25">
      <c r="A4585" s="3" t="str">
        <f>HYPERLINK("proteomic_fractions_linear_files/Yang_linear_img/16716449.jpg", "16716449")</f>
        <v>16716449</v>
      </c>
      <c r="C4585" s="3" t="str">
        <f>HYPERLINK("http://www.ncbi.nlm.nih.gov/protein/16716449","Mrpl34")</f>
        <v>Mrpl34</v>
      </c>
      <c r="E4585" t="str">
        <f>HYPERLINK("J:\Depot - mpkCCD Fractions\Main Web Page\Web Pages_old\proteomic_fractions_linear_files/Yang_linear_img/16716449.jpg","show blot")</f>
        <v>show blot</v>
      </c>
      <c r="G4585" t="s">
        <v>4381</v>
      </c>
      <c r="I4585" s="6">
        <v>4.4917774699568991</v>
      </c>
      <c r="K4585" s="8"/>
    </row>
    <row r="4586" spans="1:11" ht="15" x14ac:dyDescent="0.25">
      <c r="A4586" s="3" t="str">
        <f>HYPERLINK("proteomic_fractions_linear_files/Yang_linear_img/22128625.jpg", "22128625")</f>
        <v>22128625</v>
      </c>
      <c r="C4586" s="3" t="str">
        <f>HYPERLINK("http://www.ncbi.nlm.nih.gov/protein/22128625","Mrpl37")</f>
        <v>Mrpl37</v>
      </c>
      <c r="E4586" t="str">
        <f>HYPERLINK("J:\Depot - mpkCCD Fractions\Main Web Page\Web Pages_old\proteomic_fractions_linear_files/Yang_linear_img/22128625.jpg","show blot")</f>
        <v>show blot</v>
      </c>
      <c r="G4586" t="s">
        <v>4382</v>
      </c>
      <c r="I4586" s="6">
        <v>4.7010622365926569</v>
      </c>
      <c r="K4586" s="8"/>
    </row>
    <row r="4587" spans="1:11" ht="15" x14ac:dyDescent="0.25">
      <c r="A4587" s="3" t="str">
        <f>HYPERLINK("proteomic_fractions_linear_files/Yang_linear_img/124430535.jpg", "124430535")</f>
        <v>124430535</v>
      </c>
      <c r="C4587" s="3" t="str">
        <f>HYPERLINK("http://www.ncbi.nlm.nih.gov/protein/124430535","Mrpl38")</f>
        <v>Mrpl38</v>
      </c>
      <c r="E4587" t="str">
        <f>HYPERLINK("J:\Depot - mpkCCD Fractions\Main Web Page\Web Pages_old\proteomic_fractions_linear_files/Yang_linear_img/124430535.jpg","show blot")</f>
        <v>show blot</v>
      </c>
      <c r="G4587" t="s">
        <v>4383</v>
      </c>
      <c r="I4587" s="6">
        <v>4.258168181651075</v>
      </c>
      <c r="K4587" s="8"/>
    </row>
    <row r="4588" spans="1:11" ht="15" x14ac:dyDescent="0.25">
      <c r="A4588" s="3" t="str">
        <f>HYPERLINK("proteomic_fractions_linear_files/Yang_linear_img/364023817.jpg", "364023817")</f>
        <v>364023817</v>
      </c>
      <c r="C4588" s="3" t="str">
        <f>HYPERLINK("http://www.ncbi.nlm.nih.gov/protein/364023817","Mrpl39")</f>
        <v>Mrpl39</v>
      </c>
      <c r="E4588" t="str">
        <f>HYPERLINK("J:\Depot - mpkCCD Fractions\Main Web Page\Web Pages_old\proteomic_fractions_linear_files/Yang_linear_img/364023817.jpg","show blot")</f>
        <v>show blot</v>
      </c>
      <c r="G4588" t="s">
        <v>4384</v>
      </c>
      <c r="I4588" s="6">
        <v>3.5402113628544325</v>
      </c>
      <c r="K4588" s="8"/>
    </row>
    <row r="4589" spans="1:11" ht="15" x14ac:dyDescent="0.25">
      <c r="A4589" s="3" t="str">
        <f>HYPERLINK("proteomic_fractions_linear_files/Yang_linear_img/119508437.jpg", "119508437")</f>
        <v>119508437</v>
      </c>
      <c r="C4589" s="3" t="str">
        <f>HYPERLINK("http://www.ncbi.nlm.nih.gov/protein/119508437","Mrpl4")</f>
        <v>Mrpl4</v>
      </c>
      <c r="E4589" t="str">
        <f>HYPERLINK("J:\Depot - mpkCCD Fractions\Main Web Page\Web Pages_old\proteomic_fractions_linear_files/Yang_linear_img/119508437.jpg","show blot")</f>
        <v>show blot</v>
      </c>
      <c r="G4589" t="s">
        <v>4385</v>
      </c>
      <c r="I4589" s="6">
        <v>4.3596890901929086</v>
      </c>
      <c r="K4589" s="8"/>
    </row>
    <row r="4590" spans="1:11" ht="15" x14ac:dyDescent="0.25">
      <c r="A4590" s="3" t="str">
        <f>HYPERLINK("proteomic_fractions_linear_files/Yang_linear_img/255003746.jpg", "255003746")</f>
        <v>255003746</v>
      </c>
      <c r="C4590" s="3" t="str">
        <f>HYPERLINK("http://www.ncbi.nlm.nih.gov/protein/255003746","Mrpl40")</f>
        <v>Mrpl40</v>
      </c>
      <c r="E4590" t="str">
        <f>HYPERLINK("J:\Depot - mpkCCD Fractions\Main Web Page\Web Pages_old\proteomic_fractions_linear_files/Yang_linear_img/255003746.jpg","show blot")</f>
        <v>show blot</v>
      </c>
      <c r="G4590" t="s">
        <v>4386</v>
      </c>
      <c r="I4590" s="6">
        <v>4.2805255618060851</v>
      </c>
      <c r="K4590" s="8"/>
    </row>
    <row r="4591" spans="1:11" ht="15" x14ac:dyDescent="0.25">
      <c r="A4591" s="3" t="str">
        <f>HYPERLINK("proteomic_fractions_linear_files/Yang_linear_img/113461980.jpg", "113461980")</f>
        <v>113461980</v>
      </c>
      <c r="C4591" s="3" t="str">
        <f>HYPERLINK("http://www.ncbi.nlm.nih.gov/protein/113461980","Mrpl41")</f>
        <v>Mrpl41</v>
      </c>
      <c r="E4591" t="str">
        <f>HYPERLINK("J:\Depot - mpkCCD Fractions\Main Web Page\Web Pages_old\proteomic_fractions_linear_files/Yang_linear_img/113461980.jpg","show blot")</f>
        <v>show blot</v>
      </c>
      <c r="G4591" t="s">
        <v>4387</v>
      </c>
      <c r="I4591" s="6">
        <v>4.8208576221901804</v>
      </c>
      <c r="K4591" s="8"/>
    </row>
    <row r="4592" spans="1:11" ht="15" x14ac:dyDescent="0.25">
      <c r="A4592" s="3" t="str">
        <f>HYPERLINK("proteomic_fractions_linear_files/Yang_linear_img/13385564.jpg", "13385564")</f>
        <v>13385564</v>
      </c>
      <c r="C4592" s="3" t="str">
        <f>HYPERLINK("http://www.ncbi.nlm.nih.gov/protein/13385564","Mrpl42")</f>
        <v>Mrpl42</v>
      </c>
      <c r="E4592" t="str">
        <f>HYPERLINK("J:\Depot - mpkCCD Fractions\Main Web Page\Web Pages_old\proteomic_fractions_linear_files/Yang_linear_img/13385564.jpg","show blot")</f>
        <v>show blot</v>
      </c>
      <c r="G4592" t="s">
        <v>4388</v>
      </c>
      <c r="I4592" s="6">
        <v>3.8369765666499811</v>
      </c>
      <c r="K4592" s="8"/>
    </row>
    <row r="4593" spans="1:11" ht="15" x14ac:dyDescent="0.25">
      <c r="A4593" s="3" t="str">
        <f>HYPERLINK("proteomic_fractions_linear_files/Yang_linear_img/17298676.jpg", "17298676")</f>
        <v>17298676</v>
      </c>
      <c r="C4593" s="3" t="str">
        <f>HYPERLINK("http://www.ncbi.nlm.nih.gov/protein/17298676","Mrpl43")</f>
        <v>Mrpl43</v>
      </c>
      <c r="E4593" t="str">
        <f>HYPERLINK("J:\Depot - mpkCCD Fractions\Main Web Page\Web Pages_old\proteomic_fractions_linear_files/Yang_linear_img/17298676.jpg","show blot")</f>
        <v>show blot</v>
      </c>
      <c r="G4593" t="s">
        <v>4389</v>
      </c>
      <c r="I4593" s="6">
        <v>4.5550101212676966</v>
      </c>
      <c r="K4593" s="8"/>
    </row>
    <row r="4594" spans="1:11" ht="15" x14ac:dyDescent="0.25">
      <c r="A4594" s="3" t="str">
        <f>HYPERLINK("proteomic_fractions_linear_files/Yang_linear_img/124487075.jpg", "124487075")</f>
        <v>124487075</v>
      </c>
      <c r="C4594" s="3" t="str">
        <f>HYPERLINK("http://www.ncbi.nlm.nih.gov/protein/124487075","Mrpl44")</f>
        <v>Mrpl44</v>
      </c>
      <c r="E4594" t="str">
        <f>HYPERLINK("J:\Depot - mpkCCD Fractions\Main Web Page\Web Pages_old\proteomic_fractions_linear_files/Yang_linear_img/124487075.jpg","show blot")</f>
        <v>show blot</v>
      </c>
      <c r="G4594" t="s">
        <v>4390</v>
      </c>
      <c r="I4594" s="6">
        <v>4.4174021509928476</v>
      </c>
      <c r="K4594" s="8"/>
    </row>
    <row r="4595" spans="1:11" ht="15" x14ac:dyDescent="0.25">
      <c r="A4595" s="3" t="str">
        <f>HYPERLINK("proteomic_fractions_linear_files/Yang_linear_img/13385418.jpg", "13385418")</f>
        <v>13385418</v>
      </c>
      <c r="C4595" s="3" t="str">
        <f>HYPERLINK("http://www.ncbi.nlm.nih.gov/protein/13385418","Mrpl45")</f>
        <v>Mrpl45</v>
      </c>
      <c r="E4595" t="str">
        <f>HYPERLINK("J:\Depot - mpkCCD Fractions\Main Web Page\Web Pages_old\proteomic_fractions_linear_files/Yang_linear_img/13385418.jpg","show blot")</f>
        <v>show blot</v>
      </c>
      <c r="G4595" t="s">
        <v>4391</v>
      </c>
      <c r="I4595" s="6">
        <v>4.0010105961761964</v>
      </c>
      <c r="K4595" s="8"/>
    </row>
    <row r="4596" spans="1:11" ht="15" x14ac:dyDescent="0.25">
      <c r="A4596" s="3" t="str">
        <f>HYPERLINK("proteomic_fractions_linear_files/Yang_linear_img/12963643.jpg", "12963643")</f>
        <v>12963643</v>
      </c>
      <c r="C4596" s="3" t="str">
        <f>HYPERLINK("http://www.ncbi.nlm.nih.gov/protein/12963643","Mrpl46")</f>
        <v>Mrpl46</v>
      </c>
      <c r="E4596" t="str">
        <f>HYPERLINK("J:\Depot - mpkCCD Fractions\Main Web Page\Web Pages_old\proteomic_fractions_linear_files/Yang_linear_img/12963643.jpg","show blot")</f>
        <v>show blot</v>
      </c>
      <c r="G4596" t="s">
        <v>4392</v>
      </c>
      <c r="I4596" s="6">
        <v>4.7937793235289865</v>
      </c>
      <c r="K4596" s="8"/>
    </row>
    <row r="4597" spans="1:11" ht="15" x14ac:dyDescent="0.25">
      <c r="A4597" s="3" t="str">
        <f>HYPERLINK("proteomic_fractions_linear_files/Yang_linear_img/29826332.jpg", "29826332")</f>
        <v>29826332</v>
      </c>
      <c r="C4597" s="3" t="str">
        <f>HYPERLINK("http://www.ncbi.nlm.nih.gov/protein/29826332","Mrpl47")</f>
        <v>Mrpl47</v>
      </c>
      <c r="E4597" t="str">
        <f>HYPERLINK("J:\Depot - mpkCCD Fractions\Main Web Page\Web Pages_old\proteomic_fractions_linear_files/Yang_linear_img/29826332.jpg","show blot")</f>
        <v>show blot</v>
      </c>
      <c r="G4597" t="s">
        <v>4393</v>
      </c>
      <c r="I4597" s="6">
        <v>4.4432808036563731</v>
      </c>
      <c r="K4597" s="8"/>
    </row>
    <row r="4598" spans="1:11" ht="15" x14ac:dyDescent="0.25">
      <c r="A4598" s="3" t="str">
        <f>HYPERLINK("proteomic_fractions_linear_files/Yang_linear_img/148368964.jpg", "148368964")</f>
        <v>148368964</v>
      </c>
      <c r="C4598" s="3" t="str">
        <f>HYPERLINK("http://www.ncbi.nlm.nih.gov/protein/148368964","Mrpl48")</f>
        <v>Mrpl48</v>
      </c>
      <c r="E4598" t="str">
        <f>HYPERLINK("J:\Depot - mpkCCD Fractions\Main Web Page\Web Pages_old\proteomic_fractions_linear_files/Yang_linear_img/148368964.jpg","show blot")</f>
        <v>show blot</v>
      </c>
      <c r="G4598" t="s">
        <v>4394</v>
      </c>
      <c r="I4598" s="6">
        <v>4.625027435000888</v>
      </c>
      <c r="K4598" s="8"/>
    </row>
    <row r="4599" spans="1:11" ht="15" x14ac:dyDescent="0.25">
      <c r="A4599" s="3" t="str">
        <f>HYPERLINK("proteomic_fractions_linear_files/Yang_linear_img/13385752.jpg", "13385752")</f>
        <v>13385752</v>
      </c>
      <c r="C4599" s="3" t="str">
        <f>HYPERLINK("http://www.ncbi.nlm.nih.gov/protein/13385752","Mrpl49")</f>
        <v>Mrpl49</v>
      </c>
      <c r="E4599" t="str">
        <f>HYPERLINK("J:\Depot - mpkCCD Fractions\Main Web Page\Web Pages_old\proteomic_fractions_linear_files/Yang_linear_img/13385752.jpg","show blot")</f>
        <v>show blot</v>
      </c>
      <c r="G4599" t="s">
        <v>4395</v>
      </c>
      <c r="I4599" s="6">
        <v>4.9255154599082243</v>
      </c>
      <c r="K4599" s="8"/>
    </row>
    <row r="4600" spans="1:11" ht="15" x14ac:dyDescent="0.25">
      <c r="A4600" s="3" t="str">
        <f>HYPERLINK("proteomic_fractions_linear_files/Yang_linear_img/30519921.jpg", "30519921")</f>
        <v>30519921</v>
      </c>
      <c r="C4600" s="3" t="str">
        <f>HYPERLINK("http://www.ncbi.nlm.nih.gov/protein/30519921","Mrpl50")</f>
        <v>Mrpl50</v>
      </c>
      <c r="E4600" t="str">
        <f>HYPERLINK("J:\Depot - mpkCCD Fractions\Main Web Page\Web Pages_old\proteomic_fractions_linear_files/Yang_linear_img/30519921.jpg","show blot")</f>
        <v>show blot</v>
      </c>
      <c r="G4600" t="s">
        <v>4396</v>
      </c>
      <c r="I4600" s="6">
        <v>3.0210367553769375</v>
      </c>
      <c r="K4600" s="8"/>
    </row>
    <row r="4601" spans="1:11" ht="15" x14ac:dyDescent="0.25">
      <c r="A4601" s="3" t="str">
        <f>HYPERLINK("proteomic_fractions_linear_files/Yang_linear_img/13385050.jpg", "13385050")</f>
        <v>13385050</v>
      </c>
      <c r="C4601" s="3" t="str">
        <f>HYPERLINK("http://www.ncbi.nlm.nih.gov/protein/13385050","Mrpl51")</f>
        <v>Mrpl51</v>
      </c>
      <c r="E4601" t="str">
        <f>HYPERLINK("J:\Depot - mpkCCD Fractions\Main Web Page\Web Pages_old\proteomic_fractions_linear_files/Yang_linear_img/13385050.jpg","show blot")</f>
        <v>show blot</v>
      </c>
      <c r="G4601" t="s">
        <v>4397</v>
      </c>
      <c r="I4601" s="6">
        <v>3.4727534303225052</v>
      </c>
      <c r="K4601" s="8"/>
    </row>
    <row r="4602" spans="1:11" ht="15" x14ac:dyDescent="0.25">
      <c r="A4602" s="3" t="str">
        <f>HYPERLINK("proteomic_fractions_linear_files/Yang_linear_img/21313040.jpg", "21313040")</f>
        <v>21313040</v>
      </c>
      <c r="C4602" s="3" t="str">
        <f>HYPERLINK("http://www.ncbi.nlm.nih.gov/protein/21313040","Mrpl53")</f>
        <v>Mrpl53</v>
      </c>
      <c r="E4602" t="str">
        <f>HYPERLINK("J:\Depot - mpkCCD Fractions\Main Web Page\Web Pages_old\proteomic_fractions_linear_files/Yang_linear_img/21313040.jpg","show blot")</f>
        <v>show blot</v>
      </c>
      <c r="G4602" t="s">
        <v>4398</v>
      </c>
      <c r="I4602" s="6">
        <v>4.8472053060611353</v>
      </c>
      <c r="K4602" s="8"/>
    </row>
    <row r="4603" spans="1:11" ht="15" x14ac:dyDescent="0.25">
      <c r="A4603" s="3" t="str">
        <f>HYPERLINK("proteomic_fractions_linear_files/Yang_linear_img/21313400.jpg", "21313400")</f>
        <v>21313400</v>
      </c>
      <c r="C4603" s="3" t="str">
        <f>HYPERLINK("http://www.ncbi.nlm.nih.gov/protein/21313400","Mrpl55")</f>
        <v>Mrpl55</v>
      </c>
      <c r="E4603" t="str">
        <f>HYPERLINK("J:\Depot - mpkCCD Fractions\Main Web Page\Web Pages_old\proteomic_fractions_linear_files/Yang_linear_img/21313400.jpg","show blot")</f>
        <v>show blot</v>
      </c>
      <c r="G4603" t="s">
        <v>4399</v>
      </c>
      <c r="I4603" s="6">
        <v>4.4610866987210178</v>
      </c>
      <c r="K4603" s="8"/>
    </row>
    <row r="4604" spans="1:11" ht="15" x14ac:dyDescent="0.25">
      <c r="A4604" s="3" t="str">
        <f>HYPERLINK("proteomic_fractions_linear_files/Yang_linear_img/29789253.jpg", "29789253")</f>
        <v>29789253</v>
      </c>
      <c r="C4604" s="3" t="str">
        <f>HYPERLINK("http://www.ncbi.nlm.nih.gov/protein/29789253","Mrpl9")</f>
        <v>Mrpl9</v>
      </c>
      <c r="E4604" t="str">
        <f>HYPERLINK("J:\Depot - mpkCCD Fractions\Main Web Page\Web Pages_old\proteomic_fractions_linear_files/Yang_linear_img/29789253.jpg","show blot")</f>
        <v>show blot</v>
      </c>
      <c r="G4604" t="s">
        <v>4400</v>
      </c>
      <c r="I4604" s="6">
        <v>4.5990968279370952</v>
      </c>
      <c r="K4604" s="8"/>
    </row>
    <row r="4605" spans="1:11" ht="15" x14ac:dyDescent="0.25">
      <c r="A4605" s="3" t="str">
        <f>HYPERLINK("proteomic_fractions_linear_files/Yang_linear_img/226246598.jpg", "226246598")</f>
        <v>226246598</v>
      </c>
      <c r="C4605" s="3" t="str">
        <f>HYPERLINK("http://www.ncbi.nlm.nih.gov/protein/226246598","Mrps10")</f>
        <v>Mrps10</v>
      </c>
      <c r="E4605" t="str">
        <f>HYPERLINK("J:\Depot - mpkCCD Fractions\Main Web Page\Web Pages_old\proteomic_fractions_linear_files/Yang_linear_img/226246598.jpg","show blot")</f>
        <v>show blot</v>
      </c>
      <c r="G4605" t="s">
        <v>4401</v>
      </c>
      <c r="I4605" s="6">
        <v>4.6326249477293295</v>
      </c>
      <c r="K4605" s="8"/>
    </row>
    <row r="4606" spans="1:11" ht="15" x14ac:dyDescent="0.25">
      <c r="A4606" s="3" t="str">
        <f>HYPERLINK("proteomic_fractions_linear_files/Yang_linear_img/226246600.jpg", "226246600")</f>
        <v>226246600</v>
      </c>
      <c r="C4606" s="3" t="str">
        <f>HYPERLINK("http://www.ncbi.nlm.nih.gov/protein/226246600","Mrps10")</f>
        <v>Mrps10</v>
      </c>
      <c r="E4606" t="str">
        <f>HYPERLINK("J:\Depot - mpkCCD Fractions\Main Web Page\Web Pages_old\proteomic_fractions_linear_files/Yang_linear_img/226246600.jpg","show blot")</f>
        <v>show blot</v>
      </c>
      <c r="G4606" t="s">
        <v>4402</v>
      </c>
      <c r="I4606" s="6">
        <v>4.6326249477293295</v>
      </c>
      <c r="K4606" s="8"/>
    </row>
    <row r="4607" spans="1:11" ht="15" x14ac:dyDescent="0.25">
      <c r="A4607" s="3" t="str">
        <f>HYPERLINK("proteomic_fractions_linear_files/Yang_linear_img/226246602.jpg", "226246602")</f>
        <v>226246602</v>
      </c>
      <c r="C4607" s="3" t="str">
        <f>HYPERLINK("http://www.ncbi.nlm.nih.gov/protein/226246602","Mrps10")</f>
        <v>Mrps10</v>
      </c>
      <c r="E4607" t="str">
        <f>HYPERLINK("J:\Depot - mpkCCD Fractions\Main Web Page\Web Pages_old\proteomic_fractions_linear_files/Yang_linear_img/226246602.jpg","show blot")</f>
        <v>show blot</v>
      </c>
      <c r="G4607" t="s">
        <v>4403</v>
      </c>
      <c r="I4607" s="6">
        <v>4.6326249477293295</v>
      </c>
      <c r="K4607" s="8"/>
    </row>
    <row r="4608" spans="1:11" ht="15" x14ac:dyDescent="0.25">
      <c r="A4608" s="3" t="str">
        <f>HYPERLINK("proteomic_fractions_linear_files/Yang_linear_img/170650663.jpg", "170650663")</f>
        <v>170650663</v>
      </c>
      <c r="C4608" s="3" t="str">
        <f>HYPERLINK("http://www.ncbi.nlm.nih.gov/protein/170650663","Mrps11")</f>
        <v>Mrps11</v>
      </c>
      <c r="E4608" t="str">
        <f>HYPERLINK("J:\Depot - mpkCCD Fractions\Main Web Page\Web Pages_old\proteomic_fractions_linear_files/Yang_linear_img/170650663.jpg","show blot")</f>
        <v>show blot</v>
      </c>
      <c r="G4608" t="s">
        <v>4404</v>
      </c>
      <c r="I4608" s="6">
        <v>4.3752360854112942</v>
      </c>
      <c r="K4608" s="8"/>
    </row>
    <row r="4609" spans="1:11" ht="15" x14ac:dyDescent="0.25">
      <c r="A4609" s="3" t="str">
        <f>HYPERLINK("proteomic_fractions_linear_files/Yang_linear_img/6755360.jpg", "6755360")</f>
        <v>6755360</v>
      </c>
      <c r="C4609" s="3" t="str">
        <f>HYPERLINK("http://www.ncbi.nlm.nih.gov/protein/6755360","Mrps12")</f>
        <v>Mrps12</v>
      </c>
      <c r="E4609" t="str">
        <f>HYPERLINK("J:\Depot - mpkCCD Fractions\Main Web Page\Web Pages_old\proteomic_fractions_linear_files/Yang_linear_img/6755360.jpg","show blot")</f>
        <v>show blot</v>
      </c>
      <c r="G4609" t="s">
        <v>4405</v>
      </c>
      <c r="I4609" s="6">
        <v>3.1769246283443318</v>
      </c>
      <c r="K4609" s="8"/>
    </row>
    <row r="4610" spans="1:11" ht="15" x14ac:dyDescent="0.25">
      <c r="A4610" s="3" t="str">
        <f>HYPERLINK("proteomic_fractions_linear_files/Yang_linear_img/13384894.jpg", "13384894")</f>
        <v>13384894</v>
      </c>
      <c r="C4610" s="3" t="str">
        <f>HYPERLINK("http://www.ncbi.nlm.nih.gov/protein/13384894","Mrps14")</f>
        <v>Mrps14</v>
      </c>
      <c r="E4610" t="str">
        <f>HYPERLINK("J:\Depot - mpkCCD Fractions\Main Web Page\Web Pages_old\proteomic_fractions_linear_files/Yang_linear_img/13384894.jpg","show blot")</f>
        <v>show blot</v>
      </c>
      <c r="G4610" t="s">
        <v>4406</v>
      </c>
      <c r="I4610" s="6">
        <v>4.2680145824605411</v>
      </c>
      <c r="K4610" s="8"/>
    </row>
    <row r="4611" spans="1:11" ht="15" x14ac:dyDescent="0.25">
      <c r="A4611" s="3" t="str">
        <f>HYPERLINK("proteomic_fractions_linear_files/Yang_linear_img/48526512.jpg", "48526512")</f>
        <v>48526512</v>
      </c>
      <c r="C4611" s="3" t="str">
        <f>HYPERLINK("http://www.ncbi.nlm.nih.gov/protein/48526512","Mrps15")</f>
        <v>Mrps15</v>
      </c>
      <c r="E4611" t="str">
        <f>HYPERLINK("J:\Depot - mpkCCD Fractions\Main Web Page\Web Pages_old\proteomic_fractions_linear_files/Yang_linear_img/48526512.jpg","show blot")</f>
        <v>show blot</v>
      </c>
      <c r="G4611" t="s">
        <v>4407</v>
      </c>
      <c r="I4611" s="6">
        <v>4.5031041154582692</v>
      </c>
      <c r="K4611" s="8"/>
    </row>
    <row r="4612" spans="1:11" ht="15" x14ac:dyDescent="0.25">
      <c r="A4612" s="3" t="str">
        <f>HYPERLINK("proteomic_fractions_linear_files/Yang_linear_img/13384844.jpg", "13384844")</f>
        <v>13384844</v>
      </c>
      <c r="C4612" s="3" t="str">
        <f>HYPERLINK("http://www.ncbi.nlm.nih.gov/protein/13384844","Mrps16")</f>
        <v>Mrps16</v>
      </c>
      <c r="E4612" t="str">
        <f>HYPERLINK("J:\Depot - mpkCCD Fractions\Main Web Page\Web Pages_old\proteomic_fractions_linear_files/Yang_linear_img/13384844.jpg","show blot")</f>
        <v>show blot</v>
      </c>
      <c r="G4612" t="s">
        <v>4408</v>
      </c>
      <c r="I4612" s="6">
        <v>4.7040689003704061</v>
      </c>
      <c r="K4612" s="8"/>
    </row>
    <row r="4613" spans="1:11" ht="15" x14ac:dyDescent="0.25">
      <c r="A4613" s="3" t="str">
        <f>HYPERLINK("proteomic_fractions_linear_files/Yang_linear_img/13384854.jpg", "13384854")</f>
        <v>13384854</v>
      </c>
      <c r="C4613" s="3" t="str">
        <f>HYPERLINK("http://www.ncbi.nlm.nih.gov/protein/13384854","Mrps17")</f>
        <v>Mrps17</v>
      </c>
      <c r="E4613" t="str">
        <f>HYPERLINK("J:\Depot - mpkCCD Fractions\Main Web Page\Web Pages_old\proteomic_fractions_linear_files/Yang_linear_img/13384854.jpg","show blot")</f>
        <v>show blot</v>
      </c>
      <c r="G4613" t="s">
        <v>4409</v>
      </c>
      <c r="I4613" s="6">
        <v>4.9749920636650486</v>
      </c>
      <c r="K4613" s="8"/>
    </row>
    <row r="4614" spans="1:11" ht="15" x14ac:dyDescent="0.25">
      <c r="A4614" s="3" t="str">
        <f>HYPERLINK("proteomic_fractions_linear_files/Yang_linear_img/17505206.jpg", "17505206")</f>
        <v>17505206</v>
      </c>
      <c r="C4614" s="3" t="str">
        <f>HYPERLINK("http://www.ncbi.nlm.nih.gov/protein/17505206","Mrps18a")</f>
        <v>Mrps18a</v>
      </c>
      <c r="E4614" t="str">
        <f>HYPERLINK("J:\Depot - mpkCCD Fractions\Main Web Page\Web Pages_old\proteomic_fractions_linear_files/Yang_linear_img/17505206.jpg","show blot")</f>
        <v>show blot</v>
      </c>
      <c r="G4614" t="s">
        <v>4410</v>
      </c>
      <c r="I4614" s="6">
        <v>4.2844344232871236</v>
      </c>
      <c r="K4614" s="8"/>
    </row>
    <row r="4615" spans="1:11" ht="15" x14ac:dyDescent="0.25">
      <c r="A4615" s="3" t="str">
        <f>HYPERLINK("proteomic_fractions_linear_files/Yang_linear_img/23956152.jpg", "23956152")</f>
        <v>23956152</v>
      </c>
      <c r="C4615" s="3" t="str">
        <f>HYPERLINK("http://www.ncbi.nlm.nih.gov/protein/23956152","Mrps18b")</f>
        <v>Mrps18b</v>
      </c>
      <c r="E4615" t="str">
        <f>HYPERLINK("J:\Depot - mpkCCD Fractions\Main Web Page\Web Pages_old\proteomic_fractions_linear_files/Yang_linear_img/23956152.jpg","show blot")</f>
        <v>show blot</v>
      </c>
      <c r="G4615" t="s">
        <v>4411</v>
      </c>
      <c r="I4615" s="6">
        <v>3.4034546964872541</v>
      </c>
      <c r="K4615" s="8"/>
    </row>
    <row r="4616" spans="1:11" ht="15" x14ac:dyDescent="0.25">
      <c r="A4616" s="3" t="str">
        <f>HYPERLINK("proteomic_fractions_linear_files/Yang_linear_img/260593696.jpg", "260593696")</f>
        <v>260593696</v>
      </c>
      <c r="C4616" s="3" t="str">
        <f>HYPERLINK("http://www.ncbi.nlm.nih.gov/protein/260593696","Mrps2")</f>
        <v>Mrps2</v>
      </c>
      <c r="E4616" t="str">
        <f>HYPERLINK("J:\Depot - mpkCCD Fractions\Main Web Page\Web Pages_old\proteomic_fractions_linear_files/Yang_linear_img/260593696.jpg","show blot")</f>
        <v>show blot</v>
      </c>
      <c r="G4616" t="s">
        <v>4412</v>
      </c>
      <c r="I4616" s="6">
        <v>4.7319820304541969</v>
      </c>
      <c r="K4616" s="8"/>
    </row>
    <row r="4617" spans="1:11" ht="15" x14ac:dyDescent="0.25">
      <c r="A4617" s="3" t="str">
        <f>HYPERLINK("proteomic_fractions_linear_files/Yang_linear_img/260593698.jpg", "260593698")</f>
        <v>260593698</v>
      </c>
      <c r="C4617" s="3" t="str">
        <f>HYPERLINK("http://www.ncbi.nlm.nih.gov/protein/260593698","Mrps2")</f>
        <v>Mrps2</v>
      </c>
      <c r="E4617" t="str">
        <f>HYPERLINK("J:\Depot - mpkCCD Fractions\Main Web Page\Web Pages_old\proteomic_fractions_linear_files/Yang_linear_img/260593698.jpg","show blot")</f>
        <v>show blot</v>
      </c>
      <c r="G4617" t="s">
        <v>4413</v>
      </c>
      <c r="I4617" s="6">
        <v>4.7319820304541969</v>
      </c>
      <c r="K4617" s="8"/>
    </row>
    <row r="4618" spans="1:11" ht="15" x14ac:dyDescent="0.25">
      <c r="A4618" s="3" t="str">
        <f>HYPERLINK("proteomic_fractions_linear_files/Yang_linear_img/17505220.jpg", "17505220")</f>
        <v>17505220</v>
      </c>
      <c r="C4618" s="3" t="str">
        <f>HYPERLINK("http://www.ncbi.nlm.nih.gov/protein/17505220","Mrps21")</f>
        <v>Mrps21</v>
      </c>
      <c r="E4618" t="str">
        <f>HYPERLINK("J:\Depot - mpkCCD Fractions\Main Web Page\Web Pages_old\proteomic_fractions_linear_files/Yang_linear_img/17505220.jpg","show blot")</f>
        <v>show blot</v>
      </c>
      <c r="G4618" t="s">
        <v>4414</v>
      </c>
      <c r="I4618" s="6">
        <v>4.7100064904318204</v>
      </c>
      <c r="K4618" s="8"/>
    </row>
    <row r="4619" spans="1:11" ht="15" x14ac:dyDescent="0.25">
      <c r="A4619" s="3" t="str">
        <f>HYPERLINK("proteomic_fractions_linear_files/Yang_linear_img/13384904.jpg", "13384904")</f>
        <v>13384904</v>
      </c>
      <c r="C4619" s="3" t="str">
        <f>HYPERLINK("http://www.ncbi.nlm.nih.gov/protein/13384904","Mrps22")</f>
        <v>Mrps22</v>
      </c>
      <c r="E4619" t="str">
        <f>HYPERLINK("J:\Depot - mpkCCD Fractions\Main Web Page\Web Pages_old\proteomic_fractions_linear_files/Yang_linear_img/13384904.jpg","show blot")</f>
        <v>show blot</v>
      </c>
      <c r="G4619" t="s">
        <v>4415</v>
      </c>
      <c r="I4619" s="6">
        <v>4.5633833737622247</v>
      </c>
      <c r="K4619" s="8"/>
    </row>
    <row r="4620" spans="1:11" ht="15" x14ac:dyDescent="0.25">
      <c r="A4620" s="3" t="str">
        <f>HYPERLINK("proteomic_fractions_linear_files/Yang_linear_img/27228982.jpg", "27228982")</f>
        <v>27228982</v>
      </c>
      <c r="C4620" s="3" t="str">
        <f>HYPERLINK("http://www.ncbi.nlm.nih.gov/protein/27228982","Mrps23")</f>
        <v>Mrps23</v>
      </c>
      <c r="E4620" t="str">
        <f>HYPERLINK("J:\Depot - mpkCCD Fractions\Main Web Page\Web Pages_old\proteomic_fractions_linear_files/Yang_linear_img/27228982.jpg","show blot")</f>
        <v>show blot</v>
      </c>
      <c r="G4620" t="s">
        <v>4416</v>
      </c>
      <c r="I4620" s="6">
        <v>5.145352965017957</v>
      </c>
      <c r="K4620" s="8"/>
    </row>
    <row r="4621" spans="1:11" ht="15" x14ac:dyDescent="0.25">
      <c r="A4621" s="3" t="str">
        <f>HYPERLINK("proteomic_fractions_linear_files/Yang_linear_img/13385578.jpg", "13385578")</f>
        <v>13385578</v>
      </c>
      <c r="C4621" s="3" t="str">
        <f>HYPERLINK("http://www.ncbi.nlm.nih.gov/protein/13385578","Mrps24")</f>
        <v>Mrps24</v>
      </c>
      <c r="E4621" t="str">
        <f>HYPERLINK("J:\Depot - mpkCCD Fractions\Main Web Page\Web Pages_old\proteomic_fractions_linear_files/Yang_linear_img/13385578.jpg","show blot")</f>
        <v>show blot</v>
      </c>
      <c r="G4621" t="s">
        <v>4417</v>
      </c>
      <c r="I4621" s="6">
        <v>4.628925092144784</v>
      </c>
      <c r="K4621" s="8"/>
    </row>
    <row r="4622" spans="1:11" ht="15" x14ac:dyDescent="0.25">
      <c r="A4622" s="3" t="str">
        <f>HYPERLINK("proteomic_fractions_linear_files/Yang_linear_img/31981257.jpg", "31981257")</f>
        <v>31981257</v>
      </c>
      <c r="C4622" s="3" t="str">
        <f>HYPERLINK("http://www.ncbi.nlm.nih.gov/protein/31981257","Mrps25")</f>
        <v>Mrps25</v>
      </c>
      <c r="E4622" t="str">
        <f>HYPERLINK("J:\Depot - mpkCCD Fractions\Main Web Page\Web Pages_old\proteomic_fractions_linear_files/Yang_linear_img/31981257.jpg","show blot")</f>
        <v>show blot</v>
      </c>
      <c r="G4622" t="s">
        <v>4418</v>
      </c>
      <c r="I4622" s="6">
        <v>3.5859862256588246</v>
      </c>
      <c r="K4622" s="8"/>
    </row>
    <row r="4623" spans="1:11" ht="15" x14ac:dyDescent="0.25">
      <c r="A4623" s="3" t="str">
        <f>HYPERLINK("proteomic_fractions_linear_files/Yang_linear_img/46402169.jpg", "46402169")</f>
        <v>46402169</v>
      </c>
      <c r="C4623" s="3" t="str">
        <f>HYPERLINK("http://www.ncbi.nlm.nih.gov/protein/46402169","Mrps26")</f>
        <v>Mrps26</v>
      </c>
      <c r="E4623" t="str">
        <f>HYPERLINK("J:\Depot - mpkCCD Fractions\Main Web Page\Web Pages_old\proteomic_fractions_linear_files/Yang_linear_img/46402169.jpg","show blot")</f>
        <v>show blot</v>
      </c>
      <c r="G4623" t="s">
        <v>4419</v>
      </c>
      <c r="I4623" s="6">
        <v>4.6728966895576436</v>
      </c>
      <c r="K4623" s="8"/>
    </row>
    <row r="4624" spans="1:11" ht="15" x14ac:dyDescent="0.25">
      <c r="A4624" s="3" t="str">
        <f>HYPERLINK("proteomic_fractions_linear_files/Yang_linear_img/50980303.jpg", "50980303")</f>
        <v>50980303</v>
      </c>
      <c r="C4624" s="3" t="str">
        <f>HYPERLINK("http://www.ncbi.nlm.nih.gov/protein/50980303","Mrps27")</f>
        <v>Mrps27</v>
      </c>
      <c r="E4624" t="str">
        <f>HYPERLINK("J:\Depot - mpkCCD Fractions\Main Web Page\Web Pages_old\proteomic_fractions_linear_files/Yang_linear_img/50980303.jpg","show blot")</f>
        <v>show blot</v>
      </c>
      <c r="G4624" t="s">
        <v>4420</v>
      </c>
      <c r="I4624" s="6">
        <v>4.5888061494241414</v>
      </c>
      <c r="K4624" s="8"/>
    </row>
    <row r="4625" spans="1:11" ht="15" x14ac:dyDescent="0.25">
      <c r="A4625" s="3" t="str">
        <f>HYPERLINK("proteomic_fractions_linear_files/Yang_linear_img/254587936.jpg", "254587936")</f>
        <v>254587936</v>
      </c>
      <c r="C4625" s="3" t="str">
        <f>HYPERLINK("http://www.ncbi.nlm.nih.gov/protein/254587936","Mrps28")</f>
        <v>Mrps28</v>
      </c>
      <c r="E4625" t="str">
        <f>HYPERLINK("J:\Depot - mpkCCD Fractions\Main Web Page\Web Pages_old\proteomic_fractions_linear_files/Yang_linear_img/254587936.jpg","show blot")</f>
        <v>show blot</v>
      </c>
      <c r="G4625" t="s">
        <v>4421</v>
      </c>
      <c r="I4625" s="6">
        <v>4.5663629768774419</v>
      </c>
      <c r="K4625" s="8"/>
    </row>
    <row r="4626" spans="1:11" ht="15" x14ac:dyDescent="0.25">
      <c r="A4626" s="3" t="str">
        <f>HYPERLINK("proteomic_fractions_linear_files/Yang_linear_img/29789128.jpg", "29789128")</f>
        <v>29789128</v>
      </c>
      <c r="C4626" s="3" t="str">
        <f>HYPERLINK("http://www.ncbi.nlm.nih.gov/protein/29789128","Mrps30")</f>
        <v>Mrps30</v>
      </c>
      <c r="E4626" t="str">
        <f>HYPERLINK("J:\Depot - mpkCCD Fractions\Main Web Page\Web Pages_old\proteomic_fractions_linear_files/Yang_linear_img/29789128.jpg","show blot")</f>
        <v>show blot</v>
      </c>
      <c r="G4626" t="s">
        <v>4422</v>
      </c>
      <c r="I4626" s="6">
        <v>4.4750340155522466</v>
      </c>
      <c r="K4626" s="8"/>
    </row>
    <row r="4627" spans="1:11" ht="15" x14ac:dyDescent="0.25">
      <c r="A4627" s="3" t="str">
        <f>HYPERLINK("proteomic_fractions_linear_files/Yang_linear_img/10181116.jpg", "10181116")</f>
        <v>10181116</v>
      </c>
      <c r="C4627" s="3" t="str">
        <f>HYPERLINK("http://www.ncbi.nlm.nih.gov/protein/10181116","Mrps31")</f>
        <v>Mrps31</v>
      </c>
      <c r="E4627" t="str">
        <f>HYPERLINK("J:\Depot - mpkCCD Fractions\Main Web Page\Web Pages_old\proteomic_fractions_linear_files/Yang_linear_img/10181116.jpg","show blot")</f>
        <v>show blot</v>
      </c>
      <c r="G4627" t="s">
        <v>4423</v>
      </c>
      <c r="I4627" s="6">
        <v>3.8285463171922709</v>
      </c>
      <c r="K4627" s="8"/>
    </row>
    <row r="4628" spans="1:11" ht="15" x14ac:dyDescent="0.25">
      <c r="A4628" s="3" t="str">
        <f>HYPERLINK("proteomic_fractions_linear_files/Yang_linear_img/33859564.jpg", "33859564")</f>
        <v>33859564</v>
      </c>
      <c r="C4628" s="3" t="str">
        <f>HYPERLINK("http://www.ncbi.nlm.nih.gov/protein/33859564","Mrps33")</f>
        <v>Mrps33</v>
      </c>
      <c r="E4628" t="str">
        <f>HYPERLINK("J:\Depot - mpkCCD Fractions\Main Web Page\Web Pages_old\proteomic_fractions_linear_files/Yang_linear_img/33859564.jpg","show blot")</f>
        <v>show blot</v>
      </c>
      <c r="G4628" t="s">
        <v>4424</v>
      </c>
      <c r="I4628" s="6">
        <v>4.6669245984673831</v>
      </c>
      <c r="K4628" s="8"/>
    </row>
    <row r="4629" spans="1:11" ht="15" x14ac:dyDescent="0.25">
      <c r="A4629" s="3" t="str">
        <f>HYPERLINK("proteomic_fractions_linear_files/Yang_linear_img/13385670.jpg", "13385670")</f>
        <v>13385670</v>
      </c>
      <c r="C4629" s="3" t="str">
        <f>HYPERLINK("http://www.ncbi.nlm.nih.gov/protein/13385670","Mrps34")</f>
        <v>Mrps34</v>
      </c>
      <c r="E4629" t="str">
        <f>HYPERLINK("J:\Depot - mpkCCD Fractions\Main Web Page\Web Pages_old\proteomic_fractions_linear_files/Yang_linear_img/13385670.jpg","show blot")</f>
        <v>show blot</v>
      </c>
      <c r="G4629" t="s">
        <v>4425</v>
      </c>
      <c r="I4629" s="6">
        <v>5.136168310437319</v>
      </c>
      <c r="K4629" s="8"/>
    </row>
    <row r="4630" spans="1:11" ht="15" x14ac:dyDescent="0.25">
      <c r="A4630" s="3" t="str">
        <f>HYPERLINK("proteomic_fractions_linear_files/Yang_linear_img/148235701.jpg", "148235701")</f>
        <v>148235701</v>
      </c>
      <c r="C4630" s="3" t="str">
        <f>HYPERLINK("http://www.ncbi.nlm.nih.gov/protein/148235701","Mrps35")</f>
        <v>Mrps35</v>
      </c>
      <c r="E4630" t="str">
        <f>HYPERLINK("J:\Depot - mpkCCD Fractions\Main Web Page\Web Pages_old\proteomic_fractions_linear_files/Yang_linear_img/148235701.jpg","show blot")</f>
        <v>show blot</v>
      </c>
      <c r="G4630" t="s">
        <v>4426</v>
      </c>
      <c r="I4630" s="6">
        <v>4.0500037028472464</v>
      </c>
      <c r="K4630" s="8"/>
    </row>
    <row r="4631" spans="1:11" ht="15" x14ac:dyDescent="0.25">
      <c r="A4631" s="3" t="str">
        <f>HYPERLINK("proteomic_fractions_linear_files/Yang_linear_img/13384742.jpg", "13384742")</f>
        <v>13384742</v>
      </c>
      <c r="C4631" s="3" t="str">
        <f>HYPERLINK("http://www.ncbi.nlm.nih.gov/protein/13384742","Mrps36")</f>
        <v>Mrps36</v>
      </c>
      <c r="E4631" t="str">
        <f>HYPERLINK("J:\Depot - mpkCCD Fractions\Main Web Page\Web Pages_old\proteomic_fractions_linear_files/Yang_linear_img/13384742.jpg","show blot")</f>
        <v>show blot</v>
      </c>
      <c r="G4631" t="s">
        <v>4427</v>
      </c>
      <c r="I4631" s="6">
        <v>3.6126531979057694</v>
      </c>
      <c r="K4631" s="8"/>
    </row>
    <row r="4632" spans="1:11" ht="15" x14ac:dyDescent="0.25">
      <c r="A4632" s="3" t="str">
        <f>HYPERLINK("proteomic_fractions_linear_files/Yang_linear_img/298286543.jpg", "298286543")</f>
        <v>298286543</v>
      </c>
      <c r="C4632" s="3" t="str">
        <f>HYPERLINK("http://www.ncbi.nlm.nih.gov/protein/298286543","Mrps36")</f>
        <v>Mrps36</v>
      </c>
      <c r="E4632" t="str">
        <f>HYPERLINK("J:\Depot - mpkCCD Fractions\Main Web Page\Web Pages_old\proteomic_fractions_linear_files/Yang_linear_img/298286543.jpg","show blot")</f>
        <v>show blot</v>
      </c>
      <c r="G4632" t="s">
        <v>4428</v>
      </c>
      <c r="I4632" s="6">
        <v>3.6126531979057694</v>
      </c>
      <c r="K4632" s="8"/>
    </row>
    <row r="4633" spans="1:11" ht="15" x14ac:dyDescent="0.25">
      <c r="A4633" s="3" t="str">
        <f>HYPERLINK("proteomic_fractions_linear_files/Yang_linear_img/17157985.jpg", "17157985")</f>
        <v>17157985</v>
      </c>
      <c r="C4633" s="3" t="str">
        <f>HYPERLINK("http://www.ncbi.nlm.nih.gov/protein/17157985","Mrps5")</f>
        <v>Mrps5</v>
      </c>
      <c r="E4633" t="str">
        <f>HYPERLINK("J:\Depot - mpkCCD Fractions\Main Web Page\Web Pages_old\proteomic_fractions_linear_files/Yang_linear_img/17157985.jpg","show blot")</f>
        <v>show blot</v>
      </c>
      <c r="G4633" t="s">
        <v>4429</v>
      </c>
      <c r="I4633" s="6">
        <v>4.2013927450707254</v>
      </c>
      <c r="K4633" s="8"/>
    </row>
    <row r="4634" spans="1:11" ht="15" x14ac:dyDescent="0.25">
      <c r="A4634" s="3" t="str">
        <f>HYPERLINK("proteomic_fractions_linear_files/Yang_linear_img/23956244.jpg", "23956244")</f>
        <v>23956244</v>
      </c>
      <c r="C4634" s="3" t="str">
        <f>HYPERLINK("http://www.ncbi.nlm.nih.gov/protein/23956244","Mrps6")</f>
        <v>Mrps6</v>
      </c>
      <c r="E4634" t="str">
        <f>HYPERLINK("J:\Depot - mpkCCD Fractions\Main Web Page\Web Pages_old\proteomic_fractions_linear_files/Yang_linear_img/23956244.jpg","show blot")</f>
        <v>show blot</v>
      </c>
      <c r="G4634" t="s">
        <v>4430</v>
      </c>
      <c r="I4634" s="6">
        <v>4.683544589002949</v>
      </c>
      <c r="K4634" s="8"/>
    </row>
    <row r="4635" spans="1:11" ht="15" x14ac:dyDescent="0.25">
      <c r="A4635" s="3" t="str">
        <f>HYPERLINK("proteomic_fractions_linear_files/Yang_linear_img/30794474.jpg", "30794474")</f>
        <v>30794474</v>
      </c>
      <c r="C4635" s="3" t="str">
        <f>HYPERLINK("http://www.ncbi.nlm.nih.gov/protein/30794474","Mrps7")</f>
        <v>Mrps7</v>
      </c>
      <c r="E4635" t="str">
        <f>HYPERLINK("J:\Depot - mpkCCD Fractions\Main Web Page\Web Pages_old\proteomic_fractions_linear_files/Yang_linear_img/30794474.jpg","show blot")</f>
        <v>show blot</v>
      </c>
      <c r="G4635" t="s">
        <v>4431</v>
      </c>
      <c r="I4635" s="6">
        <v>5.2334006169276028</v>
      </c>
      <c r="K4635" s="8"/>
    </row>
    <row r="4636" spans="1:11" ht="15" x14ac:dyDescent="0.25">
      <c r="A4636" s="3" t="str">
        <f>HYPERLINK("proteomic_fractions_linear_files/Yang_linear_img/169790909.jpg", "169790909")</f>
        <v>169790909</v>
      </c>
      <c r="C4636" s="3" t="str">
        <f>HYPERLINK("http://www.ncbi.nlm.nih.gov/protein/169790909","Mrps9")</f>
        <v>Mrps9</v>
      </c>
      <c r="E4636" t="str">
        <f>HYPERLINK("J:\Depot - mpkCCD Fractions\Main Web Page\Web Pages_old\proteomic_fractions_linear_files/Yang_linear_img/169790909.jpg","show blot")</f>
        <v>show blot</v>
      </c>
      <c r="G4636" t="s">
        <v>4432</v>
      </c>
      <c r="I4636" s="6">
        <v>4.9557359239853023</v>
      </c>
      <c r="K4636" s="8"/>
    </row>
    <row r="4637" spans="1:11" ht="15" x14ac:dyDescent="0.25">
      <c r="A4637" s="3" t="str">
        <f>HYPERLINK("proteomic_fractions_linear_files/Yang_linear_img/21312752.jpg", "21312752")</f>
        <v>21312752</v>
      </c>
      <c r="C4637" s="3" t="str">
        <f>HYPERLINK("http://www.ncbi.nlm.nih.gov/protein/21312752","Mrrf")</f>
        <v>Mrrf</v>
      </c>
      <c r="E4637" t="str">
        <f>HYPERLINK("J:\Depot - mpkCCD Fractions\Main Web Page\Web Pages_old\proteomic_fractions_linear_files/Yang_linear_img/21312752.jpg","show blot")</f>
        <v>show blot</v>
      </c>
      <c r="G4637" t="s">
        <v>4433</v>
      </c>
      <c r="I4637" s="6">
        <v>4.6200776420535226</v>
      </c>
      <c r="K4637" s="8"/>
    </row>
    <row r="4638" spans="1:11" ht="15" x14ac:dyDescent="0.25">
      <c r="A4638" s="3" t="str">
        <f>HYPERLINK("proteomic_fractions_linear_files/Yang_linear_img/37537520.jpg", "37537520")</f>
        <v>37537520</v>
      </c>
      <c r="C4638" s="3" t="str">
        <f>HYPERLINK("http://www.ncbi.nlm.nih.gov/protein/37537520","Mrto4")</f>
        <v>Mrto4</v>
      </c>
      <c r="E4638" t="str">
        <f>HYPERLINK("J:\Depot - mpkCCD Fractions\Main Web Page\Web Pages_old\proteomic_fractions_linear_files/Yang_linear_img/37537520.jpg","show blot")</f>
        <v>show blot</v>
      </c>
      <c r="G4638" t="s">
        <v>4434</v>
      </c>
      <c r="I4638" s="6">
        <v>4.8858882553227003</v>
      </c>
      <c r="K4638" s="8"/>
    </row>
    <row r="4639" spans="1:11" ht="15" x14ac:dyDescent="0.25">
      <c r="A4639" s="3" t="str">
        <f>HYPERLINK("proteomic_fractions_linear_files/Yang_linear_img/6678938.jpg", "6678938")</f>
        <v>6678938</v>
      </c>
      <c r="C4639" s="3" t="str">
        <f>HYPERLINK("http://www.ncbi.nlm.nih.gov/protein/6678938","Msh2")</f>
        <v>Msh2</v>
      </c>
      <c r="E4639" t="str">
        <f>HYPERLINK("J:\Depot - mpkCCD Fractions\Main Web Page\Web Pages_old\proteomic_fractions_linear_files/Yang_linear_img/6678938.jpg","show blot")</f>
        <v>show blot</v>
      </c>
      <c r="G4639" t="s">
        <v>4435</v>
      </c>
      <c r="I4639" s="6">
        <v>5.5594935421801335</v>
      </c>
      <c r="K4639" s="8"/>
    </row>
    <row r="4640" spans="1:11" ht="15" x14ac:dyDescent="0.25">
      <c r="A4640" s="3" t="str">
        <f>HYPERLINK("proteomic_fractions_linear_files/Yang_linear_img/6754744.jpg", "6754744")</f>
        <v>6754744</v>
      </c>
      <c r="C4640" s="3" t="str">
        <f>HYPERLINK("http://www.ncbi.nlm.nih.gov/protein/6754744","Msh6")</f>
        <v>Msh6</v>
      </c>
      <c r="E4640" t="str">
        <f>HYPERLINK("J:\Depot - mpkCCD Fractions\Main Web Page\Web Pages_old\proteomic_fractions_linear_files/Yang_linear_img/6754744.jpg","show blot")</f>
        <v>show blot</v>
      </c>
      <c r="G4640" t="s">
        <v>4436</v>
      </c>
      <c r="I4640" s="6">
        <v>5.5146570243700213</v>
      </c>
      <c r="K4640" s="8"/>
    </row>
    <row r="4641" spans="1:11" ht="15" x14ac:dyDescent="0.25">
      <c r="A4641" s="3" t="str">
        <f>HYPERLINK("proteomic_fractions_linear_files/Yang_linear_img/6678940.jpg", "6678940")</f>
        <v>6678940</v>
      </c>
      <c r="C4641" s="3" t="str">
        <f>HYPERLINK("http://www.ncbi.nlm.nih.gov/protein/6678940","Msi1")</f>
        <v>Msi1</v>
      </c>
      <c r="E4641" t="str">
        <f>HYPERLINK("J:\Depot - mpkCCD Fractions\Main Web Page\Web Pages_old\proteomic_fractions_linear_files/Yang_linear_img/6678940.jpg","show blot")</f>
        <v>show blot</v>
      </c>
      <c r="G4641" t="s">
        <v>4437</v>
      </c>
      <c r="I4641" s="6">
        <v>4.4616694477130512</v>
      </c>
      <c r="K4641" s="8"/>
    </row>
    <row r="4642" spans="1:11" ht="15" x14ac:dyDescent="0.25">
      <c r="A4642" s="3" t="str">
        <f>HYPERLINK("proteomic_fractions_linear_files/Yang_linear_img/17157989.jpg", "17157989")</f>
        <v>17157989</v>
      </c>
      <c r="C4642" s="3" t="str">
        <f>HYPERLINK("http://www.ncbi.nlm.nih.gov/protein/17157989","Msi2")</f>
        <v>Msi2</v>
      </c>
      <c r="E4642" t="str">
        <f>HYPERLINK("J:\Depot - mpkCCD Fractions\Main Web Page\Web Pages_old\proteomic_fractions_linear_files/Yang_linear_img/17157989.jpg","show blot")</f>
        <v>show blot</v>
      </c>
      <c r="G4642" t="s">
        <v>4438</v>
      </c>
      <c r="I4642" s="6">
        <v>5.7902219837702882</v>
      </c>
      <c r="K4642" s="8"/>
    </row>
    <row r="4643" spans="1:11" ht="15" x14ac:dyDescent="0.25">
      <c r="A4643" s="3" t="str">
        <f>HYPERLINK("proteomic_fractions_linear_files/Yang_linear_img/318843692.jpg", "318843692")</f>
        <v>318843692</v>
      </c>
      <c r="C4643" s="3" t="str">
        <f>HYPERLINK("http://www.ncbi.nlm.nih.gov/protein/318843692","Msi2")</f>
        <v>Msi2</v>
      </c>
      <c r="E4643" t="str">
        <f>HYPERLINK("J:\Depot - mpkCCD Fractions\Main Web Page\Web Pages_old\proteomic_fractions_linear_files/Yang_linear_img/318843692.jpg","show blot")</f>
        <v>show blot</v>
      </c>
      <c r="G4643" t="s">
        <v>4439</v>
      </c>
      <c r="I4643" s="6">
        <v>5.7902219837702882</v>
      </c>
      <c r="K4643" s="8"/>
    </row>
    <row r="4644" spans="1:11" ht="15" x14ac:dyDescent="0.25">
      <c r="A4644" s="3" t="str">
        <f>HYPERLINK("proteomic_fractions_linear_files/Yang_linear_img/70778915.jpg", "70778915")</f>
        <v>70778915</v>
      </c>
      <c r="C4644" s="3" t="str">
        <f>HYPERLINK("http://www.ncbi.nlm.nih.gov/protein/70778915","Msn")</f>
        <v>Msn</v>
      </c>
      <c r="E4644" t="str">
        <f>HYPERLINK("J:\Depot - mpkCCD Fractions\Main Web Page\Web Pages_old\proteomic_fractions_linear_files/Yang_linear_img/70778915.jpg","show blot")</f>
        <v>show blot</v>
      </c>
      <c r="G4644" t="s">
        <v>4440</v>
      </c>
      <c r="I4644" s="6">
        <v>6.6668404891505357</v>
      </c>
      <c r="K4644" s="8"/>
    </row>
    <row r="4645" spans="1:11" ht="15" x14ac:dyDescent="0.25">
      <c r="A4645" s="3" t="str">
        <f>HYPERLINK("proteomic_fractions_linear_files/Yang_linear_img/31981013.jpg", "31981013")</f>
        <v>31981013</v>
      </c>
      <c r="C4645" s="3" t="str">
        <f>HYPERLINK("http://www.ncbi.nlm.nih.gov/protein/31981013","Msra")</f>
        <v>Msra</v>
      </c>
      <c r="E4645" t="str">
        <f>HYPERLINK("J:\Depot - mpkCCD Fractions\Main Web Page\Web Pages_old\proteomic_fractions_linear_files/Yang_linear_img/31981013.jpg","show blot")</f>
        <v>show blot</v>
      </c>
      <c r="G4645" t="s">
        <v>4441</v>
      </c>
      <c r="I4645" s="6">
        <v>4.8582078489240317</v>
      </c>
      <c r="K4645" s="8"/>
    </row>
    <row r="4646" spans="1:11" ht="15" x14ac:dyDescent="0.25">
      <c r="A4646" s="3" t="str">
        <f>HYPERLINK("proteomic_fractions_linear_files/Yang_linear_img/358679363.jpg", "358679363")</f>
        <v>358679363</v>
      </c>
      <c r="C4646" s="3" t="str">
        <f>HYPERLINK("http://www.ncbi.nlm.nih.gov/protein/358679363","Msra")</f>
        <v>Msra</v>
      </c>
      <c r="E4646" t="str">
        <f>HYPERLINK("J:\Depot - mpkCCD Fractions\Main Web Page\Web Pages_old\proteomic_fractions_linear_files/Yang_linear_img/358679363.jpg","show blot")</f>
        <v>show blot</v>
      </c>
      <c r="G4646" t="s">
        <v>4442</v>
      </c>
      <c r="I4646" s="6">
        <v>4.8582078489240317</v>
      </c>
      <c r="K4646" s="8"/>
    </row>
    <row r="4647" spans="1:11" ht="15" x14ac:dyDescent="0.25">
      <c r="A4647" s="3" t="str">
        <f>HYPERLINK("proteomic_fractions_linear_files/Yang_linear_img/358679365.jpg", "358679365")</f>
        <v>358679365</v>
      </c>
      <c r="C4647" s="3" t="str">
        <f>HYPERLINK("http://www.ncbi.nlm.nih.gov/protein/358679365","Msra")</f>
        <v>Msra</v>
      </c>
      <c r="E4647" t="str">
        <f>HYPERLINK("J:\Depot - mpkCCD Fractions\Main Web Page\Web Pages_old\proteomic_fractions_linear_files/Yang_linear_img/358679365.jpg","show blot")</f>
        <v>show blot</v>
      </c>
      <c r="G4647" t="s">
        <v>4443</v>
      </c>
      <c r="I4647" s="6">
        <v>4.8582078489240317</v>
      </c>
      <c r="K4647" s="8"/>
    </row>
    <row r="4648" spans="1:11" ht="15" x14ac:dyDescent="0.25">
      <c r="A4648" s="3" t="str">
        <f>HYPERLINK("proteomic_fractions_linear_files/Yang_linear_img/358679367.jpg", "358679367")</f>
        <v>358679367</v>
      </c>
      <c r="C4648" s="3" t="str">
        <f>HYPERLINK("http://www.ncbi.nlm.nih.gov/protein/358679367","Msra")</f>
        <v>Msra</v>
      </c>
      <c r="E4648" t="str">
        <f>HYPERLINK("J:\Depot - mpkCCD Fractions\Main Web Page\Web Pages_old\proteomic_fractions_linear_files/Yang_linear_img/358679367.jpg","show blot")</f>
        <v>show blot</v>
      </c>
      <c r="G4648" t="s">
        <v>4444</v>
      </c>
      <c r="I4648" s="6">
        <v>4.8582078489240317</v>
      </c>
      <c r="K4648" s="8"/>
    </row>
    <row r="4649" spans="1:11" ht="15" x14ac:dyDescent="0.25">
      <c r="A4649" s="3" t="str">
        <f>HYPERLINK("proteomic_fractions_linear_files/Yang_linear_img/254826769.jpg", "254826769")</f>
        <v>254826769</v>
      </c>
      <c r="C4649" s="3" t="str">
        <f>HYPERLINK("http://www.ncbi.nlm.nih.gov/protein/254826769","Mst1r")</f>
        <v>Mst1r</v>
      </c>
      <c r="E4649" t="str">
        <f>HYPERLINK("J:\Depot - mpkCCD Fractions\Main Web Page\Web Pages_old\proteomic_fractions_linear_files/Yang_linear_img/254826769.jpg","show blot")</f>
        <v>show blot</v>
      </c>
      <c r="G4649" t="s">
        <v>4445</v>
      </c>
      <c r="I4649" s="6">
        <v>4.2022661802515557</v>
      </c>
      <c r="K4649" s="8"/>
    </row>
    <row r="4650" spans="1:11" ht="15" x14ac:dyDescent="0.25">
      <c r="A4650" s="3" t="str">
        <f>HYPERLINK("proteomic_fractions_linear_files/Yang_linear_img/254692960.jpg", "254692960")</f>
        <v>254692960</v>
      </c>
      <c r="C4650" s="3" t="str">
        <f>HYPERLINK("http://www.ncbi.nlm.nih.gov/protein/254692960","Msto1")</f>
        <v>Msto1</v>
      </c>
      <c r="E4650" t="str">
        <f>HYPERLINK("J:\Depot - mpkCCD Fractions\Main Web Page\Web Pages_old\proteomic_fractions_linear_files/Yang_linear_img/254692960.jpg","show blot")</f>
        <v>show blot</v>
      </c>
      <c r="G4650" t="s">
        <v>4446</v>
      </c>
      <c r="I4650" s="6">
        <v>5.371027603399396</v>
      </c>
      <c r="K4650" s="8"/>
    </row>
    <row r="4651" spans="1:11" ht="15" x14ac:dyDescent="0.25">
      <c r="A4651" s="3" t="str">
        <f>HYPERLINK("proteomic_fractions_linear_files/Yang_linear_img/7305285.jpg", "7305285")</f>
        <v>7305285</v>
      </c>
      <c r="C4651" s="3" t="str">
        <f>HYPERLINK("http://www.ncbi.nlm.nih.gov/protein/7305285","Mt1")</f>
        <v>Mt1</v>
      </c>
      <c r="E4651" t="str">
        <f>HYPERLINK("J:\Depot - mpkCCD Fractions\Main Web Page\Web Pages_old\proteomic_fractions_linear_files/Yang_linear_img/7305285.jpg","show blot")</f>
        <v>show blot</v>
      </c>
      <c r="G4651" t="s">
        <v>4447</v>
      </c>
      <c r="I4651" s="6">
        <v>5.5827311705528544</v>
      </c>
      <c r="K4651" s="8"/>
    </row>
    <row r="4652" spans="1:11" ht="15" x14ac:dyDescent="0.25">
      <c r="A4652" s="3" t="str">
        <f>HYPERLINK("proteomic_fractions_linear_files/Yang_linear_img/33468863.jpg", "33468863")</f>
        <v>33468863</v>
      </c>
      <c r="C4652" s="3" t="str">
        <f>HYPERLINK("http://www.ncbi.nlm.nih.gov/protein/33468863","Mt2")</f>
        <v>Mt2</v>
      </c>
      <c r="E4652" t="str">
        <f>HYPERLINK("J:\Depot - mpkCCD Fractions\Main Web Page\Web Pages_old\proteomic_fractions_linear_files/Yang_linear_img/33468863.jpg","show blot")</f>
        <v>show blot</v>
      </c>
      <c r="G4652" t="s">
        <v>4448</v>
      </c>
      <c r="I4652" s="6">
        <v>5.6376030372743671</v>
      </c>
      <c r="K4652" s="8"/>
    </row>
    <row r="4653" spans="1:11" ht="15" x14ac:dyDescent="0.25">
      <c r="A4653" s="3" t="str">
        <f>HYPERLINK("proteomic_fractions_linear_files/Yang_linear_img/51491880.jpg", "51491880")</f>
        <v>51491880</v>
      </c>
      <c r="C4653" s="3" t="str">
        <f>HYPERLINK("http://www.ncbi.nlm.nih.gov/protein/51491880","Mta2")</f>
        <v>Mta2</v>
      </c>
      <c r="E4653" t="str">
        <f>HYPERLINK("J:\Depot - mpkCCD Fractions\Main Web Page\Web Pages_old\proteomic_fractions_linear_files/Yang_linear_img/51491880.jpg","show blot")</f>
        <v>show blot</v>
      </c>
      <c r="G4653" t="s">
        <v>4449</v>
      </c>
      <c r="I4653" s="6">
        <v>5.868932807889589</v>
      </c>
      <c r="K4653" s="8"/>
    </row>
    <row r="4654" spans="1:11" ht="15" x14ac:dyDescent="0.25">
      <c r="A4654" s="3" t="str">
        <f>HYPERLINK("proteomic_fractions_linear_files/Yang_linear_img/45544618.jpg", "45544618")</f>
        <v>45544618</v>
      </c>
      <c r="C4654" s="3" t="str">
        <f>HYPERLINK("http://www.ncbi.nlm.nih.gov/protein/45544618","Mtap")</f>
        <v>Mtap</v>
      </c>
      <c r="E4654" t="str">
        <f>HYPERLINK("J:\Depot - mpkCCD Fractions\Main Web Page\Web Pages_old\proteomic_fractions_linear_files/Yang_linear_img/45544618.jpg","show blot")</f>
        <v>show blot</v>
      </c>
      <c r="G4654" t="s">
        <v>4450</v>
      </c>
      <c r="I4654" s="6">
        <v>5.5487674483921605</v>
      </c>
      <c r="K4654" s="8"/>
    </row>
    <row r="4655" spans="1:11" ht="15" x14ac:dyDescent="0.25">
      <c r="A4655" s="3" t="str">
        <f>HYPERLINK("proteomic_fractions_linear_files/Yang_linear_img/9845273.jpg", "9845273")</f>
        <v>9845273</v>
      </c>
      <c r="C4655" s="3" t="str">
        <f>HYPERLINK("http://www.ncbi.nlm.nih.gov/protein/9845273","Mtch1")</f>
        <v>Mtch1</v>
      </c>
      <c r="E4655" t="str">
        <f>HYPERLINK("J:\Depot - mpkCCD Fractions\Main Web Page\Web Pages_old\proteomic_fractions_linear_files/Yang_linear_img/9845273.jpg","show blot")</f>
        <v>show blot</v>
      </c>
      <c r="G4655" t="s">
        <v>4451</v>
      </c>
      <c r="I4655" s="6">
        <v>4.4104883503430941</v>
      </c>
      <c r="K4655" s="8"/>
    </row>
    <row r="4656" spans="1:11" ht="15" x14ac:dyDescent="0.25">
      <c r="A4656" s="3" t="str">
        <f>HYPERLINK("proteomic_fractions_linear_files/Yang_linear_img/9790055.jpg", "9790055")</f>
        <v>9790055</v>
      </c>
      <c r="C4656" s="3" t="str">
        <f>HYPERLINK("http://www.ncbi.nlm.nih.gov/protein/9790055","Mtch2")</f>
        <v>Mtch2</v>
      </c>
      <c r="E4656" t="str">
        <f>HYPERLINK("J:\Depot - mpkCCD Fractions\Main Web Page\Web Pages_old\proteomic_fractions_linear_files/Yang_linear_img/9790055.jpg","show blot")</f>
        <v>show blot</v>
      </c>
      <c r="G4656" t="s">
        <v>4452</v>
      </c>
      <c r="I4656" s="6">
        <v>5.7040276741204528</v>
      </c>
      <c r="K4656" s="8"/>
    </row>
    <row r="4657" spans="1:11" ht="15" x14ac:dyDescent="0.25">
      <c r="A4657" s="3" t="str">
        <f>HYPERLINK("proteomic_fractions_linear_files/Yang_linear_img/31982233.jpg", "31982233")</f>
        <v>31982233</v>
      </c>
      <c r="C4657" s="3" t="str">
        <f>HYPERLINK("http://www.ncbi.nlm.nih.gov/protein/31982233","Mtdh")</f>
        <v>Mtdh</v>
      </c>
      <c r="E4657" t="str">
        <f>HYPERLINK("J:\Depot - mpkCCD Fractions\Main Web Page\Web Pages_old\proteomic_fractions_linear_files/Yang_linear_img/31982233.jpg","show blot")</f>
        <v>show blot</v>
      </c>
      <c r="G4657" t="s">
        <v>4453</v>
      </c>
      <c r="I4657" s="6">
        <v>4.3162696664612827</v>
      </c>
      <c r="K4657" s="8"/>
    </row>
    <row r="4658" spans="1:11" ht="15" x14ac:dyDescent="0.25">
      <c r="A4658" s="3" t="str">
        <f>HYPERLINK("proteomic_fractions_linear_files/Yang_linear_img/46518496.jpg", "46518496")</f>
        <v>46518496</v>
      </c>
      <c r="C4658" s="3" t="str">
        <f>HYPERLINK("http://www.ncbi.nlm.nih.gov/protein/46518496","Mterfd3")</f>
        <v>Mterfd3</v>
      </c>
      <c r="E4658" t="str">
        <f>HYPERLINK("J:\Depot - mpkCCD Fractions\Main Web Page\Web Pages_old\proteomic_fractions_linear_files/Yang_linear_img/46518496.jpg","show blot")</f>
        <v>show blot</v>
      </c>
      <c r="G4658" t="s">
        <v>4454</v>
      </c>
      <c r="I4658" s="6">
        <v>4.396683590095992</v>
      </c>
      <c r="K4658" s="8"/>
    </row>
    <row r="4659" spans="1:11" ht="15" x14ac:dyDescent="0.25">
      <c r="A4659" s="3" t="str">
        <f>HYPERLINK("proteomic_fractions_linear_files/Yang_linear_img/70887769.jpg", "70887769")</f>
        <v>70887769</v>
      </c>
      <c r="C4659" s="3" t="str">
        <f>HYPERLINK("http://www.ncbi.nlm.nih.gov/protein/70887769","Mtf2")</f>
        <v>Mtf2</v>
      </c>
      <c r="E4659" t="str">
        <f>HYPERLINK("J:\Depot - mpkCCD Fractions\Main Web Page\Web Pages_old\proteomic_fractions_linear_files/Yang_linear_img/70887769.jpg","show blot")</f>
        <v>show blot</v>
      </c>
      <c r="G4659" t="s">
        <v>4455</v>
      </c>
      <c r="I4659" s="6">
        <v>4.8467980433139655</v>
      </c>
      <c r="K4659" s="8"/>
    </row>
    <row r="4660" spans="1:11" ht="15" x14ac:dyDescent="0.25">
      <c r="A4660" s="3" t="str">
        <f>HYPERLINK("proteomic_fractions_linear_files/Yang_linear_img/261878543.jpg", "261878543")</f>
        <v>261878543</v>
      </c>
      <c r="C4660" s="3" t="str">
        <f>HYPERLINK("http://www.ncbi.nlm.nih.gov/protein/261878543","Mthfd1")</f>
        <v>Mthfd1</v>
      </c>
      <c r="E4660" t="str">
        <f>HYPERLINK("J:\Depot - mpkCCD Fractions\Main Web Page\Web Pages_old\proteomic_fractions_linear_files/Yang_linear_img/261878543.jpg","show blot")</f>
        <v>show blot</v>
      </c>
      <c r="G4660" t="s">
        <v>4456</v>
      </c>
      <c r="I4660" s="6">
        <v>6.3042099530295124</v>
      </c>
      <c r="K4660" s="8"/>
    </row>
    <row r="4661" spans="1:11" ht="15" x14ac:dyDescent="0.25">
      <c r="A4661" s="3" t="str">
        <f>HYPERLINK("proteomic_fractions_linear_files/Yang_linear_img/283135110.jpg", "283135110")</f>
        <v>283135110</v>
      </c>
      <c r="C4661" s="3" t="str">
        <f>HYPERLINK("http://www.ncbi.nlm.nih.gov/protein/283135110","Mthfd1l")</f>
        <v>Mthfd1l</v>
      </c>
      <c r="E4661" t="str">
        <f>HYPERLINK("J:\Depot - mpkCCD Fractions\Main Web Page\Web Pages_old\proteomic_fractions_linear_files/Yang_linear_img/283135110.jpg","show blot")</f>
        <v>show blot</v>
      </c>
      <c r="G4661" t="s">
        <v>4457</v>
      </c>
      <c r="I4661" s="6">
        <v>5.1782767131066905</v>
      </c>
      <c r="K4661" s="8"/>
    </row>
    <row r="4662" spans="1:11" ht="15" x14ac:dyDescent="0.25">
      <c r="A4662" s="3" t="str">
        <f>HYPERLINK("proteomic_fractions_linear_files/Yang_linear_img/262050633.jpg", "262050633")</f>
        <v>262050633</v>
      </c>
      <c r="C4662" s="3" t="str">
        <f>HYPERLINK("http://www.ncbi.nlm.nih.gov/protein/262050633","Mthfsd")</f>
        <v>Mthfsd</v>
      </c>
      <c r="E4662" t="str">
        <f>HYPERLINK("J:\Depot - mpkCCD Fractions\Main Web Page\Web Pages_old\proteomic_fractions_linear_files/Yang_linear_img/262050633.jpg","show blot")</f>
        <v>show blot</v>
      </c>
      <c r="G4662" t="s">
        <v>4458</v>
      </c>
      <c r="I4662" s="6">
        <v>3.9589551699792307</v>
      </c>
      <c r="K4662" s="8"/>
    </row>
    <row r="4663" spans="1:11" ht="15" x14ac:dyDescent="0.25">
      <c r="A4663" s="3" t="str">
        <f>HYPERLINK("proteomic_fractions_linear_files/Yang_linear_img/27370130.jpg", "27370130")</f>
        <v>27370130</v>
      </c>
      <c r="C4663" s="3" t="str">
        <f>HYPERLINK("http://www.ncbi.nlm.nih.gov/protein/27370130","Mthfsd")</f>
        <v>Mthfsd</v>
      </c>
      <c r="E4663" t="str">
        <f>HYPERLINK("J:\Depot - mpkCCD Fractions\Main Web Page\Web Pages_old\proteomic_fractions_linear_files/Yang_linear_img/27370130.jpg","show blot")</f>
        <v>show blot</v>
      </c>
      <c r="G4663" t="s">
        <v>4459</v>
      </c>
      <c r="I4663" s="6">
        <v>3.9589551699792307</v>
      </c>
      <c r="K4663" s="8"/>
    </row>
    <row r="4664" spans="1:11" ht="15" x14ac:dyDescent="0.25">
      <c r="A4664" s="3" t="str">
        <f>HYPERLINK("proteomic_fractions_linear_files/Yang_linear_img/110625866.jpg", "110625866")</f>
        <v>110625866</v>
      </c>
      <c r="C4664" s="3" t="str">
        <f>HYPERLINK("http://www.ncbi.nlm.nih.gov/protein/110625866","Mtif2")</f>
        <v>Mtif2</v>
      </c>
      <c r="E4664" t="str">
        <f>HYPERLINK("J:\Depot - mpkCCD Fractions\Main Web Page\Web Pages_old\proteomic_fractions_linear_files/Yang_linear_img/110625866.jpg","show blot")</f>
        <v>show blot</v>
      </c>
      <c r="G4664" t="s">
        <v>4460</v>
      </c>
      <c r="I4664" s="6">
        <v>3.2747880873597111</v>
      </c>
      <c r="K4664" s="8"/>
    </row>
    <row r="4665" spans="1:11" ht="15" x14ac:dyDescent="0.25">
      <c r="A4665" s="3" t="str">
        <f>HYPERLINK("proteomic_fractions_linear_files/Yang_linear_img/255958296.jpg", "255958296")</f>
        <v>255958296</v>
      </c>
      <c r="C4665" s="3" t="str">
        <f>HYPERLINK("http://www.ncbi.nlm.nih.gov/protein/255958296","Mtm1")</f>
        <v>Mtm1</v>
      </c>
      <c r="E4665" t="str">
        <f>HYPERLINK("J:\Depot - mpkCCD Fractions\Main Web Page\Web Pages_old\proteomic_fractions_linear_files/Yang_linear_img/255958296.jpg","show blot")</f>
        <v>show blot</v>
      </c>
      <c r="G4665" t="s">
        <v>4461</v>
      </c>
      <c r="I4665" s="6">
        <v>1.8631425427078996</v>
      </c>
      <c r="K4665" s="8"/>
    </row>
    <row r="4666" spans="1:11" ht="15" x14ac:dyDescent="0.25">
      <c r="A4666" s="3" t="str">
        <f>HYPERLINK("proteomic_fractions_linear_files/Yang_linear_img/255958302.jpg", "255958302")</f>
        <v>255958302</v>
      </c>
      <c r="C4666" s="3" t="str">
        <f>HYPERLINK("http://www.ncbi.nlm.nih.gov/protein/255958302","Mtm1")</f>
        <v>Mtm1</v>
      </c>
      <c r="E4666" t="str">
        <f>HYPERLINK("J:\Depot - mpkCCD Fractions\Main Web Page\Web Pages_old\proteomic_fractions_linear_files/Yang_linear_img/255958302.jpg","show blot")</f>
        <v>show blot</v>
      </c>
      <c r="G4666" t="s">
        <v>4462</v>
      </c>
      <c r="I4666" s="6">
        <v>1.8631425427078996</v>
      </c>
      <c r="K4666" s="8"/>
    </row>
    <row r="4667" spans="1:11" ht="15" x14ac:dyDescent="0.25">
      <c r="A4667" s="3" t="str">
        <f>HYPERLINK("proteomic_fractions_linear_files/Yang_linear_img/124028523.jpg", "124028523")</f>
        <v>124028523</v>
      </c>
      <c r="C4667" s="3" t="str">
        <f>HYPERLINK("http://www.ncbi.nlm.nih.gov/protein/124028523","Mtmr10")</f>
        <v>Mtmr10</v>
      </c>
      <c r="E4667" t="str">
        <f>HYPERLINK("J:\Depot - mpkCCD Fractions\Main Web Page\Web Pages_old\proteomic_fractions_linear_files/Yang_linear_img/124028523.jpg","show blot")</f>
        <v>show blot</v>
      </c>
      <c r="G4667" t="s">
        <v>4463</v>
      </c>
      <c r="I4667" s="6">
        <v>2.1022855475106699</v>
      </c>
      <c r="K4667" s="8"/>
    </row>
    <row r="4668" spans="1:11" ht="15" x14ac:dyDescent="0.25">
      <c r="A4668" s="3" t="str">
        <f>HYPERLINK("proteomic_fractions_linear_files/Yang_linear_img/27370470.jpg", "27370470")</f>
        <v>27370470</v>
      </c>
      <c r="C4668" s="3" t="str">
        <f>HYPERLINK("http://www.ncbi.nlm.nih.gov/protein/27370470","Mtmr12")</f>
        <v>Mtmr12</v>
      </c>
      <c r="E4668" t="str">
        <f>HYPERLINK("J:\Depot - mpkCCD Fractions\Main Web Page\Web Pages_old\proteomic_fractions_linear_files/Yang_linear_img/27370470.jpg","show blot")</f>
        <v>show blot</v>
      </c>
      <c r="G4668" t="s">
        <v>4464</v>
      </c>
      <c r="I4668" s="6">
        <v>3.9771923303041241</v>
      </c>
      <c r="K4668" s="8"/>
    </row>
    <row r="4669" spans="1:11" ht="15" x14ac:dyDescent="0.25">
      <c r="A4669" s="3" t="str">
        <f>HYPERLINK("proteomic_fractions_linear_files/Yang_linear_img/163937863.jpg", "163937863")</f>
        <v>163937863</v>
      </c>
      <c r="C4669" s="3" t="str">
        <f>HYPERLINK("http://www.ncbi.nlm.nih.gov/protein/163937863","Mtmr14")</f>
        <v>Mtmr14</v>
      </c>
      <c r="E4669" t="str">
        <f>HYPERLINK("J:\Depot - mpkCCD Fractions\Main Web Page\Web Pages_old\proteomic_fractions_linear_files/Yang_linear_img/163937863.jpg","show blot")</f>
        <v>show blot</v>
      </c>
      <c r="G4669" t="s">
        <v>4465</v>
      </c>
      <c r="I4669" s="6">
        <v>2.981651473172894</v>
      </c>
      <c r="K4669" s="8"/>
    </row>
    <row r="4670" spans="1:11" ht="15" x14ac:dyDescent="0.25">
      <c r="A4670" s="3" t="str">
        <f>HYPERLINK("proteomic_fractions_linear_files/Yang_linear_img/194394153.jpg", "194394153")</f>
        <v>194394153</v>
      </c>
      <c r="C4670" s="3" t="str">
        <f>HYPERLINK("http://www.ncbi.nlm.nih.gov/protein/194394153","Mtmr2")</f>
        <v>Mtmr2</v>
      </c>
      <c r="E4670" t="str">
        <f>HYPERLINK("J:\Depot - mpkCCD Fractions\Main Web Page\Web Pages_old\proteomic_fractions_linear_files/Yang_linear_img/194394153.jpg","show blot")</f>
        <v>show blot</v>
      </c>
      <c r="G4670" t="s">
        <v>4466</v>
      </c>
      <c r="I4670" s="6">
        <v>3.6933666558325888</v>
      </c>
      <c r="K4670" s="8"/>
    </row>
    <row r="4671" spans="1:11" ht="15" x14ac:dyDescent="0.25">
      <c r="A4671" s="3" t="str">
        <f>HYPERLINK("proteomic_fractions_linear_files/Yang_linear_img/21450239.jpg", "21450239")</f>
        <v>21450239</v>
      </c>
      <c r="C4671" s="3" t="str">
        <f>HYPERLINK("http://www.ncbi.nlm.nih.gov/protein/21450239","Mtmr6")</f>
        <v>Mtmr6</v>
      </c>
      <c r="E4671" t="str">
        <f>HYPERLINK("J:\Depot - mpkCCD Fractions\Main Web Page\Web Pages_old\proteomic_fractions_linear_files/Yang_linear_img/21450239.jpg","show blot")</f>
        <v>show blot</v>
      </c>
      <c r="G4671" t="s">
        <v>4467</v>
      </c>
      <c r="I4671" s="6">
        <v>2.5194027495652485</v>
      </c>
      <c r="K4671" s="8"/>
    </row>
    <row r="4672" spans="1:11" ht="15" x14ac:dyDescent="0.25">
      <c r="A4672" s="3" t="str">
        <f>HYPERLINK("proteomic_fractions_linear_files/Yang_linear_img/171460946.jpg", "171460946")</f>
        <v>171460946</v>
      </c>
      <c r="C4672" s="3" t="str">
        <f>HYPERLINK("http://www.ncbi.nlm.nih.gov/protein/171460946","Mto1")</f>
        <v>Mto1</v>
      </c>
      <c r="E4672" t="str">
        <f>HYPERLINK("J:\Depot - mpkCCD Fractions\Main Web Page\Web Pages_old\proteomic_fractions_linear_files/Yang_linear_img/171460946.jpg","show blot")</f>
        <v>show blot</v>
      </c>
      <c r="G4672" t="s">
        <v>4468</v>
      </c>
      <c r="I4672" s="6">
        <v>2.3001121751528686</v>
      </c>
      <c r="K4672" s="8"/>
    </row>
    <row r="4673" spans="1:11" ht="15" x14ac:dyDescent="0.25">
      <c r="A4673" s="3" t="str">
        <f>HYPERLINK("proteomic_fractions_linear_files/Yang_linear_img/227330586.jpg", "227330586")</f>
        <v>227330586</v>
      </c>
      <c r="C4673" s="3" t="str">
        <f>HYPERLINK("http://www.ncbi.nlm.nih.gov/protein/227330586","Mtor")</f>
        <v>Mtor</v>
      </c>
      <c r="E4673" t="str">
        <f>HYPERLINK("J:\Depot - mpkCCD Fractions\Main Web Page\Web Pages_old\proteomic_fractions_linear_files/Yang_linear_img/227330586.jpg","show blot")</f>
        <v>show blot</v>
      </c>
      <c r="G4673" t="s">
        <v>4469</v>
      </c>
      <c r="I4673" s="6">
        <v>4.1749261701666276</v>
      </c>
      <c r="K4673" s="8"/>
    </row>
    <row r="4674" spans="1:11" ht="15" x14ac:dyDescent="0.25">
      <c r="A4674" s="3" t="str">
        <f>HYPERLINK("proteomic_fractions_linear_files/Yang_linear_img/6679961.jpg", "6679961")</f>
        <v>6679961</v>
      </c>
      <c r="C4674" s="3" t="str">
        <f>HYPERLINK("http://www.ncbi.nlm.nih.gov/protein/6679961","Mtpn")</f>
        <v>Mtpn</v>
      </c>
      <c r="E4674" t="str">
        <f>HYPERLINK("J:\Depot - mpkCCD Fractions\Main Web Page\Web Pages_old\proteomic_fractions_linear_files/Yang_linear_img/6679961.jpg","show blot")</f>
        <v>show blot</v>
      </c>
      <c r="G4674" t="s">
        <v>4470</v>
      </c>
      <c r="I4674" s="6">
        <v>5.5751868254525556</v>
      </c>
      <c r="K4674" s="8"/>
    </row>
    <row r="4675" spans="1:11" ht="15" x14ac:dyDescent="0.25">
      <c r="A4675" s="3" t="str">
        <f>HYPERLINK("proteomic_fractions_linear_files/Yang_linear_img/241982740.jpg", "241982740")</f>
        <v>241982740</v>
      </c>
      <c r="C4675" s="3" t="str">
        <f>HYPERLINK("http://www.ncbi.nlm.nih.gov/protein/241982740","Mtx1")</f>
        <v>Mtx1</v>
      </c>
      <c r="E4675" t="str">
        <f>HYPERLINK("J:\Depot - mpkCCD Fractions\Main Web Page\Web Pages_old\proteomic_fractions_linear_files/Yang_linear_img/241982740.jpg","show blot")</f>
        <v>show blot</v>
      </c>
      <c r="G4675" t="s">
        <v>4471</v>
      </c>
      <c r="I4675" s="6">
        <v>4.7280720823098017</v>
      </c>
      <c r="K4675" s="8"/>
    </row>
    <row r="4676" spans="1:11" ht="15" x14ac:dyDescent="0.25">
      <c r="A4676" s="3" t="str">
        <f>HYPERLINK("proteomic_fractions_linear_files/Yang_linear_img/241982742.jpg", "241982742")</f>
        <v>241982742</v>
      </c>
      <c r="C4676" s="3" t="str">
        <f>HYPERLINK("http://www.ncbi.nlm.nih.gov/protein/241982742","Mtx1")</f>
        <v>Mtx1</v>
      </c>
      <c r="E4676" t="str">
        <f>HYPERLINK("J:\Depot - mpkCCD Fractions\Main Web Page\Web Pages_old\proteomic_fractions_linear_files/Yang_linear_img/241982742.jpg","show blot")</f>
        <v>show blot</v>
      </c>
      <c r="G4676" t="s">
        <v>4472</v>
      </c>
      <c r="I4676" s="6">
        <v>4.7280720823098017</v>
      </c>
      <c r="K4676" s="8"/>
    </row>
    <row r="4677" spans="1:11" ht="15" x14ac:dyDescent="0.25">
      <c r="A4677" s="3" t="str">
        <f>HYPERLINK("proteomic_fractions_linear_files/Yang_linear_img/228480241.jpg", "228480241")</f>
        <v>228480241</v>
      </c>
      <c r="C4677" s="3" t="str">
        <f>HYPERLINK("http://www.ncbi.nlm.nih.gov/protein/228480241","Mtx2")</f>
        <v>Mtx2</v>
      </c>
      <c r="E4677" t="str">
        <f>HYPERLINK("J:\Depot - mpkCCD Fractions\Main Web Page\Web Pages_old\proteomic_fractions_linear_files/Yang_linear_img/228480241.jpg","show blot")</f>
        <v>show blot</v>
      </c>
      <c r="G4677" t="s">
        <v>4473</v>
      </c>
      <c r="I4677" s="6">
        <v>4.952517848103497</v>
      </c>
      <c r="K4677" s="8"/>
    </row>
    <row r="4678" spans="1:11" ht="15" x14ac:dyDescent="0.25">
      <c r="A4678" s="3" t="str">
        <f>HYPERLINK("proteomic_fractions_linear_files/Yang_linear_img/7305293.jpg", "7305293")</f>
        <v>7305293</v>
      </c>
      <c r="C4678" s="3" t="str">
        <f>HYPERLINK("http://www.ncbi.nlm.nih.gov/protein/7305293","Muc1")</f>
        <v>Muc1</v>
      </c>
      <c r="E4678" t="str">
        <f>HYPERLINK("J:\Depot - mpkCCD Fractions\Main Web Page\Web Pages_old\proteomic_fractions_linear_files/Yang_linear_img/7305293.jpg","show blot")</f>
        <v>show blot</v>
      </c>
      <c r="G4678" t="s">
        <v>4474</v>
      </c>
      <c r="I4678" s="6">
        <v>4.339651437430021</v>
      </c>
      <c r="K4678" s="8"/>
    </row>
    <row r="4679" spans="1:11" ht="15" x14ac:dyDescent="0.25">
      <c r="A4679" s="3" t="str">
        <f>HYPERLINK("proteomic_fractions_linear_files/Yang_linear_img/167736365.jpg", "167736365")</f>
        <v>167736365</v>
      </c>
      <c r="C4679" s="3" t="str">
        <f>HYPERLINK("http://www.ncbi.nlm.nih.gov/protein/167736365","Muc4")</f>
        <v>Muc4</v>
      </c>
      <c r="E4679" t="str">
        <f>HYPERLINK("J:\Depot - mpkCCD Fractions\Main Web Page\Web Pages_old\proteomic_fractions_linear_files/Yang_linear_img/167736365.jpg","show blot")</f>
        <v>show blot</v>
      </c>
      <c r="G4679" t="s">
        <v>4475</v>
      </c>
      <c r="I4679" s="6">
        <v>3.3592265461703277</v>
      </c>
      <c r="K4679" s="8"/>
    </row>
    <row r="4680" spans="1:11" ht="15" x14ac:dyDescent="0.25">
      <c r="A4680" s="3" t="str">
        <f>HYPERLINK("proteomic_fractions_linear_files/Yang_linear_img/31982171.jpg", "31982171")</f>
        <v>31982171</v>
      </c>
      <c r="C4680" s="3" t="str">
        <f>HYPERLINK("http://www.ncbi.nlm.nih.gov/protein/31982171","Mug1")</f>
        <v>Mug1</v>
      </c>
      <c r="E4680" t="str">
        <f>HYPERLINK("J:\Depot - mpkCCD Fractions\Main Web Page\Web Pages_old\proteomic_fractions_linear_files/Yang_linear_img/31982171.jpg","show blot")</f>
        <v>show blot</v>
      </c>
      <c r="G4680" t="s">
        <v>4476</v>
      </c>
      <c r="I4680" s="6">
        <v>3.62804463318535</v>
      </c>
      <c r="K4680" s="8"/>
    </row>
    <row r="4681" spans="1:11" ht="15" x14ac:dyDescent="0.25">
      <c r="A4681" s="3" t="str">
        <f>HYPERLINK("proteomic_fractions_linear_files/Yang_linear_img/153945747.jpg", "153945747")</f>
        <v>153945747</v>
      </c>
      <c r="C4681" s="3" t="str">
        <f>HYPERLINK("http://www.ncbi.nlm.nih.gov/protein/153945747","Mug2")</f>
        <v>Mug2</v>
      </c>
      <c r="E4681" t="str">
        <f>HYPERLINK("J:\Depot - mpkCCD Fractions\Main Web Page\Web Pages_old\proteomic_fractions_linear_files/Yang_linear_img/153945747.jpg","show blot")</f>
        <v>show blot</v>
      </c>
      <c r="G4681" t="s">
        <v>4477</v>
      </c>
      <c r="I4681" s="6">
        <v>3.6361625234075294</v>
      </c>
      <c r="K4681" s="8"/>
    </row>
    <row r="4682" spans="1:11" ht="15" x14ac:dyDescent="0.25">
      <c r="A4682" s="3" t="str">
        <f>HYPERLINK("proteomic_fractions_linear_files/Yang_linear_img/244792753.jpg", "244792753")</f>
        <v>244792753</v>
      </c>
      <c r="C4682" s="3" t="str">
        <f>HYPERLINK("http://www.ncbi.nlm.nih.gov/protein/244792753","Mup1")</f>
        <v>Mup1</v>
      </c>
      <c r="E4682" t="str">
        <f>HYPERLINK("J:\Depot - mpkCCD Fractions\Main Web Page\Web Pages_old\proteomic_fractions_linear_files/Yang_linear_img/244792753.jpg","show blot")</f>
        <v>show blot</v>
      </c>
      <c r="G4682" t="s">
        <v>4478</v>
      </c>
      <c r="I4682" s="6">
        <v>4.351766028917651</v>
      </c>
      <c r="K4682" s="8"/>
    </row>
    <row r="4683" spans="1:11" ht="15" x14ac:dyDescent="0.25">
      <c r="A4683" s="3" t="str">
        <f>HYPERLINK("proteomic_fractions_linear_files/Yang_linear_img/244792827.jpg", "244792827")</f>
        <v>244792827</v>
      </c>
      <c r="C4683" s="3" t="str">
        <f>HYPERLINK("http://www.ncbi.nlm.nih.gov/protein/244792827","Mup1")</f>
        <v>Mup1</v>
      </c>
      <c r="E4683" t="str">
        <f>HYPERLINK("J:\Depot - mpkCCD Fractions\Main Web Page\Web Pages_old\proteomic_fractions_linear_files/Yang_linear_img/244792827.jpg","show blot")</f>
        <v>show blot</v>
      </c>
      <c r="G4683" t="s">
        <v>4479</v>
      </c>
      <c r="I4683" s="6">
        <v>4.351766028917651</v>
      </c>
      <c r="K4683" s="8"/>
    </row>
    <row r="4684" spans="1:11" ht="15" x14ac:dyDescent="0.25">
      <c r="A4684" s="3" t="str">
        <f>HYPERLINK("proteomic_fractions_linear_files/Yang_linear_img/317008598.jpg", "317008598")</f>
        <v>317008598</v>
      </c>
      <c r="C4684" s="3" t="str">
        <f>HYPERLINK("http://www.ncbi.nlm.nih.gov/protein/317008598","Mup12")</f>
        <v>Mup12</v>
      </c>
      <c r="E4684" t="str">
        <f>HYPERLINK("J:\Depot - mpkCCD Fractions\Main Web Page\Web Pages_old\proteomic_fractions_linear_files/Yang_linear_img/317008598.jpg","show blot")</f>
        <v>show blot</v>
      </c>
      <c r="G4684" t="s">
        <v>4480</v>
      </c>
      <c r="I4684" s="6">
        <v>4.351766028917651</v>
      </c>
      <c r="K4684" s="8"/>
    </row>
    <row r="4685" spans="1:11" ht="15" x14ac:dyDescent="0.25">
      <c r="A4685" s="3" t="str">
        <f>HYPERLINK("proteomic_fractions_linear_files/Yang_linear_img/317008616.jpg", "317008616")</f>
        <v>317008616</v>
      </c>
      <c r="C4685" s="3" t="str">
        <f>HYPERLINK("http://www.ncbi.nlm.nih.gov/protein/317008616","Mup15")</f>
        <v>Mup15</v>
      </c>
      <c r="E4685" t="str">
        <f>HYPERLINK("J:\Depot - mpkCCD Fractions\Main Web Page\Web Pages_old\proteomic_fractions_linear_files/Yang_linear_img/317008616.jpg","show blot")</f>
        <v>show blot</v>
      </c>
      <c r="G4685" t="s">
        <v>4481</v>
      </c>
      <c r="I4685" s="6">
        <v>4.351766028917651</v>
      </c>
      <c r="K4685" s="8"/>
    </row>
    <row r="4686" spans="1:11" ht="15" x14ac:dyDescent="0.25">
      <c r="A4686" s="3" t="str">
        <f>HYPERLINK("proteomic_fractions_linear_files/Yang_linear_img/197927289.jpg", "197927289")</f>
        <v>197927289</v>
      </c>
      <c r="C4686" s="3" t="str">
        <f>HYPERLINK("http://www.ncbi.nlm.nih.gov/protein/197927289","Mup7")</f>
        <v>Mup7</v>
      </c>
      <c r="E4686" t="str">
        <f>HYPERLINK("J:\Depot - mpkCCD Fractions\Main Web Page\Web Pages_old\proteomic_fractions_linear_files/Yang_linear_img/197927289.jpg","show blot")</f>
        <v>show blot</v>
      </c>
      <c r="G4686" t="s">
        <v>4482</v>
      </c>
      <c r="I4686" s="6">
        <v>4.2325796211984423</v>
      </c>
      <c r="K4686" s="8"/>
    </row>
    <row r="4687" spans="1:11" ht="15" x14ac:dyDescent="0.25">
      <c r="A4687" s="3" t="str">
        <f>HYPERLINK("proteomic_fractions_linear_files/Yang_linear_img/148540106.jpg", "148540106")</f>
        <v>148540106</v>
      </c>
      <c r="C4687" s="3" t="str">
        <f>HYPERLINK("http://www.ncbi.nlm.nih.gov/protein/148540106","Mut")</f>
        <v>Mut</v>
      </c>
      <c r="E4687" t="str">
        <f>HYPERLINK("J:\Depot - mpkCCD Fractions\Main Web Page\Web Pages_old\proteomic_fractions_linear_files/Yang_linear_img/148540106.jpg","show blot")</f>
        <v>show blot</v>
      </c>
      <c r="G4687" t="s">
        <v>4483</v>
      </c>
      <c r="I4687" s="6">
        <v>3.828300799079678</v>
      </c>
      <c r="K4687" s="8"/>
    </row>
    <row r="4688" spans="1:11" ht="15" x14ac:dyDescent="0.25">
      <c r="A4688" s="3" t="str">
        <f>HYPERLINK("proteomic_fractions_linear_files/Yang_linear_img/21312058.jpg", "21312058")</f>
        <v>21312058</v>
      </c>
      <c r="C4688" s="3" t="str">
        <f>HYPERLINK("http://www.ncbi.nlm.nih.gov/protein/21312058","Mvb12a")</f>
        <v>Mvb12a</v>
      </c>
      <c r="E4688" t="str">
        <f>HYPERLINK("J:\Depot - mpkCCD Fractions\Main Web Page\Web Pages_old\proteomic_fractions_linear_files/Yang_linear_img/21312058.jpg","show blot")</f>
        <v>show blot</v>
      </c>
      <c r="G4688" t="s">
        <v>4484</v>
      </c>
      <c r="I4688" s="6">
        <v>4.4728443482997262</v>
      </c>
      <c r="K4688" s="8"/>
    </row>
    <row r="4689" spans="1:11" ht="15" x14ac:dyDescent="0.25">
      <c r="A4689" s="3" t="str">
        <f>HYPERLINK("proteomic_fractions_linear_files/Yang_linear_img/256985114.jpg", "256985114")</f>
        <v>256985114</v>
      </c>
      <c r="C4689" s="3" t="str">
        <f>HYPERLINK("http://www.ncbi.nlm.nih.gov/protein/256985114","Mvd")</f>
        <v>Mvd</v>
      </c>
      <c r="E4689" t="str">
        <f>HYPERLINK("J:\Depot - mpkCCD Fractions\Main Web Page\Web Pages_old\proteomic_fractions_linear_files/Yang_linear_img/256985114.jpg","show blot")</f>
        <v>show blot</v>
      </c>
      <c r="G4689" t="s">
        <v>4485</v>
      </c>
      <c r="I4689" s="6">
        <v>4.7848899415304853</v>
      </c>
      <c r="K4689" s="8"/>
    </row>
    <row r="4690" spans="1:11" ht="15" x14ac:dyDescent="0.25">
      <c r="A4690" s="3" t="str">
        <f>HYPERLINK("proteomic_fractions_linear_files/Yang_linear_img/12963731.jpg", "12963731")</f>
        <v>12963731</v>
      </c>
      <c r="C4690" s="3" t="str">
        <f>HYPERLINK("http://www.ncbi.nlm.nih.gov/protein/12963731","Mvk")</f>
        <v>Mvk</v>
      </c>
      <c r="E4690" t="str">
        <f>HYPERLINK("J:\Depot - mpkCCD Fractions\Main Web Page\Web Pages_old\proteomic_fractions_linear_files/Yang_linear_img/12963731.jpg","show blot")</f>
        <v>show blot</v>
      </c>
      <c r="G4690" t="s">
        <v>4486</v>
      </c>
      <c r="I4690" s="6">
        <v>4.2808486378473845</v>
      </c>
      <c r="K4690" s="8"/>
    </row>
    <row r="4691" spans="1:11" ht="15" x14ac:dyDescent="0.25">
      <c r="A4691" s="3" t="str">
        <f>HYPERLINK("proteomic_fractions_linear_files/Yang_linear_img/239052674.jpg", "239052674")</f>
        <v>239052674</v>
      </c>
      <c r="C4691" s="3" t="str">
        <f>HYPERLINK("http://www.ncbi.nlm.nih.gov/protein/239052674","Mvp")</f>
        <v>Mvp</v>
      </c>
      <c r="E4691" t="str">
        <f>HYPERLINK("J:\Depot - mpkCCD Fractions\Main Web Page\Web Pages_old\proteomic_fractions_linear_files/Yang_linear_img/239052674.jpg","show blot")</f>
        <v>show blot</v>
      </c>
      <c r="G4691" t="s">
        <v>4487</v>
      </c>
      <c r="I4691" s="6">
        <v>5.8018310629524779</v>
      </c>
      <c r="K4691" s="8"/>
    </row>
    <row r="4692" spans="1:11" ht="15" x14ac:dyDescent="0.25">
      <c r="A4692" s="3" t="str">
        <f>HYPERLINK("proteomic_fractions_linear_files/Yang_linear_img/148271069.jpg", "148271069")</f>
        <v>148271069</v>
      </c>
      <c r="C4692" s="3" t="str">
        <f>HYPERLINK("http://www.ncbi.nlm.nih.gov/protein/148271069","Myadm")</f>
        <v>Myadm</v>
      </c>
      <c r="E4692" t="str">
        <f>HYPERLINK("J:\Depot - mpkCCD Fractions\Main Web Page\Web Pages_old\proteomic_fractions_linear_files/Yang_linear_img/148271069.jpg","show blot")</f>
        <v>show blot</v>
      </c>
      <c r="G4692" t="s">
        <v>4488</v>
      </c>
      <c r="I4692" s="6">
        <v>4.8112936897834802</v>
      </c>
      <c r="K4692" s="8"/>
    </row>
    <row r="4693" spans="1:11" ht="15" x14ac:dyDescent="0.25">
      <c r="A4693" s="3" t="str">
        <f>HYPERLINK("proteomic_fractions_linear_files/Yang_linear_img/31982724.jpg", "31982724")</f>
        <v>31982724</v>
      </c>
      <c r="C4693" s="3" t="str">
        <f>HYPERLINK("http://www.ncbi.nlm.nih.gov/protein/31982724","Mybbp1a")</f>
        <v>Mybbp1a</v>
      </c>
      <c r="E4693" t="str">
        <f>HYPERLINK("J:\Depot - mpkCCD Fractions\Main Web Page\Web Pages_old\proteomic_fractions_linear_files/Yang_linear_img/31982724.jpg","show blot")</f>
        <v>show blot</v>
      </c>
      <c r="G4693" t="s">
        <v>4489</v>
      </c>
      <c r="I4693" s="6">
        <v>5.6567710165609775</v>
      </c>
      <c r="K4693" s="8"/>
    </row>
    <row r="4694" spans="1:11" ht="15" x14ac:dyDescent="0.25">
      <c r="A4694" s="3" t="str">
        <f>HYPERLINK("proteomic_fractions_linear_files/Yang_linear_img/84871978.jpg", "84871978")</f>
        <v>84871978</v>
      </c>
      <c r="C4694" s="3" t="str">
        <f>HYPERLINK("http://www.ncbi.nlm.nih.gov/protein/84871978","Mycbp")</f>
        <v>Mycbp</v>
      </c>
      <c r="E4694" t="str">
        <f>HYPERLINK("J:\Depot - mpkCCD Fractions\Main Web Page\Web Pages_old\proteomic_fractions_linear_files/Yang_linear_img/84871978.jpg","show blot")</f>
        <v>show blot</v>
      </c>
      <c r="G4694" t="s">
        <v>4490</v>
      </c>
      <c r="I4694" s="6">
        <v>5.939006548264854</v>
      </c>
      <c r="K4694" s="8"/>
    </row>
    <row r="4695" spans="1:11" ht="15" x14ac:dyDescent="0.25">
      <c r="A4695" s="3" t="str">
        <f>HYPERLINK("proteomic_fractions_linear_files/Yang_linear_img/127141012.jpg", "127141012")</f>
        <v>127141012</v>
      </c>
      <c r="C4695" s="3" t="str">
        <f>HYPERLINK("http://www.ncbi.nlm.nih.gov/protein/127141012","Mycbp2")</f>
        <v>Mycbp2</v>
      </c>
      <c r="E4695" t="str">
        <f>HYPERLINK("J:\Depot - mpkCCD Fractions\Main Web Page\Web Pages_old\proteomic_fractions_linear_files/Yang_linear_img/127141012.jpg","show blot")</f>
        <v>show blot</v>
      </c>
      <c r="G4695" t="s">
        <v>4491</v>
      </c>
      <c r="I4695" s="6">
        <v>3.202016102516303</v>
      </c>
      <c r="K4695" s="8"/>
    </row>
    <row r="4696" spans="1:11" ht="15" x14ac:dyDescent="0.25">
      <c r="A4696" s="3" t="str">
        <f>HYPERLINK("proteomic_fractions_linear_files/Yang_linear_img/168229259.jpg", "168229259")</f>
        <v>168229259</v>
      </c>
      <c r="C4696" s="3" t="str">
        <f>HYPERLINK("http://www.ncbi.nlm.nih.gov/protein/168229259","Mycbpap")</f>
        <v>Mycbpap</v>
      </c>
      <c r="E4696" t="str">
        <f>HYPERLINK("J:\Depot - mpkCCD Fractions\Main Web Page\Web Pages_old\proteomic_fractions_linear_files/Yang_linear_img/168229259.jpg","show blot")</f>
        <v>show blot</v>
      </c>
      <c r="G4696" t="s">
        <v>4492</v>
      </c>
      <c r="I4696" s="6">
        <v>3.3551171772720827</v>
      </c>
      <c r="K4696" s="8"/>
    </row>
    <row r="4697" spans="1:11" ht="15" x14ac:dyDescent="0.25">
      <c r="A4697" s="3" t="str">
        <f>HYPERLINK("proteomic_fractions_linear_files/Yang_linear_img/6754772.jpg", "6754772")</f>
        <v>6754772</v>
      </c>
      <c r="C4697" s="3" t="str">
        <f>HYPERLINK("http://www.ncbi.nlm.nih.gov/protein/6754772","Myd88")</f>
        <v>Myd88</v>
      </c>
      <c r="E4697" t="str">
        <f>HYPERLINK("J:\Depot - mpkCCD Fractions\Main Web Page\Web Pages_old\proteomic_fractions_linear_files/Yang_linear_img/6754772.jpg","show blot")</f>
        <v>show blot</v>
      </c>
      <c r="G4697" t="s">
        <v>4493</v>
      </c>
      <c r="I4697" s="6">
        <v>3.8596502094542364</v>
      </c>
      <c r="K4697" s="8"/>
    </row>
    <row r="4698" spans="1:11" ht="15" x14ac:dyDescent="0.25">
      <c r="A4698" s="3" t="str">
        <f>HYPERLINK("proteomic_fractions_linear_files/Yang_linear_img/244790087.jpg", "244790087")</f>
        <v>244790087</v>
      </c>
      <c r="C4698" s="3" t="str">
        <f>HYPERLINK("http://www.ncbi.nlm.nih.gov/protein/244790087","Myef2")</f>
        <v>Myef2</v>
      </c>
      <c r="E4698" t="str">
        <f>HYPERLINK("J:\Depot - mpkCCD Fractions\Main Web Page\Web Pages_old\proteomic_fractions_linear_files/Yang_linear_img/244790087.jpg","show blot")</f>
        <v>show blot</v>
      </c>
      <c r="G4698" t="s">
        <v>4494</v>
      </c>
      <c r="I4698" s="6">
        <v>4.5732851502855771</v>
      </c>
      <c r="K4698" s="8"/>
    </row>
    <row r="4699" spans="1:11" ht="15" x14ac:dyDescent="0.25">
      <c r="A4699" s="3" t="str">
        <f>HYPERLINK("proteomic_fractions_linear_files/Yang_linear_img/244790091.jpg", "244790091")</f>
        <v>244790091</v>
      </c>
      <c r="C4699" s="3" t="str">
        <f>HYPERLINK("http://www.ncbi.nlm.nih.gov/protein/244790091","Myef2")</f>
        <v>Myef2</v>
      </c>
      <c r="E4699" t="str">
        <f>HYPERLINK("J:\Depot - mpkCCD Fractions\Main Web Page\Web Pages_old\proteomic_fractions_linear_files/Yang_linear_img/244790091.jpg","show blot")</f>
        <v>show blot</v>
      </c>
      <c r="G4699" t="s">
        <v>4495</v>
      </c>
      <c r="I4699" s="6">
        <v>4.5732851502855771</v>
      </c>
      <c r="K4699" s="8"/>
    </row>
    <row r="4700" spans="1:11" ht="15" x14ac:dyDescent="0.25">
      <c r="A4700" s="3" t="str">
        <f>HYPERLINK("proteomic_fractions_linear_files/Yang_linear_img/244790095.jpg", "244790095")</f>
        <v>244790095</v>
      </c>
      <c r="C4700" s="3" t="str">
        <f>HYPERLINK("http://www.ncbi.nlm.nih.gov/protein/244790095","Myef2")</f>
        <v>Myef2</v>
      </c>
      <c r="E4700" t="str">
        <f>HYPERLINK("J:\Depot - mpkCCD Fractions\Main Web Page\Web Pages_old\proteomic_fractions_linear_files/Yang_linear_img/244790095.jpg","show blot")</f>
        <v>show blot</v>
      </c>
      <c r="G4700" t="s">
        <v>4496</v>
      </c>
      <c r="I4700" s="6">
        <v>4.5732851502855771</v>
      </c>
      <c r="K4700" s="8"/>
    </row>
    <row r="4701" spans="1:11" ht="15" x14ac:dyDescent="0.25">
      <c r="A4701" s="3" t="str">
        <f>HYPERLINK("proteomic_fractions_linear_files/Yang_linear_img/11096332.jpg", "11096332")</f>
        <v>11096332</v>
      </c>
      <c r="C4701" s="3" t="str">
        <f>HYPERLINK("http://www.ncbi.nlm.nih.gov/protein/11096332","Myg1")</f>
        <v>Myg1</v>
      </c>
      <c r="E4701" t="str">
        <f>HYPERLINK("J:\Depot - mpkCCD Fractions\Main Web Page\Web Pages_old\proteomic_fractions_linear_files/Yang_linear_img/11096332.jpg","show blot")</f>
        <v>show blot</v>
      </c>
      <c r="G4701" t="s">
        <v>4497</v>
      </c>
      <c r="I4701" s="6">
        <v>6.0354080198549438</v>
      </c>
      <c r="K4701" s="8"/>
    </row>
    <row r="4702" spans="1:11" ht="15" x14ac:dyDescent="0.25">
      <c r="A4702" s="3" t="str">
        <f>HYPERLINK("proteomic_fractions_linear_files/Yang_linear_img/82524274.jpg", "82524274")</f>
        <v>82524274</v>
      </c>
      <c r="C4702" s="3" t="str">
        <f>HYPERLINK("http://www.ncbi.nlm.nih.gov/protein/82524274","Myh1")</f>
        <v>Myh1</v>
      </c>
      <c r="E4702" t="str">
        <f>HYPERLINK("J:\Depot - mpkCCD Fractions\Main Web Page\Web Pages_old\proteomic_fractions_linear_files/Yang_linear_img/82524274.jpg","show blot")</f>
        <v>show blot</v>
      </c>
      <c r="G4702" t="s">
        <v>4498</v>
      </c>
      <c r="I4702" s="6">
        <v>5.0143401181106979</v>
      </c>
      <c r="K4702" s="8"/>
    </row>
    <row r="4703" spans="1:11" ht="15" x14ac:dyDescent="0.25">
      <c r="A4703" s="3" t="str">
        <f>HYPERLINK("proteomic_fractions_linear_files/Yang_linear_img/33598964.jpg", "33598964")</f>
        <v>33598964</v>
      </c>
      <c r="C4703" s="3" t="str">
        <f>HYPERLINK("http://www.ncbi.nlm.nih.gov/protein/33598964","Myh10")</f>
        <v>Myh10</v>
      </c>
      <c r="E4703" t="str">
        <f>HYPERLINK("J:\Depot - mpkCCD Fractions\Main Web Page\Web Pages_old\proteomic_fractions_linear_files/Yang_linear_img/33598964.jpg","show blot")</f>
        <v>show blot</v>
      </c>
      <c r="G4703" t="s">
        <v>4499</v>
      </c>
      <c r="I4703" s="6">
        <v>6.3685751168190681</v>
      </c>
      <c r="K4703" s="8"/>
    </row>
    <row r="4704" spans="1:11" ht="15" x14ac:dyDescent="0.25">
      <c r="A4704" s="3" t="str">
        <f>HYPERLINK("proteomic_fractions_linear_files/Yang_linear_img/241982716.jpg", "241982716")</f>
        <v>241982716</v>
      </c>
      <c r="C4704" s="3" t="str">
        <f>HYPERLINK("http://www.ncbi.nlm.nih.gov/protein/241982716","Myh11")</f>
        <v>Myh11</v>
      </c>
      <c r="E4704" t="str">
        <f>HYPERLINK("J:\Depot - mpkCCD Fractions\Main Web Page\Web Pages_old\proteomic_fractions_linear_files/Yang_linear_img/241982716.jpg","show blot")</f>
        <v>show blot</v>
      </c>
      <c r="G4704" t="s">
        <v>4500</v>
      </c>
      <c r="I4704" s="6">
        <v>6.1140501488667143</v>
      </c>
      <c r="K4704" s="8"/>
    </row>
    <row r="4705" spans="1:11" ht="15" x14ac:dyDescent="0.25">
      <c r="A4705" s="3" t="str">
        <f>HYPERLINK("proteomic_fractions_linear_files/Yang_linear_img/241982718.jpg", "241982718")</f>
        <v>241982718</v>
      </c>
      <c r="C4705" s="3" t="str">
        <f>HYPERLINK("http://www.ncbi.nlm.nih.gov/protein/241982718","Myh11")</f>
        <v>Myh11</v>
      </c>
      <c r="E4705" t="str">
        <f>HYPERLINK("J:\Depot - mpkCCD Fractions\Main Web Page\Web Pages_old\proteomic_fractions_linear_files/Yang_linear_img/241982718.jpg","show blot")</f>
        <v>show blot</v>
      </c>
      <c r="G4705" t="s">
        <v>4501</v>
      </c>
      <c r="I4705" s="6">
        <v>6.1140501488667143</v>
      </c>
      <c r="K4705" s="8"/>
    </row>
    <row r="4706" spans="1:11" ht="15" x14ac:dyDescent="0.25">
      <c r="A4706" s="3" t="str">
        <f>HYPERLINK("proteomic_fractions_linear_files/Yang_linear_img/124486959.jpg", "124486959")</f>
        <v>124486959</v>
      </c>
      <c r="C4706" s="3" t="str">
        <f>HYPERLINK("http://www.ncbi.nlm.nih.gov/protein/124486959","Myh13")</f>
        <v>Myh13</v>
      </c>
      <c r="E4706" t="str">
        <f>HYPERLINK("J:\Depot - mpkCCD Fractions\Main Web Page\Web Pages_old\proteomic_fractions_linear_files/Yang_linear_img/124486959.jpg","show blot")</f>
        <v>show blot</v>
      </c>
      <c r="G4706" t="s">
        <v>4502</v>
      </c>
      <c r="I4706" s="6">
        <v>5.0143401181106979</v>
      </c>
      <c r="K4706" s="8"/>
    </row>
    <row r="4707" spans="1:11" ht="15" x14ac:dyDescent="0.25">
      <c r="A4707" s="3" t="str">
        <f>HYPERLINK("proteomic_fractions_linear_files/Yang_linear_img/29336026.jpg", "29336026")</f>
        <v>29336026</v>
      </c>
      <c r="C4707" s="3" t="str">
        <f>HYPERLINK("http://www.ncbi.nlm.nih.gov/protein/29336026","Myh14")</f>
        <v>Myh14</v>
      </c>
      <c r="E4707" t="str">
        <f>HYPERLINK("J:\Depot - mpkCCD Fractions\Main Web Page\Web Pages_old\proteomic_fractions_linear_files/Yang_linear_img/29336026.jpg","show blot")</f>
        <v>show blot</v>
      </c>
      <c r="G4707" t="s">
        <v>4503</v>
      </c>
      <c r="I4707" s="6">
        <v>5.914245413693612</v>
      </c>
      <c r="K4707" s="8"/>
    </row>
    <row r="4708" spans="1:11" ht="15" x14ac:dyDescent="0.25">
      <c r="A4708" s="3" t="str">
        <f>HYPERLINK("proteomic_fractions_linear_files/Yang_linear_img/408821450.jpg", "408821450")</f>
        <v>408821450</v>
      </c>
      <c r="C4708" s="3" t="str">
        <f>HYPERLINK("http://www.ncbi.nlm.nih.gov/protein/408821450","Myh14")</f>
        <v>Myh14</v>
      </c>
      <c r="E4708" t="str">
        <f>HYPERLINK("J:\Depot - mpkCCD Fractions\Main Web Page\Web Pages_old\proteomic_fractions_linear_files/Yang_linear_img/408821450.jpg","show blot")</f>
        <v>show blot</v>
      </c>
      <c r="G4708" t="s">
        <v>4504</v>
      </c>
      <c r="I4708" s="6">
        <v>5.914245413693612</v>
      </c>
      <c r="K4708" s="8"/>
    </row>
    <row r="4709" spans="1:11" ht="15" x14ac:dyDescent="0.25">
      <c r="A4709" s="3" t="str">
        <f>HYPERLINK("proteomic_fractions_linear_files/Yang_linear_img/408821455.jpg", "408821455")</f>
        <v>408821455</v>
      </c>
      <c r="C4709" s="3" t="str">
        <f>HYPERLINK("http://www.ncbi.nlm.nih.gov/protein/408821455","Myh14")</f>
        <v>Myh14</v>
      </c>
      <c r="E4709" t="str">
        <f>HYPERLINK("J:\Depot - mpkCCD Fractions\Main Web Page\Web Pages_old\proteomic_fractions_linear_files/Yang_linear_img/408821455.jpg","show blot")</f>
        <v>show blot</v>
      </c>
      <c r="G4709" t="s">
        <v>4505</v>
      </c>
      <c r="I4709" s="6">
        <v>5.914245413693612</v>
      </c>
      <c r="K4709" s="8"/>
    </row>
    <row r="4710" spans="1:11" ht="15" x14ac:dyDescent="0.25">
      <c r="A4710" s="3" t="str">
        <f>HYPERLINK("proteomic_fractions_linear_files/Yang_linear_img/261245016.jpg", "261245016")</f>
        <v>261245016</v>
      </c>
      <c r="C4710" s="3" t="str">
        <f>HYPERLINK("http://www.ncbi.nlm.nih.gov/protein/261245016","Myh15")</f>
        <v>Myh15</v>
      </c>
      <c r="E4710" t="str">
        <f>HYPERLINK("J:\Depot - mpkCCD Fractions\Main Web Page\Web Pages_old\proteomic_fractions_linear_files/Yang_linear_img/261245016.jpg","show blot")</f>
        <v>show blot</v>
      </c>
      <c r="G4710" t="s">
        <v>4506</v>
      </c>
      <c r="I4710" s="6">
        <v>5.0168871171022973</v>
      </c>
      <c r="K4710" s="8"/>
    </row>
    <row r="4711" spans="1:11" ht="15" x14ac:dyDescent="0.25">
      <c r="A4711" s="3" t="str">
        <f>HYPERLINK("proteomic_fractions_linear_files/Yang_linear_img/205830428.jpg", "205830428")</f>
        <v>205830428</v>
      </c>
      <c r="C4711" s="3" t="str">
        <f>HYPERLINK("http://www.ncbi.nlm.nih.gov/protein/205830428","Myh2")</f>
        <v>Myh2</v>
      </c>
      <c r="E4711" t="str">
        <f>HYPERLINK("J:\Depot - mpkCCD Fractions\Main Web Page\Web Pages_old\proteomic_fractions_linear_files/Yang_linear_img/205830428.jpg","show blot")</f>
        <v>show blot</v>
      </c>
      <c r="G4711" t="s">
        <v>4507</v>
      </c>
      <c r="I4711" s="6">
        <v>5.0143401181106979</v>
      </c>
      <c r="K4711" s="8"/>
    </row>
    <row r="4712" spans="1:11" ht="15" x14ac:dyDescent="0.25">
      <c r="A4712" s="3" t="str">
        <f>HYPERLINK("proteomic_fractions_linear_files/Yang_linear_img/153792649.jpg", "153792649")</f>
        <v>153792649</v>
      </c>
      <c r="C4712" s="3" t="str">
        <f>HYPERLINK("http://www.ncbi.nlm.nih.gov/protein/153792649","Myh3")</f>
        <v>Myh3</v>
      </c>
      <c r="E4712" t="str">
        <f>HYPERLINK("J:\Depot - mpkCCD Fractions\Main Web Page\Web Pages_old\proteomic_fractions_linear_files/Yang_linear_img/153792649.jpg","show blot")</f>
        <v>show blot</v>
      </c>
      <c r="G4712" t="s">
        <v>4508</v>
      </c>
      <c r="I4712" s="6">
        <v>5.0123969628246963</v>
      </c>
      <c r="K4712" s="8"/>
    </row>
    <row r="4713" spans="1:11" ht="15" x14ac:dyDescent="0.25">
      <c r="A4713" s="3" t="str">
        <f>HYPERLINK("proteomic_fractions_linear_files/Yang_linear_img/67189167.jpg", "67189167")</f>
        <v>67189167</v>
      </c>
      <c r="C4713" s="3" t="str">
        <f>HYPERLINK("http://www.ncbi.nlm.nih.gov/protein/67189167","Myh4")</f>
        <v>Myh4</v>
      </c>
      <c r="E4713" t="str">
        <f>HYPERLINK("J:\Depot - mpkCCD Fractions\Main Web Page\Web Pages_old\proteomic_fractions_linear_files/Yang_linear_img/67189167.jpg","show blot")</f>
        <v>show blot</v>
      </c>
      <c r="G4713" t="s">
        <v>4509</v>
      </c>
      <c r="I4713" s="6">
        <v>5.0143401181106979</v>
      </c>
      <c r="K4713" s="8"/>
    </row>
    <row r="4714" spans="1:11" ht="15" x14ac:dyDescent="0.25">
      <c r="A4714" s="3" t="str">
        <f>HYPERLINK("proteomic_fractions_linear_files/Yang_linear_img/255918225.jpg", "255918225")</f>
        <v>255918225</v>
      </c>
      <c r="C4714" s="3" t="str">
        <f>HYPERLINK("http://www.ncbi.nlm.nih.gov/protein/255918225","Myh6")</f>
        <v>Myh6</v>
      </c>
      <c r="E4714" t="str">
        <f>HYPERLINK("J:\Depot - mpkCCD Fractions\Main Web Page\Web Pages_old\proteomic_fractions_linear_files/Yang_linear_img/255918225.jpg","show blot")</f>
        <v>show blot</v>
      </c>
      <c r="G4714" t="s">
        <v>4510</v>
      </c>
      <c r="I4714" s="6">
        <v>5.0143401181106979</v>
      </c>
      <c r="K4714" s="8"/>
    </row>
    <row r="4715" spans="1:11" ht="15" x14ac:dyDescent="0.25">
      <c r="A4715" s="3" t="str">
        <f>HYPERLINK("proteomic_fractions_linear_files/Yang_linear_img/18859641.jpg", "18859641")</f>
        <v>18859641</v>
      </c>
      <c r="C4715" s="3" t="str">
        <f>HYPERLINK("http://www.ncbi.nlm.nih.gov/protein/18859641","Myh7")</f>
        <v>Myh7</v>
      </c>
      <c r="E4715" t="str">
        <f>HYPERLINK("J:\Depot - mpkCCD Fractions\Main Web Page\Web Pages_old\proteomic_fractions_linear_files/Yang_linear_img/18859641.jpg","show blot")</f>
        <v>show blot</v>
      </c>
      <c r="G4715" t="s">
        <v>4511</v>
      </c>
      <c r="I4715" s="6">
        <v>5.0235688045178959</v>
      </c>
      <c r="K4715" s="8"/>
    </row>
    <row r="4716" spans="1:11" ht="15" x14ac:dyDescent="0.25">
      <c r="A4716" s="3" t="str">
        <f>HYPERLINK("proteomic_fractions_linear_files/Yang_linear_img/145864471.jpg", "145864471")</f>
        <v>145864471</v>
      </c>
      <c r="C4716" s="3" t="str">
        <f>HYPERLINK("http://www.ncbi.nlm.nih.gov/protein/145864471","Myh7b")</f>
        <v>Myh7b</v>
      </c>
      <c r="E4716" t="str">
        <f>HYPERLINK("J:\Depot - mpkCCD Fractions\Main Web Page\Web Pages_old\proteomic_fractions_linear_files/Yang_linear_img/145864471.jpg","show blot")</f>
        <v>show blot</v>
      </c>
      <c r="G4716" t="s">
        <v>4512</v>
      </c>
      <c r="I4716" s="6">
        <v>5.044477199346435</v>
      </c>
      <c r="K4716" s="8"/>
    </row>
    <row r="4717" spans="1:11" ht="15" x14ac:dyDescent="0.25">
      <c r="A4717" s="3" t="str">
        <f>HYPERLINK("proteomic_fractions_linear_files/Yang_linear_img/71143152.jpg", "71143152")</f>
        <v>71143152</v>
      </c>
      <c r="C4717" s="3" t="str">
        <f>HYPERLINK("http://www.ncbi.nlm.nih.gov/protein/71143152","Myh8")</f>
        <v>Myh8</v>
      </c>
      <c r="E4717" t="str">
        <f>HYPERLINK("J:\Depot - mpkCCD Fractions\Main Web Page\Web Pages_old\proteomic_fractions_linear_files/Yang_linear_img/71143152.jpg","show blot")</f>
        <v>show blot</v>
      </c>
      <c r="G4717" t="s">
        <v>4513</v>
      </c>
      <c r="I4717" s="6">
        <v>5.0143401181106979</v>
      </c>
      <c r="K4717" s="8"/>
    </row>
    <row r="4718" spans="1:11" ht="15" x14ac:dyDescent="0.25">
      <c r="A4718" s="3" t="str">
        <f>HYPERLINK("proteomic_fractions_linear_files/Yang_linear_img/114326446.jpg", "114326446")</f>
        <v>114326446</v>
      </c>
      <c r="C4718" s="3" t="str">
        <f>HYPERLINK("http://www.ncbi.nlm.nih.gov/protein/114326446","Myh9")</f>
        <v>Myh9</v>
      </c>
      <c r="E4718" t="str">
        <f>HYPERLINK("J:\Depot - mpkCCD Fractions\Main Web Page\Web Pages_old\proteomic_fractions_linear_files/Yang_linear_img/114326446.jpg","show blot")</f>
        <v>show blot</v>
      </c>
      <c r="G4718" t="s">
        <v>4514</v>
      </c>
      <c r="I4718" s="6">
        <v>7.0589943798928676</v>
      </c>
      <c r="K4718" s="8"/>
    </row>
    <row r="4719" spans="1:11" ht="15" x14ac:dyDescent="0.25">
      <c r="A4719" s="3" t="str">
        <f>HYPERLINK("proteomic_fractions_linear_files/Yang_linear_img/164664497.jpg", "164664497")</f>
        <v>164664497</v>
      </c>
      <c r="C4719" s="3" t="str">
        <f>HYPERLINK("http://www.ncbi.nlm.nih.gov/protein/164664497","Myl1")</f>
        <v>Myl1</v>
      </c>
      <c r="E4719" t="str">
        <f>HYPERLINK("J:\Depot - mpkCCD Fractions\Main Web Page\Web Pages_old\proteomic_fractions_linear_files/Yang_linear_img/164664497.jpg","show blot")</f>
        <v>show blot</v>
      </c>
      <c r="G4719" t="s">
        <v>4515</v>
      </c>
      <c r="I4719" s="6">
        <v>6.0861053438968478</v>
      </c>
      <c r="K4719" s="8"/>
    </row>
    <row r="4720" spans="1:11" ht="15" x14ac:dyDescent="0.25">
      <c r="A4720" s="3" t="str">
        <f>HYPERLINK("proteomic_fractions_linear_files/Yang_linear_img/29789016.jpg", "29789016")</f>
        <v>29789016</v>
      </c>
      <c r="C4720" s="3" t="str">
        <f>HYPERLINK("http://www.ncbi.nlm.nih.gov/protein/29789016","Myl1")</f>
        <v>Myl1</v>
      </c>
      <c r="E4720" t="str">
        <f>HYPERLINK("J:\Depot - mpkCCD Fractions\Main Web Page\Web Pages_old\proteomic_fractions_linear_files/Yang_linear_img/29789016.jpg","show blot")</f>
        <v>show blot</v>
      </c>
      <c r="G4720" t="s">
        <v>4516</v>
      </c>
      <c r="I4720" s="6">
        <v>6.0861053438968478</v>
      </c>
      <c r="K4720" s="8"/>
    </row>
    <row r="4721" spans="1:11" ht="15" x14ac:dyDescent="0.25">
      <c r="A4721" s="3" t="str">
        <f>HYPERLINK("proteomic_fractions_linear_files/Yang_linear_img/146229342.jpg", "146229342")</f>
        <v>146229342</v>
      </c>
      <c r="C4721" s="3" t="str">
        <f>HYPERLINK("http://www.ncbi.nlm.nih.gov/protein/146229342","Myl10")</f>
        <v>Myl10</v>
      </c>
      <c r="E4721" t="str">
        <f>HYPERLINK("J:\Depot - mpkCCD Fractions\Main Web Page\Web Pages_old\proteomic_fractions_linear_files/Yang_linear_img/146229342.jpg","show blot")</f>
        <v>show blot</v>
      </c>
      <c r="G4721" t="s">
        <v>4517</v>
      </c>
      <c r="I4721" s="6">
        <v>4.0046422259084355</v>
      </c>
      <c r="K4721" s="8"/>
    </row>
    <row r="4722" spans="1:11" ht="15" x14ac:dyDescent="0.25">
      <c r="A4722" s="3" t="str">
        <f>HYPERLINK("proteomic_fractions_linear_files/Yang_linear_img/71037403.jpg", "71037403")</f>
        <v>71037403</v>
      </c>
      <c r="C4722" s="3" t="str">
        <f>HYPERLINK("http://www.ncbi.nlm.nih.gov/protein/71037403","Myl12a")</f>
        <v>Myl12a</v>
      </c>
      <c r="E4722" t="str">
        <f>HYPERLINK("J:\Depot - mpkCCD Fractions\Main Web Page\Web Pages_old\proteomic_fractions_linear_files/Yang_linear_img/71037403.jpg","show blot")</f>
        <v>show blot</v>
      </c>
      <c r="G4722" t="s">
        <v>4518</v>
      </c>
      <c r="I4722" s="6">
        <v>6.5766623342563699</v>
      </c>
      <c r="K4722" s="8"/>
    </row>
    <row r="4723" spans="1:11" ht="15" x14ac:dyDescent="0.25">
      <c r="A4723" s="3" t="str">
        <f>HYPERLINK("proteomic_fractions_linear_files/Yang_linear_img/21728376.jpg", "21728376")</f>
        <v>21728376</v>
      </c>
      <c r="C4723" s="3" t="str">
        <f>HYPERLINK("http://www.ncbi.nlm.nih.gov/protein/21728376","Myl12b")</f>
        <v>Myl12b</v>
      </c>
      <c r="E4723" t="str">
        <f>HYPERLINK("J:\Depot - mpkCCD Fractions\Main Web Page\Web Pages_old\proteomic_fractions_linear_files/Yang_linear_img/21728376.jpg","show blot")</f>
        <v>show blot</v>
      </c>
      <c r="G4723" t="s">
        <v>4519</v>
      </c>
      <c r="I4723" s="6">
        <v>6.5756847106105178</v>
      </c>
      <c r="K4723" s="8"/>
    </row>
    <row r="4724" spans="1:11" ht="15" x14ac:dyDescent="0.25">
      <c r="A4724" s="3" t="str">
        <f>HYPERLINK("proteomic_fractions_linear_files/Yang_linear_img/33563264.jpg", "33563264")</f>
        <v>33563264</v>
      </c>
      <c r="C4724" s="3" t="str">
        <f>HYPERLINK("http://www.ncbi.nlm.nih.gov/protein/33563264","Myl3")</f>
        <v>Myl3</v>
      </c>
      <c r="E4724" t="str">
        <f>HYPERLINK("J:\Depot - mpkCCD Fractions\Main Web Page\Web Pages_old\proteomic_fractions_linear_files/Yang_linear_img/33563264.jpg","show blot")</f>
        <v>show blot</v>
      </c>
      <c r="G4724" t="s">
        <v>4520</v>
      </c>
      <c r="I4724" s="6">
        <v>5.9478026457305662</v>
      </c>
      <c r="K4724" s="8"/>
    </row>
    <row r="4725" spans="1:11" ht="15" x14ac:dyDescent="0.25">
      <c r="A4725" s="3" t="str">
        <f>HYPERLINK("proteomic_fractions_linear_files/Yang_linear_img/33620739.jpg", "33620739")</f>
        <v>33620739</v>
      </c>
      <c r="C4725" s="3" t="str">
        <f>HYPERLINK("http://www.ncbi.nlm.nih.gov/protein/33620739","Myl6")</f>
        <v>Myl6</v>
      </c>
      <c r="E4725" t="str">
        <f>HYPERLINK("J:\Depot - mpkCCD Fractions\Main Web Page\Web Pages_old\proteomic_fractions_linear_files/Yang_linear_img/33620739.jpg","show blot")</f>
        <v>show blot</v>
      </c>
      <c r="G4725" t="s">
        <v>4521</v>
      </c>
      <c r="I4725" s="6">
        <v>7.0005418661405221</v>
      </c>
      <c r="K4725" s="8"/>
    </row>
    <row r="4726" spans="1:11" ht="15" x14ac:dyDescent="0.25">
      <c r="A4726" s="3" t="str">
        <f>HYPERLINK("proteomic_fractions_linear_files/Yang_linear_img/26986555.jpg", "26986555")</f>
        <v>26986555</v>
      </c>
      <c r="C4726" s="3" t="str">
        <f>HYPERLINK("http://www.ncbi.nlm.nih.gov/protein/26986555","Myl6b")</f>
        <v>Myl6b</v>
      </c>
      <c r="E4726" t="str">
        <f>HYPERLINK("J:\Depot - mpkCCD Fractions\Main Web Page\Web Pages_old\proteomic_fractions_linear_files/Yang_linear_img/26986555.jpg","show blot")</f>
        <v>show blot</v>
      </c>
      <c r="G4726" t="s">
        <v>4522</v>
      </c>
      <c r="I4726" s="6">
        <v>6.1060817701125254</v>
      </c>
      <c r="K4726" s="8"/>
    </row>
    <row r="4727" spans="1:11" ht="15" x14ac:dyDescent="0.25">
      <c r="A4727" s="3" t="str">
        <f>HYPERLINK("proteomic_fractions_linear_files/Yang_linear_img/198278553.jpg", "198278553")</f>
        <v>198278553</v>
      </c>
      <c r="C4727" s="3" t="str">
        <f>HYPERLINK("http://www.ncbi.nlm.nih.gov/protein/198278553","Myl9")</f>
        <v>Myl9</v>
      </c>
      <c r="E4727" t="str">
        <f>HYPERLINK("J:\Depot - mpkCCD Fractions\Main Web Page\Web Pages_old\proteomic_fractions_linear_files/Yang_linear_img/198278553.jpg","show blot")</f>
        <v>show blot</v>
      </c>
      <c r="G4727" t="s">
        <v>4523</v>
      </c>
      <c r="I4727" s="6">
        <v>6.374253517461705</v>
      </c>
      <c r="K4727" s="8"/>
    </row>
    <row r="4728" spans="1:11" ht="15" x14ac:dyDescent="0.25">
      <c r="A4728" s="3" t="str">
        <f>HYPERLINK("proteomic_fractions_linear_files/Yang_linear_img/126157499.jpg", "126157499")</f>
        <v>126157499</v>
      </c>
      <c r="C4728" s="3" t="str">
        <f>HYPERLINK("http://www.ncbi.nlm.nih.gov/protein/126157499","Mylk")</f>
        <v>Mylk</v>
      </c>
      <c r="E4728" t="str">
        <f>HYPERLINK("J:\Depot - mpkCCD Fractions\Main Web Page\Web Pages_old\proteomic_fractions_linear_files/Yang_linear_img/126157499.jpg","show blot")</f>
        <v>show blot</v>
      </c>
      <c r="G4728" t="s">
        <v>4524</v>
      </c>
      <c r="I4728" s="6">
        <v>5.2043994901480968</v>
      </c>
      <c r="K4728" s="8"/>
    </row>
    <row r="4729" spans="1:11" ht="15" x14ac:dyDescent="0.25">
      <c r="A4729" s="3" t="str">
        <f>HYPERLINK("proteomic_fractions_linear_files/Yang_linear_img/163644275.jpg", "163644275")</f>
        <v>163644275</v>
      </c>
      <c r="C4729" s="3" t="str">
        <f>HYPERLINK("http://www.ncbi.nlm.nih.gov/protein/163644275","Mylk2")</f>
        <v>Mylk2</v>
      </c>
      <c r="E4729" t="str">
        <f>HYPERLINK("J:\Depot - mpkCCD Fractions\Main Web Page\Web Pages_old\proteomic_fractions_linear_files/Yang_linear_img/163644275.jpg","show blot")</f>
        <v>show blot</v>
      </c>
      <c r="G4729" t="s">
        <v>4525</v>
      </c>
      <c r="I4729" s="6">
        <v>5.2502055810436588</v>
      </c>
      <c r="K4729" s="8"/>
    </row>
    <row r="4730" spans="1:11" ht="15" x14ac:dyDescent="0.25">
      <c r="A4730" s="3" t="str">
        <f>HYPERLINK("proteomic_fractions_linear_files/Yang_linear_img/83776559.jpg", "83776559")</f>
        <v>83776559</v>
      </c>
      <c r="C4730" s="3" t="str">
        <f>HYPERLINK("http://www.ncbi.nlm.nih.gov/protein/83776559","Mylk3")</f>
        <v>Mylk3</v>
      </c>
      <c r="E4730" t="str">
        <f>HYPERLINK("J:\Depot - mpkCCD Fractions\Main Web Page\Web Pages_old\proteomic_fractions_linear_files/Yang_linear_img/83776559.jpg","show blot")</f>
        <v>show blot</v>
      </c>
      <c r="G4730" t="s">
        <v>4526</v>
      </c>
      <c r="I4730" s="6">
        <v>5.1352510653419596</v>
      </c>
      <c r="K4730" s="8"/>
    </row>
    <row r="4731" spans="1:11" ht="15" x14ac:dyDescent="0.25">
      <c r="A4731" s="3" t="str">
        <f>HYPERLINK("proteomic_fractions_linear_files/Yang_linear_img/260447058.jpg", "260447058")</f>
        <v>260447058</v>
      </c>
      <c r="C4731" s="3" t="str">
        <f>HYPERLINK("http://www.ncbi.nlm.nih.gov/protein/260447058","Mylk4")</f>
        <v>Mylk4</v>
      </c>
      <c r="E4731" t="str">
        <f>HYPERLINK("J:\Depot - mpkCCD Fractions\Main Web Page\Web Pages_old\proteomic_fractions_linear_files/Yang_linear_img/260447058.jpg","show blot")</f>
        <v>show blot</v>
      </c>
      <c r="G4731" t="s">
        <v>4527</v>
      </c>
      <c r="I4731" s="6">
        <v>5.4262968400993401</v>
      </c>
      <c r="K4731" s="8"/>
    </row>
    <row r="4732" spans="1:11" ht="15" x14ac:dyDescent="0.25">
      <c r="A4732" s="3" t="str">
        <f>HYPERLINK("proteomic_fractions_linear_files/Yang_linear_img/130507685.jpg", "130507685")</f>
        <v>130507685</v>
      </c>
      <c r="C4732" s="3" t="str">
        <f>HYPERLINK("http://www.ncbi.nlm.nih.gov/protein/130507685","Myo10")</f>
        <v>Myo10</v>
      </c>
      <c r="E4732" t="str">
        <f>HYPERLINK("J:\Depot - mpkCCD Fractions\Main Web Page\Web Pages_old\proteomic_fractions_linear_files/Yang_linear_img/130507685.jpg","show blot")</f>
        <v>show blot</v>
      </c>
      <c r="G4732" t="s">
        <v>4528</v>
      </c>
      <c r="I4732" s="6">
        <v>3.5633802724408574</v>
      </c>
      <c r="K4732" s="8"/>
    </row>
    <row r="4733" spans="1:11" ht="15" x14ac:dyDescent="0.25">
      <c r="A4733" s="3" t="str">
        <f>HYPERLINK("proteomic_fractions_linear_files/Yang_linear_img/157041244.jpg", "157041244")</f>
        <v>157041244</v>
      </c>
      <c r="C4733" s="3" t="str">
        <f>HYPERLINK("http://www.ncbi.nlm.nih.gov/protein/157041244","Myo15")</f>
        <v>Myo15</v>
      </c>
      <c r="E4733" t="str">
        <f>HYPERLINK("J:\Depot - mpkCCD Fractions\Main Web Page\Web Pages_old\proteomic_fractions_linear_files/Yang_linear_img/157041244.jpg","show blot")</f>
        <v>show blot</v>
      </c>
      <c r="G4733" t="s">
        <v>4529</v>
      </c>
      <c r="I4733" s="6">
        <v>5.5491915795730336</v>
      </c>
      <c r="K4733" s="8"/>
    </row>
    <row r="4734" spans="1:11" ht="15" x14ac:dyDescent="0.25">
      <c r="A4734" s="3" t="str">
        <f>HYPERLINK("proteomic_fractions_linear_files/Yang_linear_img/157041246.jpg", "157041246")</f>
        <v>157041246</v>
      </c>
      <c r="C4734" s="3" t="str">
        <f>HYPERLINK("http://www.ncbi.nlm.nih.gov/protein/157041246","Myo15")</f>
        <v>Myo15</v>
      </c>
      <c r="E4734" t="str">
        <f>HYPERLINK("J:\Depot - mpkCCD Fractions\Main Web Page\Web Pages_old\proteomic_fractions_linear_files/Yang_linear_img/157041246.jpg","show blot")</f>
        <v>show blot</v>
      </c>
      <c r="G4734" t="s">
        <v>4530</v>
      </c>
      <c r="I4734" s="6">
        <v>5.5491915795730336</v>
      </c>
      <c r="K4734" s="8"/>
    </row>
    <row r="4735" spans="1:11" ht="15" x14ac:dyDescent="0.25">
      <c r="A4735" s="3" t="str">
        <f>HYPERLINK("proteomic_fractions_linear_files/Yang_linear_img/157041248.jpg", "157041248")</f>
        <v>157041248</v>
      </c>
      <c r="C4735" s="3" t="str">
        <f>HYPERLINK("http://www.ncbi.nlm.nih.gov/protein/157041248","Myo15")</f>
        <v>Myo15</v>
      </c>
      <c r="E4735" t="str">
        <f>HYPERLINK("J:\Depot - mpkCCD Fractions\Main Web Page\Web Pages_old\proteomic_fractions_linear_files/Yang_linear_img/157041248.jpg","show blot")</f>
        <v>show blot</v>
      </c>
      <c r="G4735" t="s">
        <v>4531</v>
      </c>
      <c r="I4735" s="6">
        <v>5.5491915795730336</v>
      </c>
      <c r="K4735" s="8"/>
    </row>
    <row r="4736" spans="1:11" ht="15" x14ac:dyDescent="0.25">
      <c r="A4736" s="3" t="str">
        <f>HYPERLINK("proteomic_fractions_linear_files/Yang_linear_img/22094119.jpg", "22094119")</f>
        <v>22094119</v>
      </c>
      <c r="C4736" s="3" t="str">
        <f>HYPERLINK("http://www.ncbi.nlm.nih.gov/protein/22094119","Myo18a")</f>
        <v>Myo18a</v>
      </c>
      <c r="E4736" t="str">
        <f>HYPERLINK("J:\Depot - mpkCCD Fractions\Main Web Page\Web Pages_old\proteomic_fractions_linear_files/Yang_linear_img/22094119.jpg","show blot")</f>
        <v>show blot</v>
      </c>
      <c r="G4736" t="s">
        <v>4532</v>
      </c>
      <c r="I4736" s="6">
        <v>5.1201845993072954</v>
      </c>
      <c r="K4736" s="8"/>
    </row>
    <row r="4737" spans="1:11" ht="15" x14ac:dyDescent="0.25">
      <c r="A4737" s="3" t="str">
        <f>HYPERLINK("proteomic_fractions_linear_files/Yang_linear_img/254939539.jpg", "254939539")</f>
        <v>254939539</v>
      </c>
      <c r="C4737" s="3" t="str">
        <f>HYPERLINK("http://www.ncbi.nlm.nih.gov/protein/254939539","Myo19")</f>
        <v>Myo19</v>
      </c>
      <c r="E4737" t="str">
        <f>HYPERLINK("J:\Depot - mpkCCD Fractions\Main Web Page\Web Pages_old\proteomic_fractions_linear_files/Yang_linear_img/254939539.jpg","show blot")</f>
        <v>show blot</v>
      </c>
      <c r="G4737" t="s">
        <v>4533</v>
      </c>
      <c r="I4737" s="6">
        <v>2.1904974355336058</v>
      </c>
      <c r="K4737" s="8"/>
    </row>
    <row r="4738" spans="1:11" ht="15" x14ac:dyDescent="0.25">
      <c r="A4738" s="3" t="str">
        <f>HYPERLINK("proteomic_fractions_linear_files/Yang_linear_img/124487037.jpg", "124487037")</f>
        <v>124487037</v>
      </c>
      <c r="C4738" s="3" t="str">
        <f>HYPERLINK("http://www.ncbi.nlm.nih.gov/protein/124487037","Myo1a")</f>
        <v>Myo1a</v>
      </c>
      <c r="E4738" t="str">
        <f>HYPERLINK("J:\Depot - mpkCCD Fractions\Main Web Page\Web Pages_old\proteomic_fractions_linear_files/Yang_linear_img/124487037.jpg","show blot")</f>
        <v>show blot</v>
      </c>
      <c r="G4738" t="s">
        <v>4534</v>
      </c>
      <c r="I4738" s="6">
        <v>2.1105897102992488</v>
      </c>
      <c r="K4738" s="8"/>
    </row>
    <row r="4739" spans="1:11" ht="15" x14ac:dyDescent="0.25">
      <c r="A4739" s="3" t="str">
        <f>HYPERLINK("proteomic_fractions_linear_files/Yang_linear_img/240120042.jpg", "240120042")</f>
        <v>240120042</v>
      </c>
      <c r="C4739" s="3" t="str">
        <f>HYPERLINK("http://www.ncbi.nlm.nih.gov/protein/240120042","Myo1b")</f>
        <v>Myo1b</v>
      </c>
      <c r="E4739" t="str">
        <f>HYPERLINK("J:\Depot - mpkCCD Fractions\Main Web Page\Web Pages_old\proteomic_fractions_linear_files/Yang_linear_img/240120042.jpg","show blot")</f>
        <v>show blot</v>
      </c>
      <c r="G4739" t="s">
        <v>4535</v>
      </c>
      <c r="I4739" s="6">
        <v>3.3222079848345216</v>
      </c>
      <c r="K4739" s="8"/>
    </row>
    <row r="4740" spans="1:11" ht="15" x14ac:dyDescent="0.25">
      <c r="A4740" s="3" t="str">
        <f>HYPERLINK("proteomic_fractions_linear_files/Yang_linear_img/86990450.jpg", "86990450")</f>
        <v>86990450</v>
      </c>
      <c r="C4740" s="3" t="str">
        <f>HYPERLINK("http://www.ncbi.nlm.nih.gov/protein/86990450","Myo1b")</f>
        <v>Myo1b</v>
      </c>
      <c r="E4740" t="str">
        <f>HYPERLINK("J:\Depot - mpkCCD Fractions\Main Web Page\Web Pages_old\proteomic_fractions_linear_files/Yang_linear_img/86990450.jpg","show blot")</f>
        <v>show blot</v>
      </c>
      <c r="G4740" t="s">
        <v>4536</v>
      </c>
      <c r="I4740" s="6">
        <v>3.3222079848345216</v>
      </c>
      <c r="K4740" s="8"/>
    </row>
    <row r="4741" spans="1:11" ht="15" x14ac:dyDescent="0.25">
      <c r="A4741" s="3" t="str">
        <f>HYPERLINK("proteomic_fractions_linear_files/Yang_linear_img/124494244;6678986.jpg", "124494244;6678986")</f>
        <v>124494244;6678986</v>
      </c>
      <c r="C4741" s="3" t="str">
        <f>HYPERLINK("http://www.ncbi.nlm.nih.gov/protein/124494244;6678986","Myo1c")</f>
        <v>Myo1c</v>
      </c>
      <c r="E4741" t="str">
        <f>HYPERLINK("J:\Depot - mpkCCD Fractions\Main Web Page\Web Pages_old\proteomic_fractions_linear_files/Yang_linear_img/124494244;6678986.jpg","show blot")</f>
        <v>show blot</v>
      </c>
      <c r="G4741" t="s">
        <v>4537</v>
      </c>
      <c r="I4741" s="6">
        <v>5.5084542938818295</v>
      </c>
      <c r="K4741" s="8"/>
    </row>
    <row r="4742" spans="1:11" ht="15" x14ac:dyDescent="0.25">
      <c r="A4742" s="3" t="str">
        <f>HYPERLINK("proteomic_fractions_linear_files/Yang_linear_img/6678986.jpg", "6678986")</f>
        <v>6678986</v>
      </c>
      <c r="C4742" s="3" t="str">
        <f>HYPERLINK("http://www.ncbi.nlm.nih.gov/protein/6678986","Myo1c")</f>
        <v>Myo1c</v>
      </c>
      <c r="E4742" t="str">
        <f>HYPERLINK("J:\Depot - mpkCCD Fractions\Main Web Page\Web Pages_old\proteomic_fractions_linear_files/Yang_linear_img/6678986.jpg","show blot")</f>
        <v>show blot</v>
      </c>
      <c r="G4742" t="s">
        <v>4537</v>
      </c>
      <c r="I4742" s="6">
        <v>5.5084542938818295</v>
      </c>
      <c r="K4742" s="8"/>
    </row>
    <row r="4743" spans="1:11" ht="15" x14ac:dyDescent="0.25">
      <c r="A4743" s="3" t="str">
        <f>HYPERLINK("proteomic_fractions_linear_files/Yang_linear_img/124494242.jpg", "124494242")</f>
        <v>124494242</v>
      </c>
      <c r="C4743" s="3" t="str">
        <f>HYPERLINK("http://www.ncbi.nlm.nih.gov/protein/124494242","Myo1c")</f>
        <v>Myo1c</v>
      </c>
      <c r="E4743" t="str">
        <f>HYPERLINK("J:\Depot - mpkCCD Fractions\Main Web Page\Web Pages_old\proteomic_fractions_linear_files/Yang_linear_img/124494242.jpg","show blot")</f>
        <v>show blot</v>
      </c>
      <c r="G4743" t="s">
        <v>4538</v>
      </c>
      <c r="I4743" s="6">
        <v>5.5084542938818295</v>
      </c>
      <c r="K4743" s="8"/>
    </row>
    <row r="4744" spans="1:11" ht="15" x14ac:dyDescent="0.25">
      <c r="A4744" s="3" t="str">
        <f>HYPERLINK("proteomic_fractions_linear_files/Yang_linear_img/118026911.jpg", "118026911")</f>
        <v>118026911</v>
      </c>
      <c r="C4744" s="3" t="str">
        <f>HYPERLINK("http://www.ncbi.nlm.nih.gov/protein/118026911","Myo1d")</f>
        <v>Myo1d</v>
      </c>
      <c r="E4744" t="str">
        <f>HYPERLINK("J:\Depot - mpkCCD Fractions\Main Web Page\Web Pages_old\proteomic_fractions_linear_files/Yang_linear_img/118026911.jpg","show blot")</f>
        <v>show blot</v>
      </c>
      <c r="G4744" t="s">
        <v>4539</v>
      </c>
      <c r="I4744" s="6">
        <v>4.5856494338443712</v>
      </c>
      <c r="K4744" s="8"/>
    </row>
    <row r="4745" spans="1:11" ht="15" x14ac:dyDescent="0.25">
      <c r="A4745" s="3" t="str">
        <f>HYPERLINK("proteomic_fractions_linear_files/Yang_linear_img/407261730.jpg", "407261730")</f>
        <v>407261730</v>
      </c>
      <c r="C4745" s="3" t="str">
        <f>HYPERLINK("http://www.ncbi.nlm.nih.gov/protein/407261730","Myo1e")</f>
        <v>Myo1e</v>
      </c>
      <c r="E4745" t="str">
        <f>HYPERLINK("J:\Depot - mpkCCD Fractions\Main Web Page\Web Pages_old\proteomic_fractions_linear_files/Yang_linear_img/407261730.jpg","show blot")</f>
        <v>show blot</v>
      </c>
      <c r="G4745" t="s">
        <v>4540</v>
      </c>
      <c r="I4745" s="6">
        <v>5.0290743960385447</v>
      </c>
      <c r="K4745" s="8"/>
    </row>
    <row r="4746" spans="1:11" ht="15" x14ac:dyDescent="0.25">
      <c r="A4746" s="3" t="str">
        <f>HYPERLINK("proteomic_fractions_linear_files/Yang_linear_img/68299824.jpg", "68299824")</f>
        <v>68299824</v>
      </c>
      <c r="C4746" s="3" t="str">
        <f>HYPERLINK("http://www.ncbi.nlm.nih.gov/protein/68299824","Myo1e")</f>
        <v>Myo1e</v>
      </c>
      <c r="E4746" t="str">
        <f>HYPERLINK("J:\Depot - mpkCCD Fractions\Main Web Page\Web Pages_old\proteomic_fractions_linear_files/Yang_linear_img/68299824.jpg","show blot")</f>
        <v>show blot</v>
      </c>
      <c r="G4746" t="s">
        <v>4541</v>
      </c>
      <c r="I4746" s="6">
        <v>5.0290743960385447</v>
      </c>
      <c r="K4746" s="8"/>
    </row>
    <row r="4747" spans="1:11" ht="15" x14ac:dyDescent="0.25">
      <c r="A4747" s="3" t="str">
        <f>HYPERLINK("proteomic_fractions_linear_files/Yang_linear_img/255069756.jpg", "255069756")</f>
        <v>255069756</v>
      </c>
      <c r="C4747" s="3" t="str">
        <f>HYPERLINK("http://www.ncbi.nlm.nih.gov/protein/255069756","Myo1f")</f>
        <v>Myo1f</v>
      </c>
      <c r="E4747" t="str">
        <f>HYPERLINK("J:\Depot - mpkCCD Fractions\Main Web Page\Web Pages_old\proteomic_fractions_linear_files/Yang_linear_img/255069756.jpg","show blot")</f>
        <v>show blot</v>
      </c>
      <c r="G4747" t="s">
        <v>4542</v>
      </c>
      <c r="I4747" s="6">
        <v>4.5141849174018525</v>
      </c>
      <c r="K4747" s="8"/>
    </row>
    <row r="4748" spans="1:11" ht="15" x14ac:dyDescent="0.25">
      <c r="A4748" s="3" t="str">
        <f>HYPERLINK("proteomic_fractions_linear_files/Yang_linear_img/266458101.jpg", "266458101")</f>
        <v>266458101</v>
      </c>
      <c r="C4748" s="3" t="str">
        <f>HYPERLINK("http://www.ncbi.nlm.nih.gov/protein/266458101","Myo1g")</f>
        <v>Myo1g</v>
      </c>
      <c r="E4748" t="str">
        <f>HYPERLINK("J:\Depot - mpkCCD Fractions\Main Web Page\Web Pages_old\proteomic_fractions_linear_files/Yang_linear_img/266458101.jpg","show blot")</f>
        <v>show blot</v>
      </c>
      <c r="G4748" t="s">
        <v>4543</v>
      </c>
      <c r="I4748" s="6">
        <v>3.1856268935879184</v>
      </c>
      <c r="K4748" s="8"/>
    </row>
    <row r="4749" spans="1:11" ht="15" x14ac:dyDescent="0.25">
      <c r="A4749" s="3" t="str">
        <f>HYPERLINK("proteomic_fractions_linear_files/Yang_linear_img/111120334.jpg", "111120334")</f>
        <v>111120334</v>
      </c>
      <c r="C4749" s="3" t="str">
        <f>HYPERLINK("http://www.ncbi.nlm.nih.gov/protein/111120334","Myo3b")</f>
        <v>Myo3b</v>
      </c>
      <c r="E4749" t="str">
        <f>HYPERLINK("J:\Depot - mpkCCD Fractions\Main Web Page\Web Pages_old\proteomic_fractions_linear_files/Yang_linear_img/111120334.jpg","show blot")</f>
        <v>show blot</v>
      </c>
      <c r="G4749" t="s">
        <v>4544</v>
      </c>
      <c r="I4749" s="6">
        <v>2.1804031405814652</v>
      </c>
      <c r="K4749" s="8"/>
    </row>
    <row r="4750" spans="1:11" ht="15" x14ac:dyDescent="0.25">
      <c r="A4750" s="3" t="str">
        <f>HYPERLINK("proteomic_fractions_linear_files/Yang_linear_img/115511052.jpg", "115511052")</f>
        <v>115511052</v>
      </c>
      <c r="C4750" s="3" t="str">
        <f>HYPERLINK("http://www.ncbi.nlm.nih.gov/protein/115511052","Myo5a")</f>
        <v>Myo5a</v>
      </c>
      <c r="E4750" t="str">
        <f>HYPERLINK("J:\Depot - mpkCCD Fractions\Main Web Page\Web Pages_old\proteomic_fractions_linear_files/Yang_linear_img/115511052.jpg","show blot")</f>
        <v>show blot</v>
      </c>
      <c r="G4750" t="s">
        <v>4545</v>
      </c>
      <c r="I4750" s="6">
        <v>3.1533545898344526</v>
      </c>
      <c r="K4750" s="8"/>
    </row>
    <row r="4751" spans="1:11" ht="15" x14ac:dyDescent="0.25">
      <c r="A4751" s="3" t="str">
        <f>HYPERLINK("proteomic_fractions_linear_files/Yang_linear_img/46399202.jpg", "46399202")</f>
        <v>46399202</v>
      </c>
      <c r="C4751" s="3" t="str">
        <f>HYPERLINK("http://www.ncbi.nlm.nih.gov/protein/46399202","Myo5b")</f>
        <v>Myo5b</v>
      </c>
      <c r="E4751" t="str">
        <f>HYPERLINK("J:\Depot - mpkCCD Fractions\Main Web Page\Web Pages_old\proteomic_fractions_linear_files/Yang_linear_img/46399202.jpg","show blot")</f>
        <v>show blot</v>
      </c>
      <c r="G4751" t="s">
        <v>4546</v>
      </c>
      <c r="I4751" s="6">
        <v>3.1335122496483918</v>
      </c>
      <c r="K4751" s="8"/>
    </row>
    <row r="4752" spans="1:11" ht="15" x14ac:dyDescent="0.25">
      <c r="A4752" s="3" t="str">
        <f>HYPERLINK("proteomic_fractions_linear_files/Yang_linear_img/124486759.jpg", "124486759")</f>
        <v>124486759</v>
      </c>
      <c r="C4752" s="3" t="str">
        <f>HYPERLINK("http://www.ncbi.nlm.nih.gov/protein/124486759","Myo5c")</f>
        <v>Myo5c</v>
      </c>
      <c r="E4752" t="str">
        <f>HYPERLINK("J:\Depot - mpkCCD Fractions\Main Web Page\Web Pages_old\proteomic_fractions_linear_files/Yang_linear_img/124486759.jpg","show blot")</f>
        <v>show blot</v>
      </c>
      <c r="G4752" t="s">
        <v>4547</v>
      </c>
      <c r="I4752" s="6">
        <v>3.8966856406090402</v>
      </c>
      <c r="K4752" s="8"/>
    </row>
    <row r="4753" spans="1:11" ht="15" x14ac:dyDescent="0.25">
      <c r="A4753" s="3" t="str">
        <f>HYPERLINK("proteomic_fractions_linear_files/Yang_linear_img/261823961.jpg", "261823961")</f>
        <v>261823961</v>
      </c>
      <c r="C4753" s="3" t="str">
        <f>HYPERLINK("http://www.ncbi.nlm.nih.gov/protein/261823961","Myo6")</f>
        <v>Myo6</v>
      </c>
      <c r="E4753" t="str">
        <f>HYPERLINK("J:\Depot - mpkCCD Fractions\Main Web Page\Web Pages_old\proteomic_fractions_linear_files/Yang_linear_img/261823961.jpg","show blot")</f>
        <v>show blot</v>
      </c>
      <c r="G4753" t="s">
        <v>4548</v>
      </c>
      <c r="I4753" s="6">
        <v>6.0897761408833269</v>
      </c>
      <c r="K4753" s="8"/>
    </row>
    <row r="4754" spans="1:11" ht="15" x14ac:dyDescent="0.25">
      <c r="A4754" s="3" t="str">
        <f>HYPERLINK("proteomic_fractions_linear_files/Yang_linear_img/115511010.jpg", "115511010")</f>
        <v>115511010</v>
      </c>
      <c r="C4754" s="3" t="str">
        <f>HYPERLINK("http://www.ncbi.nlm.nih.gov/protein/115511010","Myo7a")</f>
        <v>Myo7a</v>
      </c>
      <c r="E4754" t="str">
        <f>HYPERLINK("J:\Depot - mpkCCD Fractions\Main Web Page\Web Pages_old\proteomic_fractions_linear_files/Yang_linear_img/115511010.jpg","show blot")</f>
        <v>show blot</v>
      </c>
      <c r="G4754" t="s">
        <v>4549</v>
      </c>
      <c r="I4754" s="6">
        <v>1.7338390006971496</v>
      </c>
      <c r="K4754" s="8"/>
    </row>
    <row r="4755" spans="1:11" ht="15" x14ac:dyDescent="0.25">
      <c r="A4755" s="3" t="str">
        <f>HYPERLINK("proteomic_fractions_linear_files/Yang_linear_img/367460064.jpg", "367460064")</f>
        <v>367460064</v>
      </c>
      <c r="C4755" s="3" t="str">
        <f>HYPERLINK("http://www.ncbi.nlm.nih.gov/protein/367460064","Myo7a")</f>
        <v>Myo7a</v>
      </c>
      <c r="E4755" t="str">
        <f>HYPERLINK("J:\Depot - mpkCCD Fractions\Main Web Page\Web Pages_old\proteomic_fractions_linear_files/Yang_linear_img/367460064.jpg","show blot")</f>
        <v>show blot</v>
      </c>
      <c r="G4755" t="s">
        <v>4550</v>
      </c>
      <c r="I4755" s="6">
        <v>1.7338390006971496</v>
      </c>
      <c r="K4755" s="8"/>
    </row>
    <row r="4756" spans="1:11" ht="15" x14ac:dyDescent="0.25">
      <c r="A4756" s="3" t="str">
        <f>HYPERLINK("proteomic_fractions_linear_files/Yang_linear_img/367460066.jpg", "367460066")</f>
        <v>367460066</v>
      </c>
      <c r="C4756" s="3" t="str">
        <f>HYPERLINK("http://www.ncbi.nlm.nih.gov/protein/367460066","Myo7a")</f>
        <v>Myo7a</v>
      </c>
      <c r="E4756" t="str">
        <f>HYPERLINK("J:\Depot - mpkCCD Fractions\Main Web Page\Web Pages_old\proteomic_fractions_linear_files/Yang_linear_img/367460066.jpg","show blot")</f>
        <v>show blot</v>
      </c>
      <c r="G4756" t="s">
        <v>4551</v>
      </c>
      <c r="I4756" s="6">
        <v>1.7338390006971496</v>
      </c>
      <c r="K4756" s="8"/>
    </row>
    <row r="4757" spans="1:11" ht="15" x14ac:dyDescent="0.25">
      <c r="A4757" s="3" t="str">
        <f>HYPERLINK("proteomic_fractions_linear_files/Yang_linear_img/367460068.jpg", "367460068")</f>
        <v>367460068</v>
      </c>
      <c r="C4757" s="3" t="str">
        <f>HYPERLINK("http://www.ncbi.nlm.nih.gov/protein/367460068","Myo7a")</f>
        <v>Myo7a</v>
      </c>
      <c r="E4757" t="str">
        <f>HYPERLINK("J:\Depot - mpkCCD Fractions\Main Web Page\Web Pages_old\proteomic_fractions_linear_files/Yang_linear_img/367460068.jpg","show blot")</f>
        <v>show blot</v>
      </c>
      <c r="G4757" t="s">
        <v>4552</v>
      </c>
      <c r="I4757" s="6">
        <v>1.7338390006971496</v>
      </c>
      <c r="K4757" s="8"/>
    </row>
    <row r="4758" spans="1:11" ht="15" x14ac:dyDescent="0.25">
      <c r="A4758" s="3" t="str">
        <f>HYPERLINK("proteomic_fractions_linear_files/Yang_linear_img/124053459.jpg", "124053459")</f>
        <v>124053459</v>
      </c>
      <c r="C4758" s="3" t="str">
        <f>HYPERLINK("http://www.ncbi.nlm.nih.gov/protein/124053459","Myo9b")</f>
        <v>Myo9b</v>
      </c>
      <c r="E4758" t="str">
        <f>HYPERLINK("J:\Depot - mpkCCD Fractions\Main Web Page\Web Pages_old\proteomic_fractions_linear_files/Yang_linear_img/124053459.jpg","show blot")</f>
        <v>show blot</v>
      </c>
      <c r="G4758" t="s">
        <v>4553</v>
      </c>
      <c r="I4758" s="6">
        <v>1.5569944058396119</v>
      </c>
      <c r="K4758" s="8"/>
    </row>
    <row r="4759" spans="1:11" ht="15" x14ac:dyDescent="0.25">
      <c r="A4759" s="3" t="str">
        <f>HYPERLINK("proteomic_fractions_linear_files/Yang_linear_img/215272382.jpg", "215272382")</f>
        <v>215272382</v>
      </c>
      <c r="C4759" s="3" t="str">
        <f>HYPERLINK("http://www.ncbi.nlm.nih.gov/protein/215272382","Myo9b")</f>
        <v>Myo9b</v>
      </c>
      <c r="E4759" t="str">
        <f>HYPERLINK("J:\Depot - mpkCCD Fractions\Main Web Page\Web Pages_old\proteomic_fractions_linear_files/Yang_linear_img/215272382.jpg","show blot")</f>
        <v>show blot</v>
      </c>
      <c r="G4759" t="s">
        <v>4554</v>
      </c>
      <c r="I4759" s="6">
        <v>1.5569944058396119</v>
      </c>
      <c r="K4759" s="8"/>
    </row>
    <row r="4760" spans="1:11" ht="15" x14ac:dyDescent="0.25">
      <c r="A4760" s="3" t="str">
        <f>HYPERLINK("proteomic_fractions_linear_files/Yang_linear_img/215272384.jpg", "215272384")</f>
        <v>215272384</v>
      </c>
      <c r="C4760" s="3" t="str">
        <f>HYPERLINK("http://www.ncbi.nlm.nih.gov/protein/215272384","Myo9b")</f>
        <v>Myo9b</v>
      </c>
      <c r="E4760" t="str">
        <f>HYPERLINK("J:\Depot - mpkCCD Fractions\Main Web Page\Web Pages_old\proteomic_fractions_linear_files/Yang_linear_img/215272384.jpg","show blot")</f>
        <v>show blot</v>
      </c>
      <c r="G4760" t="s">
        <v>4555</v>
      </c>
      <c r="I4760" s="6">
        <v>1.5569944058396119</v>
      </c>
      <c r="K4760" s="8"/>
    </row>
    <row r="4761" spans="1:11" ht="15" x14ac:dyDescent="0.25">
      <c r="A4761" s="3" t="str">
        <f>HYPERLINK("proteomic_fractions_linear_files/Yang_linear_img/153791796.jpg", "153791796")</f>
        <v>153791796</v>
      </c>
      <c r="C4761" s="3" t="str">
        <f>HYPERLINK("http://www.ncbi.nlm.nih.gov/protein/153791796","Myof")</f>
        <v>Myof</v>
      </c>
      <c r="E4761" t="str">
        <f>HYPERLINK("J:\Depot - mpkCCD Fractions\Main Web Page\Web Pages_old\proteomic_fractions_linear_files/Yang_linear_img/153791796.jpg","show blot")</f>
        <v>show blot</v>
      </c>
      <c r="G4761" t="s">
        <v>4556</v>
      </c>
      <c r="I4761" s="6">
        <v>5.4785844255213929</v>
      </c>
      <c r="K4761" s="8"/>
    </row>
    <row r="4762" spans="1:11" ht="15" x14ac:dyDescent="0.25">
      <c r="A4762" s="3" t="str">
        <f>HYPERLINK("proteomic_fractions_linear_files/Yang_linear_img/85701616.jpg", "85701616")</f>
        <v>85701616</v>
      </c>
      <c r="C4762" s="3" t="str">
        <f>HYPERLINK("http://www.ncbi.nlm.nih.gov/protein/85701616","Myzap")</f>
        <v>Myzap</v>
      </c>
      <c r="E4762" t="str">
        <f>HYPERLINK("J:\Depot - mpkCCD Fractions\Main Web Page\Web Pages_old\proteomic_fractions_linear_files/Yang_linear_img/85701616.jpg","show blot")</f>
        <v>show blot</v>
      </c>
      <c r="G4762" t="s">
        <v>4557</v>
      </c>
      <c r="I4762" s="6">
        <v>1.5189132316872194</v>
      </c>
      <c r="K4762" s="8"/>
    </row>
    <row r="4763" spans="1:11" ht="15" x14ac:dyDescent="0.25">
      <c r="A4763" s="3" t="str">
        <f>HYPERLINK("proteomic_fractions_linear_files/Yang_linear_img/30424884.jpg", "30424884")</f>
        <v>30424884</v>
      </c>
      <c r="C4763" s="3" t="str">
        <f>HYPERLINK("http://www.ncbi.nlm.nih.gov/protein/30424884","Mzt1")</f>
        <v>Mzt1</v>
      </c>
      <c r="E4763" t="str">
        <f>HYPERLINK("J:\Depot - mpkCCD Fractions\Main Web Page\Web Pages_old\proteomic_fractions_linear_files/Yang_linear_img/30424884.jpg","show blot")</f>
        <v>show blot</v>
      </c>
      <c r="G4763" t="s">
        <v>4558</v>
      </c>
      <c r="I4763" s="6">
        <v>3.8508107159354634</v>
      </c>
      <c r="K4763" s="8"/>
    </row>
    <row r="4764" spans="1:11" ht="15" x14ac:dyDescent="0.25">
      <c r="A4764" s="3" t="str">
        <f>HYPERLINK("proteomic_fractions_linear_files/Yang_linear_img/21312988.jpg", "21312988")</f>
        <v>21312988</v>
      </c>
      <c r="C4764" s="3" t="str">
        <f>HYPERLINK("http://www.ncbi.nlm.nih.gov/protein/21312988","Mzt2")</f>
        <v>Mzt2</v>
      </c>
      <c r="E4764" t="str">
        <f>HYPERLINK("J:\Depot - mpkCCD Fractions\Main Web Page\Web Pages_old\proteomic_fractions_linear_files/Yang_linear_img/21312988.jpg","show blot")</f>
        <v>show blot</v>
      </c>
      <c r="G4764" t="s">
        <v>4559</v>
      </c>
      <c r="I4764" s="6">
        <v>4.1652427090498048</v>
      </c>
      <c r="K4764" s="8"/>
    </row>
    <row r="4765" spans="1:11" ht="15" x14ac:dyDescent="0.25">
      <c r="A4765" s="3" t="str">
        <f>HYPERLINK("proteomic_fractions_linear_files/Yang_linear_img/67906816.jpg", "67906816")</f>
        <v>67906816</v>
      </c>
      <c r="C4765" s="3" t="str">
        <f>HYPERLINK("http://www.ncbi.nlm.nih.gov/protein/67906816","N4bp2")</f>
        <v>N4bp2</v>
      </c>
      <c r="E4765" t="str">
        <f>HYPERLINK("J:\Depot - mpkCCD Fractions\Main Web Page\Web Pages_old\proteomic_fractions_linear_files/Yang_linear_img/67906816.jpg","show blot")</f>
        <v>show blot</v>
      </c>
      <c r="G4765" t="s">
        <v>4560</v>
      </c>
      <c r="I4765" s="6">
        <v>2.0708000948596812</v>
      </c>
      <c r="K4765" s="8"/>
    </row>
    <row r="4766" spans="1:11" ht="15" x14ac:dyDescent="0.25">
      <c r="A4766" s="3" t="str">
        <f>HYPERLINK("proteomic_fractions_linear_files/Yang_linear_img/158186629.jpg", "158186629")</f>
        <v>158186629</v>
      </c>
      <c r="C4766" s="3" t="str">
        <f>HYPERLINK("http://www.ncbi.nlm.nih.gov/protein/158186629","N4bp2l2")</f>
        <v>N4bp2l2</v>
      </c>
      <c r="E4766" t="str">
        <f>HYPERLINK("J:\Depot - mpkCCD Fractions\Main Web Page\Web Pages_old\proteomic_fractions_linear_files/Yang_linear_img/158186629.jpg","show blot")</f>
        <v>show blot</v>
      </c>
      <c r="G4766" t="s">
        <v>4561</v>
      </c>
      <c r="I4766" s="6">
        <v>4.2507344470324178</v>
      </c>
      <c r="K4766" s="8"/>
    </row>
    <row r="4767" spans="1:11" ht="15" x14ac:dyDescent="0.25">
      <c r="A4767" s="3" t="str">
        <f>HYPERLINK("proteomic_fractions_linear_files/Yang_linear_img/39540506.jpg", "39540506")</f>
        <v>39540506</v>
      </c>
      <c r="C4767" s="3" t="str">
        <f>HYPERLINK("http://www.ncbi.nlm.nih.gov/protein/39540506","N6amt1")</f>
        <v>N6amt1</v>
      </c>
      <c r="E4767" t="str">
        <f>HYPERLINK("J:\Depot - mpkCCD Fractions\Main Web Page\Web Pages_old\proteomic_fractions_linear_files/Yang_linear_img/39540506.jpg","show blot")</f>
        <v>show blot</v>
      </c>
      <c r="G4767" t="s">
        <v>4562</v>
      </c>
      <c r="I4767" s="6">
        <v>4.7787832400254286</v>
      </c>
      <c r="K4767" s="8"/>
    </row>
    <row r="4768" spans="1:11" ht="15" x14ac:dyDescent="0.25">
      <c r="A4768" s="3" t="str">
        <f>HYPERLINK("proteomic_fractions_linear_files/Yang_linear_img/13386022.jpg", "13386022")</f>
        <v>13386022</v>
      </c>
      <c r="C4768" s="3" t="str">
        <f>HYPERLINK("http://www.ncbi.nlm.nih.gov/protein/13386022","N6amt2")</f>
        <v>N6amt2</v>
      </c>
      <c r="E4768" t="str">
        <f>HYPERLINK("J:\Depot - mpkCCD Fractions\Main Web Page\Web Pages_old\proteomic_fractions_linear_files/Yang_linear_img/13386022.jpg","show blot")</f>
        <v>show blot</v>
      </c>
      <c r="G4768" t="s">
        <v>4563</v>
      </c>
      <c r="I4768" s="6">
        <v>3.7342031706092986</v>
      </c>
      <c r="K4768" s="8"/>
    </row>
    <row r="4769" spans="1:11" ht="15" x14ac:dyDescent="0.25">
      <c r="A4769" s="3" t="str">
        <f>HYPERLINK("proteomic_fractions_linear_files/Yang_linear_img/9845236.jpg", "9845236")</f>
        <v>9845236</v>
      </c>
      <c r="C4769" s="3" t="str">
        <f>HYPERLINK("http://www.ncbi.nlm.nih.gov/protein/9845236","Naa10")</f>
        <v>Naa10</v>
      </c>
      <c r="E4769" t="str">
        <f>HYPERLINK("J:\Depot - mpkCCD Fractions\Main Web Page\Web Pages_old\proteomic_fractions_linear_files/Yang_linear_img/9845236.jpg","show blot")</f>
        <v>show blot</v>
      </c>
      <c r="G4769" t="s">
        <v>4564</v>
      </c>
      <c r="I4769" s="6">
        <v>5.3645356788244971</v>
      </c>
      <c r="K4769" s="8"/>
    </row>
    <row r="4770" spans="1:11" ht="15" x14ac:dyDescent="0.25">
      <c r="A4770" s="3" t="str">
        <f>HYPERLINK("proteomic_fractions_linear_files/Yang_linear_img/295789090.jpg", "295789090")</f>
        <v>295789090</v>
      </c>
      <c r="C4770" s="3" t="str">
        <f>HYPERLINK("http://www.ncbi.nlm.nih.gov/protein/295789090","Naa10")</f>
        <v>Naa10</v>
      </c>
      <c r="E4770" t="str">
        <f>HYPERLINK("J:\Depot - mpkCCD Fractions\Main Web Page\Web Pages_old\proteomic_fractions_linear_files/Yang_linear_img/295789090.jpg","show blot")</f>
        <v>show blot</v>
      </c>
      <c r="G4770" t="s">
        <v>4565</v>
      </c>
      <c r="I4770" s="6">
        <v>5.3645356788244971</v>
      </c>
      <c r="K4770" s="8"/>
    </row>
    <row r="4771" spans="1:11" ht="15" x14ac:dyDescent="0.25">
      <c r="A4771" s="3" t="str">
        <f>HYPERLINK("proteomic_fractions_linear_files/Yang_linear_img/85701706.jpg", "85701706")</f>
        <v>85701706</v>
      </c>
      <c r="C4771" s="3" t="str">
        <f>HYPERLINK("http://www.ncbi.nlm.nih.gov/protein/85701706","Naa11")</f>
        <v>Naa11</v>
      </c>
      <c r="E4771" t="str">
        <f>HYPERLINK("J:\Depot - mpkCCD Fractions\Main Web Page\Web Pages_old\proteomic_fractions_linear_files/Yang_linear_img/85701706.jpg","show blot")</f>
        <v>show blot</v>
      </c>
      <c r="G4771" t="s">
        <v>4566</v>
      </c>
      <c r="I4771" s="6">
        <v>4.8887546058352944</v>
      </c>
      <c r="K4771" s="8"/>
    </row>
    <row r="4772" spans="1:11" ht="15" x14ac:dyDescent="0.25">
      <c r="A4772" s="3" t="str">
        <f>HYPERLINK("proteomic_fractions_linear_files/Yang_linear_img/225543482.jpg", "225543482")</f>
        <v>225543482</v>
      </c>
      <c r="C4772" s="3" t="str">
        <f>HYPERLINK("http://www.ncbi.nlm.nih.gov/protein/225543482","Naa15")</f>
        <v>Naa15</v>
      </c>
      <c r="E4772" t="str">
        <f>HYPERLINK("J:\Depot - mpkCCD Fractions\Main Web Page\Web Pages_old\proteomic_fractions_linear_files/Yang_linear_img/225543482.jpg","show blot")</f>
        <v>show blot</v>
      </c>
      <c r="G4772" t="s">
        <v>4567</v>
      </c>
      <c r="I4772" s="6">
        <v>5.4458877073225764</v>
      </c>
      <c r="K4772" s="8"/>
    </row>
    <row r="4773" spans="1:11" ht="15" x14ac:dyDescent="0.25">
      <c r="A4773" s="3" t="str">
        <f>HYPERLINK("proteomic_fractions_linear_files/Yang_linear_img/21313242.jpg", "21313242")</f>
        <v>21313242</v>
      </c>
      <c r="C4773" s="3" t="str">
        <f>HYPERLINK("http://www.ncbi.nlm.nih.gov/protein/21313242","Naa16")</f>
        <v>Naa16</v>
      </c>
      <c r="E4773" t="str">
        <f>HYPERLINK("J:\Depot - mpkCCD Fractions\Main Web Page\Web Pages_old\proteomic_fractions_linear_files/Yang_linear_img/21313242.jpg","show blot")</f>
        <v>show blot</v>
      </c>
      <c r="G4773" t="s">
        <v>4568</v>
      </c>
      <c r="I4773" s="6">
        <v>4.8141144326665364</v>
      </c>
      <c r="K4773" s="8"/>
    </row>
    <row r="4774" spans="1:11" ht="15" x14ac:dyDescent="0.25">
      <c r="A4774" s="3" t="str">
        <f>HYPERLINK("proteomic_fractions_linear_files/Yang_linear_img/13385922.jpg", "13385922")</f>
        <v>13385922</v>
      </c>
      <c r="C4774" s="3" t="str">
        <f>HYPERLINK("http://www.ncbi.nlm.nih.gov/protein/13385922","Naa20")</f>
        <v>Naa20</v>
      </c>
      <c r="E4774" t="str">
        <f>HYPERLINK("J:\Depot - mpkCCD Fractions\Main Web Page\Web Pages_old\proteomic_fractions_linear_files/Yang_linear_img/13385922.jpg","show blot")</f>
        <v>show blot</v>
      </c>
      <c r="G4774" t="s">
        <v>4569</v>
      </c>
      <c r="I4774" s="6">
        <v>4.9491081594611162</v>
      </c>
      <c r="K4774" s="8"/>
    </row>
    <row r="4775" spans="1:11" ht="15" x14ac:dyDescent="0.25">
      <c r="A4775" s="3" t="str">
        <f>HYPERLINK("proteomic_fractions_linear_files/Yang_linear_img/213972579.jpg", "213972579")</f>
        <v>213972579</v>
      </c>
      <c r="C4775" s="3" t="str">
        <f>HYPERLINK("http://www.ncbi.nlm.nih.gov/protein/213972579","Naa20")</f>
        <v>Naa20</v>
      </c>
      <c r="E4775" t="str">
        <f>HYPERLINK("J:\Depot - mpkCCD Fractions\Main Web Page\Web Pages_old\proteomic_fractions_linear_files/Yang_linear_img/213972579.jpg","show blot")</f>
        <v>show blot</v>
      </c>
      <c r="G4775" t="s">
        <v>4570</v>
      </c>
      <c r="I4775" s="6">
        <v>4.9491081594611162</v>
      </c>
      <c r="K4775" s="8"/>
    </row>
    <row r="4776" spans="1:11" ht="15" x14ac:dyDescent="0.25">
      <c r="A4776" s="3" t="str">
        <f>HYPERLINK("proteomic_fractions_linear_files/Yang_linear_img/55742803.jpg", "55742803")</f>
        <v>55742803</v>
      </c>
      <c r="C4776" s="3" t="str">
        <f>HYPERLINK("http://www.ncbi.nlm.nih.gov/protein/55742803","Naa25")</f>
        <v>Naa25</v>
      </c>
      <c r="E4776" t="str">
        <f>HYPERLINK("J:\Depot - mpkCCD Fractions\Main Web Page\Web Pages_old\proteomic_fractions_linear_files/Yang_linear_img/55742803.jpg","show blot")</f>
        <v>show blot</v>
      </c>
      <c r="G4776" t="s">
        <v>4571</v>
      </c>
      <c r="I4776" s="6">
        <v>4.862350693957274</v>
      </c>
      <c r="K4776" s="8"/>
    </row>
    <row r="4777" spans="1:11" ht="15" x14ac:dyDescent="0.25">
      <c r="A4777" s="3" t="str">
        <f>HYPERLINK("proteomic_fractions_linear_files/Yang_linear_img/124487477.jpg", "124487477")</f>
        <v>124487477</v>
      </c>
      <c r="C4777" s="3" t="str">
        <f>HYPERLINK("http://www.ncbi.nlm.nih.gov/protein/124487477","Naa30")</f>
        <v>Naa30</v>
      </c>
      <c r="E4777" t="str">
        <f>HYPERLINK("J:\Depot - mpkCCD Fractions\Main Web Page\Web Pages_old\proteomic_fractions_linear_files/Yang_linear_img/124487477.jpg","show blot")</f>
        <v>show blot</v>
      </c>
      <c r="G4777" t="s">
        <v>4572</v>
      </c>
      <c r="I4777" s="6">
        <v>4.5458711252092368</v>
      </c>
      <c r="K4777" s="8"/>
    </row>
    <row r="4778" spans="1:11" ht="15" x14ac:dyDescent="0.25">
      <c r="A4778" s="3" t="str">
        <f>HYPERLINK("proteomic_fractions_linear_files/Yang_linear_img/172072615.jpg", "172072615")</f>
        <v>172072615</v>
      </c>
      <c r="C4778" s="3" t="str">
        <f>HYPERLINK("http://www.ncbi.nlm.nih.gov/protein/172072615","Naa35")</f>
        <v>Naa35</v>
      </c>
      <c r="E4778" t="str">
        <f>HYPERLINK("J:\Depot - mpkCCD Fractions\Main Web Page\Web Pages_old\proteomic_fractions_linear_files/Yang_linear_img/172072615.jpg","show blot")</f>
        <v>show blot</v>
      </c>
      <c r="G4778" t="s">
        <v>4573</v>
      </c>
      <c r="I4778" s="6">
        <v>4.5298200929937735</v>
      </c>
      <c r="K4778" s="8"/>
    </row>
    <row r="4779" spans="1:11" ht="15" x14ac:dyDescent="0.25">
      <c r="A4779" s="3" t="str">
        <f>HYPERLINK("proteomic_fractions_linear_files/Yang_linear_img/19527156.jpg", "19527156")</f>
        <v>19527156</v>
      </c>
      <c r="C4779" s="3" t="str">
        <f>HYPERLINK("http://www.ncbi.nlm.nih.gov/protein/19527156","Naa38")</f>
        <v>Naa38</v>
      </c>
      <c r="E4779" t="str">
        <f>HYPERLINK("J:\Depot - mpkCCD Fractions\Main Web Page\Web Pages_old\proteomic_fractions_linear_files/Yang_linear_img/19527156.jpg","show blot")</f>
        <v>show blot</v>
      </c>
      <c r="G4779" t="s">
        <v>4574</v>
      </c>
      <c r="I4779" s="6">
        <v>5.6231631252941954</v>
      </c>
      <c r="K4779" s="8"/>
    </row>
    <row r="4780" spans="1:11" ht="15" x14ac:dyDescent="0.25">
      <c r="A4780" s="3" t="str">
        <f>HYPERLINK("proteomic_fractions_linear_files/Yang_linear_img/254588079.jpg", "254588079")</f>
        <v>254588079</v>
      </c>
      <c r="C4780" s="3" t="str">
        <f>HYPERLINK("http://www.ncbi.nlm.nih.gov/protein/254588079","Naa40")</f>
        <v>Naa40</v>
      </c>
      <c r="E4780" t="str">
        <f>HYPERLINK("J:\Depot - mpkCCD Fractions\Main Web Page\Web Pages_old\proteomic_fractions_linear_files/Yang_linear_img/254588079.jpg","show blot")</f>
        <v>show blot</v>
      </c>
      <c r="G4780" t="s">
        <v>4575</v>
      </c>
      <c r="I4780" s="6">
        <v>5.3616017919113954</v>
      </c>
      <c r="K4780" s="8"/>
    </row>
    <row r="4781" spans="1:11" ht="15" x14ac:dyDescent="0.25">
      <c r="A4781" s="3" t="str">
        <f>HYPERLINK("proteomic_fractions_linear_files/Yang_linear_img/21312422.jpg", "21312422")</f>
        <v>21312422</v>
      </c>
      <c r="C4781" s="3" t="str">
        <f>HYPERLINK("http://www.ncbi.nlm.nih.gov/protein/21312422","Naa50")</f>
        <v>Naa50</v>
      </c>
      <c r="E4781" t="str">
        <f>HYPERLINK("J:\Depot - mpkCCD Fractions\Main Web Page\Web Pages_old\proteomic_fractions_linear_files/Yang_linear_img/21312422.jpg","show blot")</f>
        <v>show blot</v>
      </c>
      <c r="G4781" t="s">
        <v>4576</v>
      </c>
      <c r="I4781" s="6">
        <v>5.9042689135046054</v>
      </c>
      <c r="K4781" s="8"/>
    </row>
    <row r="4782" spans="1:11" ht="15" x14ac:dyDescent="0.25">
      <c r="A4782" s="3" t="str">
        <f>HYPERLINK("proteomic_fractions_linear_files/Yang_linear_img/255683418.jpg", "255683418")</f>
        <v>255683418</v>
      </c>
      <c r="C4782" s="3" t="str">
        <f>HYPERLINK("http://www.ncbi.nlm.nih.gov/protein/255683418","Naaa")</f>
        <v>Naaa</v>
      </c>
      <c r="E4782" t="str">
        <f>HYPERLINK("J:\Depot - mpkCCD Fractions\Main Web Page\Web Pages_old\proteomic_fractions_linear_files/Yang_linear_img/255683418.jpg","show blot")</f>
        <v>show blot</v>
      </c>
      <c r="G4782" t="s">
        <v>4577</v>
      </c>
      <c r="I4782" s="6">
        <v>1.6667148512550236</v>
      </c>
      <c r="K4782" s="8"/>
    </row>
    <row r="4783" spans="1:11" ht="15" x14ac:dyDescent="0.25">
      <c r="A4783" s="3" t="str">
        <f>HYPERLINK("proteomic_fractions_linear_files/Yang_linear_img/255683420.jpg", "255683420")</f>
        <v>255683420</v>
      </c>
      <c r="C4783" s="3" t="str">
        <f>HYPERLINK("http://www.ncbi.nlm.nih.gov/protein/255683420","Naaa")</f>
        <v>Naaa</v>
      </c>
      <c r="E4783" t="str">
        <f>HYPERLINK("J:\Depot - mpkCCD Fractions\Main Web Page\Web Pages_old\proteomic_fractions_linear_files/Yang_linear_img/255683420.jpg","show blot")</f>
        <v>show blot</v>
      </c>
      <c r="G4783" t="s">
        <v>4578</v>
      </c>
      <c r="I4783" s="6">
        <v>1.6667148512550236</v>
      </c>
      <c r="K4783" s="8"/>
    </row>
    <row r="4784" spans="1:11" ht="15" x14ac:dyDescent="0.25">
      <c r="A4784" s="3" t="str">
        <f>HYPERLINK("proteomic_fractions_linear_files/Yang_linear_img/309264701.jpg", "309264701")</f>
        <v>309264701</v>
      </c>
      <c r="C4784" s="3" t="str">
        <f>HYPERLINK("http://www.ncbi.nlm.nih.gov/protein/309264701","Naaladl2")</f>
        <v>Naaladl2</v>
      </c>
      <c r="E4784" t="str">
        <f>HYPERLINK("J:\Depot - mpkCCD Fractions\Main Web Page\Web Pages_old\proteomic_fractions_linear_files/Yang_linear_img/309264701.jpg","show blot")</f>
        <v>show blot</v>
      </c>
      <c r="G4784" t="s">
        <v>4579</v>
      </c>
      <c r="I4784" s="6">
        <v>4.0280013806630519</v>
      </c>
      <c r="K4784" s="8"/>
    </row>
    <row r="4785" spans="1:11" ht="15" x14ac:dyDescent="0.25">
      <c r="A4785" s="3" t="str">
        <f>HYPERLINK("proteomic_fractions_linear_files/Yang_linear_img/28076937.jpg", "28076937")</f>
        <v>28076937</v>
      </c>
      <c r="C4785" s="3" t="str">
        <f>HYPERLINK("http://www.ncbi.nlm.nih.gov/protein/28076937","Nabp2")</f>
        <v>Nabp2</v>
      </c>
      <c r="E4785" t="str">
        <f>HYPERLINK("J:\Depot - mpkCCD Fractions\Main Web Page\Web Pages_old\proteomic_fractions_linear_files/Yang_linear_img/28076937.jpg","show blot")</f>
        <v>show blot</v>
      </c>
      <c r="G4785" t="s">
        <v>4580</v>
      </c>
      <c r="I4785" s="6">
        <v>4.126891110467942</v>
      </c>
      <c r="K4785" s="8"/>
    </row>
    <row r="4786" spans="1:11" ht="15" x14ac:dyDescent="0.25">
      <c r="A4786" s="3" t="str">
        <f>HYPERLINK("proteomic_fractions_linear_files/Yang_linear_img/163965357.jpg", "163965357")</f>
        <v>163965357</v>
      </c>
      <c r="C4786" s="3" t="str">
        <f>HYPERLINK("http://www.ncbi.nlm.nih.gov/protein/163965357","Naca")</f>
        <v>Naca</v>
      </c>
      <c r="E4786" t="str">
        <f>HYPERLINK("J:\Depot - mpkCCD Fractions\Main Web Page\Web Pages_old\proteomic_fractions_linear_files/Yang_linear_img/163965357.jpg","show blot")</f>
        <v>show blot</v>
      </c>
      <c r="G4786" t="s">
        <v>4581</v>
      </c>
      <c r="I4786" s="6">
        <v>6.7236753217139542</v>
      </c>
      <c r="K4786" s="8"/>
    </row>
    <row r="4787" spans="1:11" ht="15" x14ac:dyDescent="0.25">
      <c r="A4787" s="3" t="str">
        <f>HYPERLINK("proteomic_fractions_linear_files/Yang_linear_img/41350312.jpg", "41350312")</f>
        <v>41350312</v>
      </c>
      <c r="C4787" s="3" t="str">
        <f>HYPERLINK("http://www.ncbi.nlm.nih.gov/protein/41350312","Naca")</f>
        <v>Naca</v>
      </c>
      <c r="E4787" t="str">
        <f>HYPERLINK("J:\Depot - mpkCCD Fractions\Main Web Page\Web Pages_old\proteomic_fractions_linear_files/Yang_linear_img/41350312.jpg","show blot")</f>
        <v>show blot</v>
      </c>
      <c r="G4787" t="s">
        <v>4582</v>
      </c>
      <c r="I4787" s="6">
        <v>6.7236753217139542</v>
      </c>
      <c r="K4787" s="8"/>
    </row>
    <row r="4788" spans="1:11" ht="15" x14ac:dyDescent="0.25">
      <c r="A4788" s="3" t="str">
        <f>HYPERLINK("proteomic_fractions_linear_files/Yang_linear_img/146134392.jpg", "146134392")</f>
        <v>146134392</v>
      </c>
      <c r="C4788" s="3" t="str">
        <f>HYPERLINK("http://www.ncbi.nlm.nih.gov/protein/146134392","Nadk2")</f>
        <v>Nadk2</v>
      </c>
      <c r="E4788" t="str">
        <f>HYPERLINK("J:\Depot - mpkCCD Fractions\Main Web Page\Web Pages_old\proteomic_fractions_linear_files/Yang_linear_img/146134392.jpg","show blot")</f>
        <v>show blot</v>
      </c>
      <c r="G4788" t="s">
        <v>4583</v>
      </c>
      <c r="I4788" s="6">
        <v>3.9035860401611875</v>
      </c>
      <c r="K4788" s="8"/>
    </row>
    <row r="4789" spans="1:11" ht="15" x14ac:dyDescent="0.25">
      <c r="A4789" s="3" t="str">
        <f>HYPERLINK("proteomic_fractions_linear_files/Yang_linear_img/146134519.jpg", "146134519")</f>
        <v>146134519</v>
      </c>
      <c r="C4789" s="3" t="str">
        <f>HYPERLINK("http://www.ncbi.nlm.nih.gov/protein/146134519","Nadk2")</f>
        <v>Nadk2</v>
      </c>
      <c r="E4789" t="str">
        <f>HYPERLINK("J:\Depot - mpkCCD Fractions\Main Web Page\Web Pages_old\proteomic_fractions_linear_files/Yang_linear_img/146134519.jpg","show blot")</f>
        <v>show blot</v>
      </c>
      <c r="G4789" t="s">
        <v>4584</v>
      </c>
      <c r="I4789" s="6">
        <v>3.9035860401611875</v>
      </c>
      <c r="K4789" s="8"/>
    </row>
    <row r="4790" spans="1:11" ht="15" x14ac:dyDescent="0.25">
      <c r="A4790" s="3" t="str">
        <f>HYPERLINK("proteomic_fractions_linear_files/Yang_linear_img/21313534.jpg", "21313534")</f>
        <v>21313534</v>
      </c>
      <c r="C4790" s="3" t="str">
        <f>HYPERLINK("http://www.ncbi.nlm.nih.gov/protein/21313534","Nadsyn1")</f>
        <v>Nadsyn1</v>
      </c>
      <c r="E4790" t="str">
        <f>HYPERLINK("J:\Depot - mpkCCD Fractions\Main Web Page\Web Pages_old\proteomic_fractions_linear_files/Yang_linear_img/21313534.jpg","show blot")</f>
        <v>show blot</v>
      </c>
      <c r="G4790" t="s">
        <v>4585</v>
      </c>
      <c r="I4790" s="6">
        <v>3.9068544405955636</v>
      </c>
      <c r="K4790" s="8"/>
    </row>
    <row r="4791" spans="1:11" ht="15" x14ac:dyDescent="0.25">
      <c r="A4791" s="3" t="str">
        <f>HYPERLINK("proteomic_fractions_linear_files/Yang_linear_img/21450341.jpg", "21450341")</f>
        <v>21450341</v>
      </c>
      <c r="C4791" s="3" t="str">
        <f>HYPERLINK("http://www.ncbi.nlm.nih.gov/protein/21450341","Nae1")</f>
        <v>Nae1</v>
      </c>
      <c r="E4791" t="str">
        <f>HYPERLINK("J:\Depot - mpkCCD Fractions\Main Web Page\Web Pages_old\proteomic_fractions_linear_files/Yang_linear_img/21450341.jpg","show blot")</f>
        <v>show blot</v>
      </c>
      <c r="G4791" t="s">
        <v>4586</v>
      </c>
      <c r="I4791" s="6">
        <v>4.7351130162858119</v>
      </c>
      <c r="K4791" s="8"/>
    </row>
    <row r="4792" spans="1:11" ht="15" x14ac:dyDescent="0.25">
      <c r="A4792" s="3" t="str">
        <f>HYPERLINK("proteomic_fractions_linear_files/Yang_linear_img/168693635.jpg", "168693635")</f>
        <v>168693635</v>
      </c>
      <c r="C4792" s="3" t="str">
        <f>HYPERLINK("http://www.ncbi.nlm.nih.gov/protein/168693635","Naga")</f>
        <v>Naga</v>
      </c>
      <c r="E4792" t="str">
        <f>HYPERLINK("J:\Depot - mpkCCD Fractions\Main Web Page\Web Pages_old\proteomic_fractions_linear_files/Yang_linear_img/168693635.jpg","show blot")</f>
        <v>show blot</v>
      </c>
      <c r="G4792" t="s">
        <v>4587</v>
      </c>
      <c r="I4792" s="6">
        <v>6.2471797127103574</v>
      </c>
      <c r="K4792" s="8"/>
    </row>
    <row r="4793" spans="1:11" ht="15" x14ac:dyDescent="0.25">
      <c r="A4793" s="3" t="str">
        <f>HYPERLINK("proteomic_fractions_linear_files/Yang_linear_img/255958271.jpg", "255958271")</f>
        <v>255958271</v>
      </c>
      <c r="C4793" s="3" t="str">
        <f>HYPERLINK("http://www.ncbi.nlm.nih.gov/protein/255958271","Nagk")</f>
        <v>Nagk</v>
      </c>
      <c r="E4793" t="str">
        <f>HYPERLINK("J:\Depot - mpkCCD Fractions\Main Web Page\Web Pages_old\proteomic_fractions_linear_files/Yang_linear_img/255958271.jpg","show blot")</f>
        <v>show blot</v>
      </c>
      <c r="G4793" t="s">
        <v>4588</v>
      </c>
      <c r="I4793" s="6">
        <v>5.0716994785799665</v>
      </c>
      <c r="K4793" s="8"/>
    </row>
    <row r="4794" spans="1:11" ht="15" x14ac:dyDescent="0.25">
      <c r="A4794" s="3" t="str">
        <f>HYPERLINK("proteomic_fractions_linear_files/Yang_linear_img/9506739.jpg", "9506739")</f>
        <v>9506739</v>
      </c>
      <c r="C4794" s="3" t="str">
        <f>HYPERLINK("http://www.ncbi.nlm.nih.gov/protein/9506739","Nagk")</f>
        <v>Nagk</v>
      </c>
      <c r="E4794" t="str">
        <f>HYPERLINK("J:\Depot - mpkCCD Fractions\Main Web Page\Web Pages_old\proteomic_fractions_linear_files/Yang_linear_img/9506739.jpg","show blot")</f>
        <v>show blot</v>
      </c>
      <c r="G4794" t="s">
        <v>4589</v>
      </c>
      <c r="I4794" s="6">
        <v>5.0716994785799665</v>
      </c>
      <c r="K4794" s="8"/>
    </row>
    <row r="4795" spans="1:11" ht="15" x14ac:dyDescent="0.25">
      <c r="A4795" s="3" t="str">
        <f>HYPERLINK("proteomic_fractions_linear_files/Yang_linear_img/254910995.jpg", "254910995")</f>
        <v>254910995</v>
      </c>
      <c r="C4795" s="3" t="str">
        <f>HYPERLINK("http://www.ncbi.nlm.nih.gov/protein/254910995","Naglu")</f>
        <v>Naglu</v>
      </c>
      <c r="E4795" t="str">
        <f>HYPERLINK("J:\Depot - mpkCCD Fractions\Main Web Page\Web Pages_old\proteomic_fractions_linear_files/Yang_linear_img/254910995.jpg","show blot")</f>
        <v>show blot</v>
      </c>
      <c r="G4795" t="s">
        <v>4590</v>
      </c>
      <c r="I4795" s="6">
        <v>5.5808011341668573</v>
      </c>
      <c r="K4795" s="8"/>
    </row>
    <row r="4796" spans="1:11" ht="15" x14ac:dyDescent="0.25">
      <c r="A4796" s="3" t="str">
        <f>HYPERLINK("proteomic_fractions_linear_files/Yang_linear_img/187133241.jpg", "187133241")</f>
        <v>187133241</v>
      </c>
      <c r="C4796" s="3" t="str">
        <f>HYPERLINK("http://www.ncbi.nlm.nih.gov/protein/187133241","Naip2")</f>
        <v>Naip2</v>
      </c>
      <c r="E4796" t="str">
        <f>HYPERLINK("J:\Depot - mpkCCD Fractions\Main Web Page\Web Pages_old\proteomic_fractions_linear_files/Yang_linear_img/187133241.jpg","show blot")</f>
        <v>show blot</v>
      </c>
      <c r="G4796" t="s">
        <v>4591</v>
      </c>
      <c r="I4796" s="6">
        <v>3.6148658365729012</v>
      </c>
      <c r="K4796" s="8"/>
    </row>
    <row r="4797" spans="1:11" ht="15" x14ac:dyDescent="0.25">
      <c r="A4797" s="3" t="str">
        <f>HYPERLINK("proteomic_fractions_linear_files/Yang_linear_img/257153454.jpg", "257153454")</f>
        <v>257153454</v>
      </c>
      <c r="C4797" s="3" t="str">
        <f>HYPERLINK("http://www.ncbi.nlm.nih.gov/protein/257153454","Nampt")</f>
        <v>Nampt</v>
      </c>
      <c r="E4797" t="str">
        <f>HYPERLINK("J:\Depot - mpkCCD Fractions\Main Web Page\Web Pages_old\proteomic_fractions_linear_files/Yang_linear_img/257153454.jpg","show blot")</f>
        <v>show blot</v>
      </c>
      <c r="G4797" t="s">
        <v>4592</v>
      </c>
      <c r="I4797" s="6">
        <v>6.2092442083447255</v>
      </c>
      <c r="K4797" s="8"/>
    </row>
    <row r="4798" spans="1:11" ht="15" x14ac:dyDescent="0.25">
      <c r="A4798" s="3" t="str">
        <f>HYPERLINK("proteomic_fractions_linear_files/Yang_linear_img/13385586.jpg", "13385586")</f>
        <v>13385586</v>
      </c>
      <c r="C4798" s="3" t="str">
        <f>HYPERLINK("http://www.ncbi.nlm.nih.gov/protein/13385586","Nanp")</f>
        <v>Nanp</v>
      </c>
      <c r="E4798" t="str">
        <f>HYPERLINK("J:\Depot - mpkCCD Fractions\Main Web Page\Web Pages_old\proteomic_fractions_linear_files/Yang_linear_img/13385586.jpg","show blot")</f>
        <v>show blot</v>
      </c>
      <c r="G4798" t="s">
        <v>4593</v>
      </c>
      <c r="I4798" s="6">
        <v>4.5112783249751116</v>
      </c>
      <c r="K4798" s="8"/>
    </row>
    <row r="4799" spans="1:11" ht="15" x14ac:dyDescent="0.25">
      <c r="A4799" s="3" t="str">
        <f>HYPERLINK("proteomic_fractions_linear_files/Yang_linear_img/16716467.jpg", "16716467")</f>
        <v>16716467</v>
      </c>
      <c r="C4799" s="3" t="str">
        <f>HYPERLINK("http://www.ncbi.nlm.nih.gov/protein/16716467","Nans")</f>
        <v>Nans</v>
      </c>
      <c r="E4799" t="str">
        <f>HYPERLINK("J:\Depot - mpkCCD Fractions\Main Web Page\Web Pages_old\proteomic_fractions_linear_files/Yang_linear_img/16716467.jpg","show blot")</f>
        <v>show blot</v>
      </c>
      <c r="G4799" t="s">
        <v>4594</v>
      </c>
      <c r="I4799" s="6">
        <v>5.6703408509719608</v>
      </c>
      <c r="K4799" s="8"/>
    </row>
    <row r="4800" spans="1:11" ht="15" x14ac:dyDescent="0.25">
      <c r="A4800" s="3" t="str">
        <f>HYPERLINK("proteomic_fractions_linear_files/Yang_linear_img/226443026.jpg", "226443026")</f>
        <v>226443026</v>
      </c>
      <c r="C4800" s="3" t="str">
        <f>HYPERLINK("http://www.ncbi.nlm.nih.gov/protein/226443026","Nap1l1")</f>
        <v>Nap1l1</v>
      </c>
      <c r="E4800" t="str">
        <f>HYPERLINK("J:\Depot - mpkCCD Fractions\Main Web Page\Web Pages_old\proteomic_fractions_linear_files/Yang_linear_img/226443026.jpg","show blot")</f>
        <v>show blot</v>
      </c>
      <c r="G4800" t="s">
        <v>4595</v>
      </c>
      <c r="I4800" s="6">
        <v>5.7528972894746975</v>
      </c>
      <c r="K4800" s="8"/>
    </row>
    <row r="4801" spans="1:11" ht="15" x14ac:dyDescent="0.25">
      <c r="A4801" s="3" t="str">
        <f>HYPERLINK("proteomic_fractions_linear_files/Yang_linear_img/7657357.jpg", "7657357")</f>
        <v>7657357</v>
      </c>
      <c r="C4801" s="3" t="str">
        <f>HYPERLINK("http://www.ncbi.nlm.nih.gov/protein/7657357","Nap1l1")</f>
        <v>Nap1l1</v>
      </c>
      <c r="E4801" t="str">
        <f>HYPERLINK("J:\Depot - mpkCCD Fractions\Main Web Page\Web Pages_old\proteomic_fractions_linear_files/Yang_linear_img/7657357.jpg","show blot")</f>
        <v>show blot</v>
      </c>
      <c r="G4801" t="s">
        <v>4596</v>
      </c>
      <c r="I4801" s="6">
        <v>5.7528972894746975</v>
      </c>
      <c r="K4801" s="8"/>
    </row>
    <row r="4802" spans="1:11" ht="15" x14ac:dyDescent="0.25">
      <c r="A4802" s="3" t="str">
        <f>HYPERLINK("proteomic_fractions_linear_files/Yang_linear_img/6679012.jpg", "6679012")</f>
        <v>6679012</v>
      </c>
      <c r="C4802" s="3" t="str">
        <f>HYPERLINK("http://www.ncbi.nlm.nih.gov/protein/6679012","Nap1l4")</f>
        <v>Nap1l4</v>
      </c>
      <c r="E4802" t="str">
        <f>HYPERLINK("J:\Depot - mpkCCD Fractions\Main Web Page\Web Pages_old\proteomic_fractions_linear_files/Yang_linear_img/6679012.jpg","show blot")</f>
        <v>show blot</v>
      </c>
      <c r="G4802" t="s">
        <v>4597</v>
      </c>
      <c r="I4802" s="6">
        <v>5.8437045237232814</v>
      </c>
      <c r="K4802" s="8"/>
    </row>
    <row r="4803" spans="1:11" ht="15" x14ac:dyDescent="0.25">
      <c r="A4803" s="3" t="str">
        <f>HYPERLINK("proteomic_fractions_linear_files/Yang_linear_img/13385392.jpg", "13385392")</f>
        <v>13385392</v>
      </c>
      <c r="C4803" s="3" t="str">
        <f>HYPERLINK("http://www.ncbi.nlm.nih.gov/protein/13385392","Napa")</f>
        <v>Napa</v>
      </c>
      <c r="E4803" t="str">
        <f>HYPERLINK("J:\Depot - mpkCCD Fractions\Main Web Page\Web Pages_old\proteomic_fractions_linear_files/Yang_linear_img/13385392.jpg","show blot")</f>
        <v>show blot</v>
      </c>
      <c r="G4803" t="s">
        <v>4598</v>
      </c>
      <c r="I4803" s="6">
        <v>5.751711488976909</v>
      </c>
      <c r="K4803" s="8"/>
    </row>
    <row r="4804" spans="1:11" ht="15" x14ac:dyDescent="0.25">
      <c r="A4804" s="3" t="str">
        <f>HYPERLINK("proteomic_fractions_linear_files/Yang_linear_img/29789104.jpg", "29789104")</f>
        <v>29789104</v>
      </c>
      <c r="C4804" s="3" t="str">
        <f>HYPERLINK("http://www.ncbi.nlm.nih.gov/protein/29789104","Napb")</f>
        <v>Napb</v>
      </c>
      <c r="E4804" t="str">
        <f>HYPERLINK("J:\Depot - mpkCCD Fractions\Main Web Page\Web Pages_old\proteomic_fractions_linear_files/Yang_linear_img/29789104.jpg","show blot")</f>
        <v>show blot</v>
      </c>
      <c r="G4804" t="s">
        <v>4599</v>
      </c>
      <c r="I4804" s="6">
        <v>4.9489703748610872</v>
      </c>
      <c r="K4804" s="8"/>
    </row>
    <row r="4805" spans="1:11" ht="15" x14ac:dyDescent="0.25">
      <c r="A4805" s="3" t="str">
        <f>HYPERLINK("proteomic_fractions_linear_files/Yang_linear_img/110625902.jpg", "110625902")</f>
        <v>110625902</v>
      </c>
      <c r="C4805" s="3" t="str">
        <f>HYPERLINK("http://www.ncbi.nlm.nih.gov/protein/110625902","Napg")</f>
        <v>Napg</v>
      </c>
      <c r="E4805" t="str">
        <f>HYPERLINK("J:\Depot - mpkCCD Fractions\Main Web Page\Web Pages_old\proteomic_fractions_linear_files/Yang_linear_img/110625902.jpg","show blot")</f>
        <v>show blot</v>
      </c>
      <c r="G4805" t="s">
        <v>4600</v>
      </c>
      <c r="I4805" s="6">
        <v>4.272292655554371</v>
      </c>
      <c r="K4805" s="8"/>
    </row>
    <row r="4806" spans="1:11" ht="15" x14ac:dyDescent="0.25">
      <c r="A4806" s="3" t="str">
        <f>HYPERLINK("proteomic_fractions_linear_files/Yang_linear_img/6680552.jpg", "6680552")</f>
        <v>6680552</v>
      </c>
      <c r="C4806" s="3" t="str">
        <f>HYPERLINK("http://www.ncbi.nlm.nih.gov/protein/6680552","Napsa")</f>
        <v>Napsa</v>
      </c>
      <c r="E4806" t="str">
        <f>HYPERLINK("J:\Depot - mpkCCD Fractions\Main Web Page\Web Pages_old\proteomic_fractions_linear_files/Yang_linear_img/6680552.jpg","show blot")</f>
        <v>show blot</v>
      </c>
      <c r="G4806" t="s">
        <v>4601</v>
      </c>
      <c r="I4806" s="6">
        <v>4.708355454789281</v>
      </c>
      <c r="K4806" s="8"/>
    </row>
    <row r="4807" spans="1:11" ht="15" x14ac:dyDescent="0.25">
      <c r="A4807" s="3" t="str">
        <f>HYPERLINK("proteomic_fractions_linear_files/Yang_linear_img/163954939.jpg", "163954939")</f>
        <v>163954939</v>
      </c>
      <c r="C4807" s="3" t="str">
        <f>HYPERLINK("http://www.ncbi.nlm.nih.gov/protein/163954939","Narf")</f>
        <v>Narf</v>
      </c>
      <c r="E4807" t="str">
        <f>HYPERLINK("J:\Depot - mpkCCD Fractions\Main Web Page\Web Pages_old\proteomic_fractions_linear_files/Yang_linear_img/163954939.jpg","show blot")</f>
        <v>show blot</v>
      </c>
      <c r="G4807" t="s">
        <v>4602</v>
      </c>
      <c r="I4807" s="6">
        <v>3.8675424492440298</v>
      </c>
      <c r="K4807" s="8"/>
    </row>
    <row r="4808" spans="1:11" ht="15" x14ac:dyDescent="0.25">
      <c r="A4808" s="3" t="str">
        <f>HYPERLINK("proteomic_fractions_linear_files/Yang_linear_img/254911120.jpg", "254911120")</f>
        <v>254911120</v>
      </c>
      <c r="C4808" s="3" t="str">
        <f>HYPERLINK("http://www.ncbi.nlm.nih.gov/protein/254911120","Narfl")</f>
        <v>Narfl</v>
      </c>
      <c r="E4808" t="str">
        <f>HYPERLINK("J:\Depot - mpkCCD Fractions\Main Web Page\Web Pages_old\proteomic_fractions_linear_files/Yang_linear_img/254911120.jpg","show blot")</f>
        <v>show blot</v>
      </c>
      <c r="G4808" t="s">
        <v>4603</v>
      </c>
      <c r="I4808" s="6">
        <v>4.5057750530463974</v>
      </c>
      <c r="K4808" s="8"/>
    </row>
    <row r="4809" spans="1:11" ht="15" x14ac:dyDescent="0.25">
      <c r="A4809" s="3" t="str">
        <f>HYPERLINK("proteomic_fractions_linear_files/Yang_linear_img/219275596.jpg", "219275596")</f>
        <v>219275596</v>
      </c>
      <c r="C4809" s="3" t="str">
        <f>HYPERLINK("http://www.ncbi.nlm.nih.gov/protein/219275596","Nars")</f>
        <v>Nars</v>
      </c>
      <c r="E4809" t="str">
        <f>HYPERLINK("J:\Depot - mpkCCD Fractions\Main Web Page\Web Pages_old\proteomic_fractions_linear_files/Yang_linear_img/219275596.jpg","show blot")</f>
        <v>show blot</v>
      </c>
      <c r="G4809" t="s">
        <v>4604</v>
      </c>
      <c r="I4809" s="6">
        <v>5.6018276832273042</v>
      </c>
      <c r="K4809" s="8"/>
    </row>
    <row r="4810" spans="1:11" ht="15" x14ac:dyDescent="0.25">
      <c r="A4810" s="3" t="str">
        <f>HYPERLINK("proteomic_fractions_linear_files/Yang_linear_img/219276601.jpg", "219276601")</f>
        <v>219276601</v>
      </c>
      <c r="C4810" s="3" t="str">
        <f>HYPERLINK("http://www.ncbi.nlm.nih.gov/protein/219276601","Nars")</f>
        <v>Nars</v>
      </c>
      <c r="E4810" t="str">
        <f>HYPERLINK("J:\Depot - mpkCCD Fractions\Main Web Page\Web Pages_old\proteomic_fractions_linear_files/Yang_linear_img/219276601.jpg","show blot")</f>
        <v>show blot</v>
      </c>
      <c r="G4810" t="s">
        <v>4605</v>
      </c>
      <c r="I4810" s="6">
        <v>5.6018276832273042</v>
      </c>
      <c r="K4810" s="8"/>
    </row>
    <row r="4811" spans="1:11" ht="15" x14ac:dyDescent="0.25">
      <c r="A4811" s="3" t="str">
        <f>HYPERLINK("proteomic_fractions_linear_files/Yang_linear_img/125490378.jpg", "125490378")</f>
        <v>125490378</v>
      </c>
      <c r="C4811" s="3" t="str">
        <f>HYPERLINK("http://www.ncbi.nlm.nih.gov/protein/125490378","Nasp")</f>
        <v>Nasp</v>
      </c>
      <c r="E4811" t="str">
        <f>HYPERLINK("J:\Depot - mpkCCD Fractions\Main Web Page\Web Pages_old\proteomic_fractions_linear_files/Yang_linear_img/125490378.jpg","show blot")</f>
        <v>show blot</v>
      </c>
      <c r="G4811" t="s">
        <v>4606</v>
      </c>
      <c r="I4811" s="6">
        <v>5.9802199066685722</v>
      </c>
      <c r="K4811" s="8"/>
    </row>
    <row r="4812" spans="1:11" ht="15" x14ac:dyDescent="0.25">
      <c r="A4812" s="3" t="str">
        <f>HYPERLINK("proteomic_fractions_linear_files/Yang_linear_img/126090505.jpg", "126090505")</f>
        <v>126090505</v>
      </c>
      <c r="C4812" s="3" t="str">
        <f>HYPERLINK("http://www.ncbi.nlm.nih.gov/protein/126090505","Nasp")</f>
        <v>Nasp</v>
      </c>
      <c r="E4812" t="str">
        <f>HYPERLINK("J:\Depot - mpkCCD Fractions\Main Web Page\Web Pages_old\proteomic_fractions_linear_files/Yang_linear_img/126090505.jpg","show blot")</f>
        <v>show blot</v>
      </c>
      <c r="G4812" t="s">
        <v>4607</v>
      </c>
      <c r="I4812" s="6">
        <v>5.9802199066685722</v>
      </c>
      <c r="K4812" s="8"/>
    </row>
    <row r="4813" spans="1:11" ht="15" x14ac:dyDescent="0.25">
      <c r="A4813" s="3" t="str">
        <f>HYPERLINK("proteomic_fractions_linear_files/Yang_linear_img/23346561.jpg", "23346561")</f>
        <v>23346561</v>
      </c>
      <c r="C4813" s="3" t="str">
        <f>HYPERLINK("http://www.ncbi.nlm.nih.gov/protein/23346561","Nat10")</f>
        <v>Nat10</v>
      </c>
      <c r="E4813" t="str">
        <f>HYPERLINK("J:\Depot - mpkCCD Fractions\Main Web Page\Web Pages_old\proteomic_fractions_linear_files/Yang_linear_img/23346561.jpg","show blot")</f>
        <v>show blot</v>
      </c>
      <c r="G4813" t="s">
        <v>4608</v>
      </c>
      <c r="I4813" s="6">
        <v>3.6309203622789488</v>
      </c>
      <c r="K4813" s="8"/>
    </row>
    <row r="4814" spans="1:11" ht="15" x14ac:dyDescent="0.25">
      <c r="A4814" s="3" t="str">
        <f>HYPERLINK("proteomic_fractions_linear_files/Yang_linear_img/6754794.jpg", "6754794")</f>
        <v>6754794</v>
      </c>
      <c r="C4814" s="3" t="str">
        <f>HYPERLINK("http://www.ncbi.nlm.nih.gov/protein/6754794","Nat2")</f>
        <v>Nat2</v>
      </c>
      <c r="E4814" t="str">
        <f>HYPERLINK("J:\Depot - mpkCCD Fractions\Main Web Page\Web Pages_old\proteomic_fractions_linear_files/Yang_linear_img/6754794.jpg","show blot")</f>
        <v>show blot</v>
      </c>
      <c r="G4814" t="s">
        <v>4609</v>
      </c>
      <c r="I4814" s="6">
        <v>3.3797193516209694</v>
      </c>
      <c r="K4814" s="8"/>
    </row>
    <row r="4815" spans="1:11" ht="15" x14ac:dyDescent="0.25">
      <c r="A4815" s="3" t="str">
        <f>HYPERLINK("proteomic_fractions_linear_files/Yang_linear_img/13384782.jpg", "13384782")</f>
        <v>13384782</v>
      </c>
      <c r="C4815" s="3" t="str">
        <f>HYPERLINK("http://www.ncbi.nlm.nih.gov/protein/13384782","Nat9")</f>
        <v>Nat9</v>
      </c>
      <c r="E4815" t="str">
        <f>HYPERLINK("J:\Depot - mpkCCD Fractions\Main Web Page\Web Pages_old\proteomic_fractions_linear_files/Yang_linear_img/13384782.jpg","show blot")</f>
        <v>show blot</v>
      </c>
      <c r="G4815" t="s">
        <v>4610</v>
      </c>
      <c r="I4815" s="6">
        <v>3.695179062707592</v>
      </c>
      <c r="K4815" s="8"/>
    </row>
    <row r="4816" spans="1:11" ht="15" x14ac:dyDescent="0.25">
      <c r="A4816" s="3" t="str">
        <f>HYPERLINK("proteomic_fractions_linear_files/Yang_linear_img/167466222.jpg", "167466222")</f>
        <v>167466222</v>
      </c>
      <c r="C4816" s="3" t="str">
        <f>HYPERLINK("http://www.ncbi.nlm.nih.gov/protein/167466222","Nav2")</f>
        <v>Nav2</v>
      </c>
      <c r="E4816" t="str">
        <f>HYPERLINK("J:\Depot - mpkCCD Fractions\Main Web Page\Web Pages_old\proteomic_fractions_linear_files/Yang_linear_img/167466222.jpg","show blot")</f>
        <v>show blot</v>
      </c>
      <c r="G4816" t="s">
        <v>4611</v>
      </c>
      <c r="I4816" s="6">
        <v>4.1629923211518776</v>
      </c>
      <c r="K4816" s="8"/>
    </row>
    <row r="4817" spans="1:11" ht="15" x14ac:dyDescent="0.25">
      <c r="A4817" s="3" t="str">
        <f>HYPERLINK("proteomic_fractions_linear_files/Yang_linear_img/167466226.jpg", "167466226")</f>
        <v>167466226</v>
      </c>
      <c r="C4817" s="3" t="str">
        <f>HYPERLINK("http://www.ncbi.nlm.nih.gov/protein/167466226","Nav2")</f>
        <v>Nav2</v>
      </c>
      <c r="E4817" t="str">
        <f>HYPERLINK("J:\Depot - mpkCCD Fractions\Main Web Page\Web Pages_old\proteomic_fractions_linear_files/Yang_linear_img/167466226.jpg","show blot")</f>
        <v>show blot</v>
      </c>
      <c r="G4817" t="s">
        <v>4612</v>
      </c>
      <c r="I4817" s="6">
        <v>4.1629923211518776</v>
      </c>
      <c r="K4817" s="8"/>
    </row>
    <row r="4818" spans="1:11" ht="15" x14ac:dyDescent="0.25">
      <c r="A4818" s="3" t="str">
        <f>HYPERLINK("proteomic_fractions_linear_files/Yang_linear_img/255003837.jpg", "255003837")</f>
        <v>255003837</v>
      </c>
      <c r="C4818" s="3" t="str">
        <f>HYPERLINK("http://www.ncbi.nlm.nih.gov/protein/255003837","Nbas")</f>
        <v>Nbas</v>
      </c>
      <c r="E4818" t="str">
        <f>HYPERLINK("J:\Depot - mpkCCD Fractions\Main Web Page\Web Pages_old\proteomic_fractions_linear_files/Yang_linear_img/255003837.jpg","show blot")</f>
        <v>show blot</v>
      </c>
      <c r="G4818" t="s">
        <v>4613</v>
      </c>
      <c r="I4818" s="6">
        <v>2.7406233220862299</v>
      </c>
      <c r="K4818" s="8"/>
    </row>
    <row r="4819" spans="1:11" ht="15" x14ac:dyDescent="0.25">
      <c r="A4819" s="3" t="str">
        <f>HYPERLINK("proteomic_fractions_linear_files/Yang_linear_img/158854037.jpg", "158854037")</f>
        <v>158854037</v>
      </c>
      <c r="C4819" s="3" t="str">
        <f>HYPERLINK("http://www.ncbi.nlm.nih.gov/protein/158854037","Nbea")</f>
        <v>Nbea</v>
      </c>
      <c r="E4819" t="str">
        <f>HYPERLINK("J:\Depot - mpkCCD Fractions\Main Web Page\Web Pages_old\proteomic_fractions_linear_files/Yang_linear_img/158854037.jpg","show blot")</f>
        <v>show blot</v>
      </c>
      <c r="G4819" t="s">
        <v>4614</v>
      </c>
      <c r="I4819" s="6">
        <v>5.1048626316560393</v>
      </c>
      <c r="K4819" s="8"/>
    </row>
    <row r="4820" spans="1:11" ht="15" x14ac:dyDescent="0.25">
      <c r="A4820" s="3" t="str">
        <f>HYPERLINK("proteomic_fractions_linear_files/Yang_linear_img/153791557.jpg", "153791557")</f>
        <v>153791557</v>
      </c>
      <c r="C4820" s="3" t="str">
        <f>HYPERLINK("http://www.ncbi.nlm.nih.gov/protein/153791557","Nbeal1")</f>
        <v>Nbeal1</v>
      </c>
      <c r="E4820" t="str">
        <f>HYPERLINK("J:\Depot - mpkCCD Fractions\Main Web Page\Web Pages_old\proteomic_fractions_linear_files/Yang_linear_img/153791557.jpg","show blot")</f>
        <v>show blot</v>
      </c>
      <c r="G4820" t="s">
        <v>4615</v>
      </c>
      <c r="I4820" s="6">
        <v>4.0791744073949827</v>
      </c>
      <c r="K4820" s="8"/>
    </row>
    <row r="4821" spans="1:11" ht="15" x14ac:dyDescent="0.25">
      <c r="A4821" s="3" t="str">
        <f>HYPERLINK("proteomic_fractions_linear_files/Yang_linear_img/254911027.jpg", "254911027")</f>
        <v>254911027</v>
      </c>
      <c r="C4821" s="3" t="str">
        <f>HYPERLINK("http://www.ncbi.nlm.nih.gov/protein/254911027","Nbeal2")</f>
        <v>Nbeal2</v>
      </c>
      <c r="E4821" t="str">
        <f>HYPERLINK("J:\Depot - mpkCCD Fractions\Main Web Page\Web Pages_old\proteomic_fractions_linear_files/Yang_linear_img/254911027.jpg","show blot")</f>
        <v>show blot</v>
      </c>
      <c r="G4821" t="s">
        <v>4616</v>
      </c>
      <c r="I4821" s="6">
        <v>4.4639839209600538</v>
      </c>
      <c r="K4821" s="8"/>
    </row>
    <row r="4822" spans="1:11" ht="15" x14ac:dyDescent="0.25">
      <c r="A4822" s="3" t="str">
        <f>HYPERLINK("proteomic_fractions_linear_files/Yang_linear_img/31324569.jpg", "31324569")</f>
        <v>31324569</v>
      </c>
      <c r="C4822" s="3" t="str">
        <f>HYPERLINK("http://www.ncbi.nlm.nih.gov/protein/31324569","Ncald")</f>
        <v>Ncald</v>
      </c>
      <c r="E4822" t="str">
        <f>HYPERLINK("J:\Depot - mpkCCD Fractions\Main Web Page\Web Pages_old\proteomic_fractions_linear_files/Yang_linear_img/31324569.jpg","show blot")</f>
        <v>show blot</v>
      </c>
      <c r="G4822" t="s">
        <v>4617</v>
      </c>
      <c r="I4822" s="6">
        <v>4.2166604992694205</v>
      </c>
      <c r="K4822" s="8"/>
    </row>
    <row r="4823" spans="1:11" ht="15" x14ac:dyDescent="0.25">
      <c r="A4823" s="3" t="str">
        <f>HYPERLINK("proteomic_fractions_linear_files/Yang_linear_img/22165392.jpg", "22165392")</f>
        <v>22165392</v>
      </c>
      <c r="C4823" s="3" t="str">
        <f>HYPERLINK("http://www.ncbi.nlm.nih.gov/protein/22165392","Ncapd2")</f>
        <v>Ncapd2</v>
      </c>
      <c r="E4823" t="str">
        <f>HYPERLINK("J:\Depot - mpkCCD Fractions\Main Web Page\Web Pages_old\proteomic_fractions_linear_files/Yang_linear_img/22165392.jpg","show blot")</f>
        <v>show blot</v>
      </c>
      <c r="G4823" t="s">
        <v>4618</v>
      </c>
      <c r="I4823" s="6">
        <v>4.559848435079874</v>
      </c>
      <c r="K4823" s="8"/>
    </row>
    <row r="4824" spans="1:11" ht="15" x14ac:dyDescent="0.25">
      <c r="A4824" s="3" t="str">
        <f>HYPERLINK("proteomic_fractions_linear_files/Yang_linear_img/161016797.jpg", "161016797")</f>
        <v>161016797</v>
      </c>
      <c r="C4824" s="3" t="str">
        <f>HYPERLINK("http://www.ncbi.nlm.nih.gov/protein/161016797","Ncapd3")</f>
        <v>Ncapd3</v>
      </c>
      <c r="E4824" t="str">
        <f>HYPERLINK("J:\Depot - mpkCCD Fractions\Main Web Page\Web Pages_old\proteomic_fractions_linear_files/Yang_linear_img/161016797.jpg","show blot")</f>
        <v>show blot</v>
      </c>
      <c r="G4824" t="s">
        <v>4619</v>
      </c>
      <c r="I4824" s="6">
        <v>4.1879417049979279</v>
      </c>
      <c r="K4824" s="8"/>
    </row>
    <row r="4825" spans="1:11" ht="15" x14ac:dyDescent="0.25">
      <c r="A4825" s="3" t="str">
        <f>HYPERLINK("proteomic_fractions_linear_files/Yang_linear_img/169234780.jpg", "169234780")</f>
        <v>169234780</v>
      </c>
      <c r="C4825" s="3" t="str">
        <f>HYPERLINK("http://www.ncbi.nlm.nih.gov/protein/169234780","Ncapg")</f>
        <v>Ncapg</v>
      </c>
      <c r="E4825" t="str">
        <f>HYPERLINK("J:\Depot - mpkCCD Fractions\Main Web Page\Web Pages_old\proteomic_fractions_linear_files/Yang_linear_img/169234780.jpg","show blot")</f>
        <v>show blot</v>
      </c>
      <c r="G4825" t="s">
        <v>4620</v>
      </c>
      <c r="I4825" s="6">
        <v>4.8666978501315032</v>
      </c>
      <c r="K4825" s="8"/>
    </row>
    <row r="4826" spans="1:11" ht="15" x14ac:dyDescent="0.25">
      <c r="A4826" s="3" t="str">
        <f>HYPERLINK("proteomic_fractions_linear_files/Yang_linear_img/91208439.jpg", "91208439")</f>
        <v>91208439</v>
      </c>
      <c r="C4826" s="3" t="str">
        <f>HYPERLINK("http://www.ncbi.nlm.nih.gov/protein/91208439","Ncapg2")</f>
        <v>Ncapg2</v>
      </c>
      <c r="E4826" t="str">
        <f>HYPERLINK("J:\Depot - mpkCCD Fractions\Main Web Page\Web Pages_old\proteomic_fractions_linear_files/Yang_linear_img/91208439.jpg","show blot")</f>
        <v>show blot</v>
      </c>
      <c r="G4826" t="s">
        <v>4621</v>
      </c>
      <c r="I4826" s="6">
        <v>4.3546509771113664</v>
      </c>
      <c r="K4826" s="8"/>
    </row>
    <row r="4827" spans="1:11" ht="15" x14ac:dyDescent="0.25">
      <c r="A4827" s="3" t="str">
        <f>HYPERLINK("proteomic_fractions_linear_files/Yang_linear_img/295389521.jpg", "295389521")</f>
        <v>295389521</v>
      </c>
      <c r="C4827" s="3" t="str">
        <f>HYPERLINK("http://www.ncbi.nlm.nih.gov/protein/295389521","Ncaph")</f>
        <v>Ncaph</v>
      </c>
      <c r="E4827" t="str">
        <f>HYPERLINK("J:\Depot - mpkCCD Fractions\Main Web Page\Web Pages_old\proteomic_fractions_linear_files/Yang_linear_img/295389521.jpg","show blot")</f>
        <v>show blot</v>
      </c>
      <c r="G4827" t="s">
        <v>4622</v>
      </c>
      <c r="I4827" s="6">
        <v>3.7943760295780011</v>
      </c>
      <c r="K4827" s="8"/>
    </row>
    <row r="4828" spans="1:11" ht="15" x14ac:dyDescent="0.25">
      <c r="A4828" s="3" t="str">
        <f>HYPERLINK("proteomic_fractions_linear_files/Yang_linear_img/169646203.jpg", "169646203")</f>
        <v>169646203</v>
      </c>
      <c r="C4828" s="3" t="str">
        <f>HYPERLINK("http://www.ncbi.nlm.nih.gov/protein/169646203","Ncaph2")</f>
        <v>Ncaph2</v>
      </c>
      <c r="E4828" t="str">
        <f>HYPERLINK("J:\Depot - mpkCCD Fractions\Main Web Page\Web Pages_old\proteomic_fractions_linear_files/Yang_linear_img/169646203.jpg","show blot")</f>
        <v>show blot</v>
      </c>
      <c r="G4828" t="s">
        <v>4623</v>
      </c>
      <c r="I4828" s="6">
        <v>4.5863560896750259</v>
      </c>
      <c r="K4828" s="8"/>
    </row>
    <row r="4829" spans="1:11" ht="15" x14ac:dyDescent="0.25">
      <c r="A4829" s="3" t="str">
        <f>HYPERLINK("proteomic_fractions_linear_files/Yang_linear_img/409971409.jpg", "409971409")</f>
        <v>409971409</v>
      </c>
      <c r="C4829" s="3" t="str">
        <f>HYPERLINK("http://www.ncbi.nlm.nih.gov/protein/409971409","Ncaph2")</f>
        <v>Ncaph2</v>
      </c>
      <c r="E4829" t="str">
        <f>HYPERLINK("J:\Depot - mpkCCD Fractions\Main Web Page\Web Pages_old\proteomic_fractions_linear_files/Yang_linear_img/409971409.jpg","show blot")</f>
        <v>show blot</v>
      </c>
      <c r="G4829" t="s">
        <v>4624</v>
      </c>
      <c r="I4829" s="6">
        <v>4.5863560896750259</v>
      </c>
      <c r="K4829" s="8"/>
    </row>
    <row r="4830" spans="1:11" ht="15" x14ac:dyDescent="0.25">
      <c r="A4830" s="3" t="str">
        <f>HYPERLINK("proteomic_fractions_linear_files/Yang_linear_img/409971411.jpg", "409971411")</f>
        <v>409971411</v>
      </c>
      <c r="C4830" s="3" t="str">
        <f>HYPERLINK("http://www.ncbi.nlm.nih.gov/protein/409971411","Ncaph2")</f>
        <v>Ncaph2</v>
      </c>
      <c r="E4830" t="str">
        <f>HYPERLINK("J:\Depot - mpkCCD Fractions\Main Web Page\Web Pages_old\proteomic_fractions_linear_files/Yang_linear_img/409971411.jpg","show blot")</f>
        <v>show blot</v>
      </c>
      <c r="G4830" t="s">
        <v>4625</v>
      </c>
      <c r="I4830" s="6">
        <v>4.5863560896750259</v>
      </c>
      <c r="K4830" s="8"/>
    </row>
    <row r="4831" spans="1:11" ht="15" x14ac:dyDescent="0.25">
      <c r="A4831" s="3" t="str">
        <f>HYPERLINK("proteomic_fractions_linear_files/Yang_linear_img/144922627.jpg", "144922627")</f>
        <v>144922627</v>
      </c>
      <c r="C4831" s="3" t="str">
        <f>HYPERLINK("http://www.ncbi.nlm.nih.gov/protein/144922627","Ncbp1")</f>
        <v>Ncbp1</v>
      </c>
      <c r="E4831" t="str">
        <f>HYPERLINK("J:\Depot - mpkCCD Fractions\Main Web Page\Web Pages_old\proteomic_fractions_linear_files/Yang_linear_img/144922627.jpg","show blot")</f>
        <v>show blot</v>
      </c>
      <c r="G4831" t="s">
        <v>4626</v>
      </c>
      <c r="I4831" s="6">
        <v>4.8492717617471239</v>
      </c>
      <c r="K4831" s="8"/>
    </row>
    <row r="4832" spans="1:11" ht="15" x14ac:dyDescent="0.25">
      <c r="A4832" s="3" t="str">
        <f>HYPERLINK("proteomic_fractions_linear_files/Yang_linear_img/13386056.jpg", "13386056")</f>
        <v>13386056</v>
      </c>
      <c r="C4832" s="3" t="str">
        <f>HYPERLINK("http://www.ncbi.nlm.nih.gov/protein/13386056","Ncbp2")</f>
        <v>Ncbp2</v>
      </c>
      <c r="E4832" t="str">
        <f>HYPERLINK("J:\Depot - mpkCCD Fractions\Main Web Page\Web Pages_old\proteomic_fractions_linear_files/Yang_linear_img/13386056.jpg","show blot")</f>
        <v>show blot</v>
      </c>
      <c r="G4832" t="s">
        <v>4627</v>
      </c>
      <c r="I4832" s="6">
        <v>4.8586085436125552</v>
      </c>
      <c r="K4832" s="8"/>
    </row>
    <row r="4833" spans="1:11" ht="15" x14ac:dyDescent="0.25">
      <c r="A4833" s="3" t="str">
        <f>HYPERLINK("proteomic_fractions_linear_files/Yang_linear_img/172072590.jpg", "172072590")</f>
        <v>172072590</v>
      </c>
      <c r="C4833" s="3" t="str">
        <f>HYPERLINK("http://www.ncbi.nlm.nih.gov/protein/172072590","Ncdn")</f>
        <v>Ncdn</v>
      </c>
      <c r="E4833" t="str">
        <f>HYPERLINK("J:\Depot - mpkCCD Fractions\Main Web Page\Web Pages_old\proteomic_fractions_linear_files/Yang_linear_img/172072590.jpg","show blot")</f>
        <v>show blot</v>
      </c>
      <c r="G4833" t="s">
        <v>4628</v>
      </c>
      <c r="I4833" s="6">
        <v>2.3354783003033326</v>
      </c>
      <c r="K4833" s="8"/>
    </row>
    <row r="4834" spans="1:11" ht="15" x14ac:dyDescent="0.25">
      <c r="A4834" s="3" t="str">
        <f>HYPERLINK("proteomic_fractions_linear_files/Yang_linear_img/30520239.jpg", "30520239")</f>
        <v>30520239</v>
      </c>
      <c r="C4834" s="3" t="str">
        <f>HYPERLINK("http://www.ncbi.nlm.nih.gov/protein/30520239","Nceh1")</f>
        <v>Nceh1</v>
      </c>
      <c r="E4834" t="str">
        <f>HYPERLINK("J:\Depot - mpkCCD Fractions\Main Web Page\Web Pages_old\proteomic_fractions_linear_files/Yang_linear_img/30520239.jpg","show blot")</f>
        <v>show blot</v>
      </c>
      <c r="G4834" t="s">
        <v>4629</v>
      </c>
      <c r="I4834" s="6">
        <v>5.7566366263468582</v>
      </c>
      <c r="K4834" s="8"/>
    </row>
    <row r="4835" spans="1:11" ht="15" x14ac:dyDescent="0.25">
      <c r="A4835" s="3" t="str">
        <f>HYPERLINK("proteomic_fractions_linear_files/Yang_linear_img/34328187.jpg", "34328187")</f>
        <v>34328187</v>
      </c>
      <c r="C4835" s="3" t="str">
        <f>HYPERLINK("http://www.ncbi.nlm.nih.gov/protein/34328187","Nck1")</f>
        <v>Nck1</v>
      </c>
      <c r="E4835" t="str">
        <f>HYPERLINK("J:\Depot - mpkCCD Fractions\Main Web Page\Web Pages_old\proteomic_fractions_linear_files/Yang_linear_img/34328187.jpg","show blot")</f>
        <v>show blot</v>
      </c>
      <c r="G4835" t="s">
        <v>4630</v>
      </c>
      <c r="I4835" s="6">
        <v>4.0137664304080776</v>
      </c>
      <c r="K4835" s="8"/>
    </row>
    <row r="4836" spans="1:11" ht="15" x14ac:dyDescent="0.25">
      <c r="A4836" s="3" t="str">
        <f>HYPERLINK("proteomic_fractions_linear_files/Yang_linear_img/190610036.jpg", "190610036")</f>
        <v>190610036</v>
      </c>
      <c r="C4836" s="3" t="str">
        <f>HYPERLINK("http://www.ncbi.nlm.nih.gov/protein/190610036","Nck2")</f>
        <v>Nck2</v>
      </c>
      <c r="E4836" t="str">
        <f>HYPERLINK("J:\Depot - mpkCCD Fractions\Main Web Page\Web Pages_old\proteomic_fractions_linear_files/Yang_linear_img/190610036.jpg","show blot")</f>
        <v>show blot</v>
      </c>
      <c r="G4836" t="s">
        <v>4631</v>
      </c>
      <c r="I4836" s="6">
        <v>3.7585207478205485</v>
      </c>
      <c r="K4836" s="8"/>
    </row>
    <row r="4837" spans="1:11" ht="15" x14ac:dyDescent="0.25">
      <c r="A4837" s="3" t="str">
        <f>HYPERLINK("proteomic_fractions_linear_files/Yang_linear_img/28395023.jpg", "28395023")</f>
        <v>28395023</v>
      </c>
      <c r="C4837" s="3" t="str">
        <f>HYPERLINK("http://www.ncbi.nlm.nih.gov/protein/28395023","Nckap1")</f>
        <v>Nckap1</v>
      </c>
      <c r="E4837" t="str">
        <f>HYPERLINK("J:\Depot - mpkCCD Fractions\Main Web Page\Web Pages_old\proteomic_fractions_linear_files/Yang_linear_img/28395023.jpg","show blot")</f>
        <v>show blot</v>
      </c>
      <c r="G4837" t="s">
        <v>4632</v>
      </c>
      <c r="I4837" s="6">
        <v>4.7777612863146857</v>
      </c>
      <c r="K4837" s="8"/>
    </row>
    <row r="4838" spans="1:11" ht="15" x14ac:dyDescent="0.25">
      <c r="A4838" s="3" t="str">
        <f>HYPERLINK("proteomic_fractions_linear_files/Yang_linear_img/23943795.jpg", "23943795")</f>
        <v>23943795</v>
      </c>
      <c r="C4838" s="3" t="str">
        <f>HYPERLINK("http://www.ncbi.nlm.nih.gov/protein/23943795","Nckap1l")</f>
        <v>Nckap1l</v>
      </c>
      <c r="E4838" t="str">
        <f>HYPERLINK("J:\Depot - mpkCCD Fractions\Main Web Page\Web Pages_old\proteomic_fractions_linear_files/Yang_linear_img/23943795.jpg","show blot")</f>
        <v>show blot</v>
      </c>
      <c r="G4838" t="s">
        <v>4633</v>
      </c>
      <c r="I4838" s="6">
        <v>2.8758326569904256</v>
      </c>
      <c r="K4838" s="8"/>
    </row>
    <row r="4839" spans="1:11" ht="15" x14ac:dyDescent="0.25">
      <c r="A4839" s="3" t="str">
        <f>HYPERLINK("proteomic_fractions_linear_files/Yang_linear_img/49258190.jpg", "49258190")</f>
        <v>49258190</v>
      </c>
      <c r="C4839" s="3" t="str">
        <f>HYPERLINK("http://www.ncbi.nlm.nih.gov/protein/49258190","Nckipsd")</f>
        <v>Nckipsd</v>
      </c>
      <c r="E4839" t="str">
        <f>HYPERLINK("J:\Depot - mpkCCD Fractions\Main Web Page\Web Pages_old\proteomic_fractions_linear_files/Yang_linear_img/49258190.jpg","show blot")</f>
        <v>show blot</v>
      </c>
      <c r="G4839" t="s">
        <v>4634</v>
      </c>
      <c r="I4839" s="6">
        <v>2.3858124423569449</v>
      </c>
      <c r="K4839" s="8"/>
    </row>
    <row r="4840" spans="1:11" ht="15" x14ac:dyDescent="0.25">
      <c r="A4840" s="3" t="str">
        <f>HYPERLINK("proteomic_fractions_linear_files/Yang_linear_img/84875537.jpg", "84875537")</f>
        <v>84875537</v>
      </c>
      <c r="C4840" s="3" t="str">
        <f>HYPERLINK("http://www.ncbi.nlm.nih.gov/protein/84875537","Ncl")</f>
        <v>Ncl</v>
      </c>
      <c r="E4840" t="str">
        <f>HYPERLINK("J:\Depot - mpkCCD Fractions\Main Web Page\Web Pages_old\proteomic_fractions_linear_files/Yang_linear_img/84875537.jpg","show blot")</f>
        <v>show blot</v>
      </c>
      <c r="G4840" t="s">
        <v>4635</v>
      </c>
      <c r="I4840" s="6">
        <v>6.6223264498365344</v>
      </c>
      <c r="K4840" s="8"/>
    </row>
    <row r="4841" spans="1:11" ht="15" x14ac:dyDescent="0.25">
      <c r="A4841" s="3" t="str">
        <f>HYPERLINK("proteomic_fractions_linear_files/Yang_linear_img/33469043.jpg", "33469043")</f>
        <v>33469043</v>
      </c>
      <c r="C4841" s="3" t="str">
        <f>HYPERLINK("http://www.ncbi.nlm.nih.gov/protein/33469043","Ncln")</f>
        <v>Ncln</v>
      </c>
      <c r="E4841" t="str">
        <f>HYPERLINK("J:\Depot - mpkCCD Fractions\Main Web Page\Web Pages_old\proteomic_fractions_linear_files/Yang_linear_img/33469043.jpg","show blot")</f>
        <v>show blot</v>
      </c>
      <c r="G4841" t="s">
        <v>4636</v>
      </c>
      <c r="I4841" s="6">
        <v>4.3515486113538238</v>
      </c>
      <c r="K4841" s="8"/>
    </row>
    <row r="4842" spans="1:11" ht="15" x14ac:dyDescent="0.25">
      <c r="A4842" s="3" t="str">
        <f>HYPERLINK("proteomic_fractions_linear_files/Yang_linear_img/118026940.jpg", "118026940")</f>
        <v>118026940</v>
      </c>
      <c r="C4842" s="3" t="str">
        <f>HYPERLINK("http://www.ncbi.nlm.nih.gov/protein/118026940","Ncoa2")</f>
        <v>Ncoa2</v>
      </c>
      <c r="E4842" t="str">
        <f>HYPERLINK("J:\Depot - mpkCCD Fractions\Main Web Page\Web Pages_old\proteomic_fractions_linear_files/Yang_linear_img/118026940.jpg","show blot")</f>
        <v>show blot</v>
      </c>
      <c r="G4842" t="s">
        <v>4637</v>
      </c>
      <c r="I4842" s="6">
        <v>2.9002143133142981</v>
      </c>
      <c r="K4842" s="8"/>
    </row>
    <row r="4843" spans="1:11" ht="15" x14ac:dyDescent="0.25">
      <c r="A4843" s="3" t="str">
        <f>HYPERLINK("proteomic_fractions_linear_files/Yang_linear_img/118026944.jpg", "118026944")</f>
        <v>118026944</v>
      </c>
      <c r="C4843" s="3" t="str">
        <f>HYPERLINK("http://www.ncbi.nlm.nih.gov/protein/118026944","Ncoa2")</f>
        <v>Ncoa2</v>
      </c>
      <c r="E4843" t="str">
        <f>HYPERLINK("J:\Depot - mpkCCD Fractions\Main Web Page\Web Pages_old\proteomic_fractions_linear_files/Yang_linear_img/118026944.jpg","show blot")</f>
        <v>show blot</v>
      </c>
      <c r="G4843" t="s">
        <v>4638</v>
      </c>
      <c r="I4843" s="6">
        <v>2.9002143133142981</v>
      </c>
      <c r="K4843" s="8"/>
    </row>
    <row r="4844" spans="1:11" ht="15" x14ac:dyDescent="0.25">
      <c r="A4844" s="3" t="str">
        <f>HYPERLINK("proteomic_fractions_linear_files/Yang_linear_img/118026946.jpg", "118026946")</f>
        <v>118026946</v>
      </c>
      <c r="C4844" s="3" t="str">
        <f>HYPERLINK("http://www.ncbi.nlm.nih.gov/protein/118026946","Ncoa3")</f>
        <v>Ncoa3</v>
      </c>
      <c r="E4844" t="str">
        <f>HYPERLINK("J:\Depot - mpkCCD Fractions\Main Web Page\Web Pages_old\proteomic_fractions_linear_files/Yang_linear_img/118026946.jpg","show blot")</f>
        <v>show blot</v>
      </c>
      <c r="G4844" t="s">
        <v>4639</v>
      </c>
      <c r="I4844" s="6">
        <v>2.541364198363063</v>
      </c>
      <c r="K4844" s="8"/>
    </row>
    <row r="4845" spans="1:11" ht="15" x14ac:dyDescent="0.25">
      <c r="A4845" s="3" t="str">
        <f>HYPERLINK("proteomic_fractions_linear_files/Yang_linear_img/21450271.jpg", "21450271")</f>
        <v>21450271</v>
      </c>
      <c r="C4845" s="3" t="str">
        <f>HYPERLINK("http://www.ncbi.nlm.nih.gov/protein/21450271","Ncoa5")</f>
        <v>Ncoa5</v>
      </c>
      <c r="E4845" t="str">
        <f>HYPERLINK("J:\Depot - mpkCCD Fractions\Main Web Page\Web Pages_old\proteomic_fractions_linear_files/Yang_linear_img/21450271.jpg","show blot")</f>
        <v>show blot</v>
      </c>
      <c r="G4845" t="s">
        <v>4640</v>
      </c>
      <c r="I4845" s="6">
        <v>3.5714028957875201</v>
      </c>
      <c r="K4845" s="8"/>
    </row>
    <row r="4846" spans="1:11" ht="15" x14ac:dyDescent="0.25">
      <c r="A4846" s="3" t="str">
        <f>HYPERLINK("proteomic_fractions_linear_files/Yang_linear_img/224809376.jpg", "224809376")</f>
        <v>224809376</v>
      </c>
      <c r="C4846" s="3" t="str">
        <f>HYPERLINK("http://www.ncbi.nlm.nih.gov/protein/224809376","Ncstn")</f>
        <v>Ncstn</v>
      </c>
      <c r="E4846" t="str">
        <f>HYPERLINK("J:\Depot - mpkCCD Fractions\Main Web Page\Web Pages_old\proteomic_fractions_linear_files/Yang_linear_img/224809376.jpg","show blot")</f>
        <v>show blot</v>
      </c>
      <c r="G4846" t="s">
        <v>4641</v>
      </c>
      <c r="I4846" s="6">
        <v>4.895836567943288</v>
      </c>
      <c r="K4846" s="8"/>
    </row>
    <row r="4847" spans="1:11" ht="15" x14ac:dyDescent="0.25">
      <c r="A4847" s="3" t="str">
        <f>HYPERLINK("proteomic_fractions_linear_files/Yang_linear_img/226453475.jpg", "226453475")</f>
        <v>226453475</v>
      </c>
      <c r="C4847" s="3" t="str">
        <f>HYPERLINK("http://www.ncbi.nlm.nih.gov/protein/226453475","ND1")</f>
        <v>ND1</v>
      </c>
      <c r="E4847" t="str">
        <f>HYPERLINK("J:\Depot - mpkCCD Fractions\Main Web Page\Web Pages_old\proteomic_fractions_linear_files/Yang_linear_img/226453475.jpg","show blot")</f>
        <v>show blot</v>
      </c>
      <c r="G4847" t="s">
        <v>4642</v>
      </c>
      <c r="I4847" s="6">
        <v>4.3944488119214267</v>
      </c>
      <c r="K4847" s="8"/>
    </row>
    <row r="4848" spans="1:11" ht="15" x14ac:dyDescent="0.25">
      <c r="A4848" s="3" t="str">
        <f>HYPERLINK("proteomic_fractions_linear_files/Yang_linear_img/167716837.jpg", "167716837")</f>
        <v>167716837</v>
      </c>
      <c r="C4848" s="3" t="str">
        <f>HYPERLINK("http://www.ncbi.nlm.nih.gov/protein/167716837","ND1")</f>
        <v>ND1</v>
      </c>
      <c r="E4848" t="str">
        <f>HYPERLINK("J:\Depot - mpkCCD Fractions\Main Web Page\Web Pages_old\proteomic_fractions_linear_files/Yang_linear_img/167716837.jpg","show blot")</f>
        <v>show blot</v>
      </c>
      <c r="G4848" t="s">
        <v>4643</v>
      </c>
      <c r="I4848" s="6">
        <v>4.3944488119214267</v>
      </c>
      <c r="K4848" s="8"/>
    </row>
    <row r="4849" spans="1:11" ht="15" x14ac:dyDescent="0.25">
      <c r="A4849" s="3" t="str">
        <f>HYPERLINK("proteomic_fractions_linear_files/Yang_linear_img/34538598.jpg", "34538598")</f>
        <v>34538598</v>
      </c>
      <c r="C4849" s="3" t="str">
        <f>HYPERLINK("http://www.ncbi.nlm.nih.gov/protein/34538598","ND1")</f>
        <v>ND1</v>
      </c>
      <c r="E4849" t="str">
        <f>HYPERLINK("J:\Depot - mpkCCD Fractions\Main Web Page\Web Pages_old\proteomic_fractions_linear_files/Yang_linear_img/34538598.jpg","show blot")</f>
        <v>show blot</v>
      </c>
      <c r="G4849" t="s">
        <v>4644</v>
      </c>
      <c r="I4849" s="6">
        <v>4.3944488119214267</v>
      </c>
      <c r="K4849" s="8"/>
    </row>
    <row r="4850" spans="1:11" ht="15" x14ac:dyDescent="0.25">
      <c r="A4850" s="3" t="str">
        <f>HYPERLINK("proteomic_fractions_linear_files/Yang_linear_img/62184369.jpg", "62184369")</f>
        <v>62184369</v>
      </c>
      <c r="C4850" s="3" t="str">
        <f>HYPERLINK("http://www.ncbi.nlm.nih.gov/protein/62184369","ND1")</f>
        <v>ND1</v>
      </c>
      <c r="E4850" t="str">
        <f>HYPERLINK("J:\Depot - mpkCCD Fractions\Main Web Page\Web Pages_old\proteomic_fractions_linear_files/Yang_linear_img/62184369.jpg","show blot")</f>
        <v>show blot</v>
      </c>
      <c r="G4850" t="s">
        <v>4645</v>
      </c>
      <c r="I4850" s="6">
        <v>4.3944488119214267</v>
      </c>
      <c r="K4850" s="8"/>
    </row>
    <row r="4851" spans="1:11" ht="15" x14ac:dyDescent="0.25">
      <c r="A4851" s="3" t="str">
        <f>HYPERLINK("proteomic_fractions_linear_files/Yang_linear_img/167716838.jpg", "167716838")</f>
        <v>167716838</v>
      </c>
      <c r="C4851" s="3" t="str">
        <f>HYPERLINK("http://www.ncbi.nlm.nih.gov/protein/167716838","ND2")</f>
        <v>ND2</v>
      </c>
      <c r="E4851" t="str">
        <f>HYPERLINK("J:\Depot - mpkCCD Fractions\Main Web Page\Web Pages_old\proteomic_fractions_linear_files/Yang_linear_img/167716838.jpg","show blot")</f>
        <v>show blot</v>
      </c>
      <c r="G4851" t="s">
        <v>4646</v>
      </c>
      <c r="I4851" s="6">
        <v>2.89190998016816</v>
      </c>
      <c r="K4851" s="8"/>
    </row>
    <row r="4852" spans="1:11" ht="15" x14ac:dyDescent="0.25">
      <c r="A4852" s="3" t="str">
        <f>HYPERLINK("proteomic_fractions_linear_files/Yang_linear_img/226453476.jpg", "226453476")</f>
        <v>226453476</v>
      </c>
      <c r="C4852" s="3" t="str">
        <f>HYPERLINK("http://www.ncbi.nlm.nih.gov/protein/226453476","ND2")</f>
        <v>ND2</v>
      </c>
      <c r="E4852" t="str">
        <f>HYPERLINK("J:\Depot - mpkCCD Fractions\Main Web Page\Web Pages_old\proteomic_fractions_linear_files/Yang_linear_img/226453476.jpg","show blot")</f>
        <v>show blot</v>
      </c>
      <c r="G4852" t="s">
        <v>4647</v>
      </c>
      <c r="I4852" s="6">
        <v>2.89190998016816</v>
      </c>
      <c r="K4852" s="8"/>
    </row>
    <row r="4853" spans="1:11" ht="15" x14ac:dyDescent="0.25">
      <c r="A4853" s="3" t="str">
        <f>HYPERLINK("proteomic_fractions_linear_files/Yang_linear_img/34538599.jpg", "34538599")</f>
        <v>34538599</v>
      </c>
      <c r="C4853" s="3" t="str">
        <f>HYPERLINK("http://www.ncbi.nlm.nih.gov/protein/34538599","ND2")</f>
        <v>ND2</v>
      </c>
      <c r="E4853" t="str">
        <f>HYPERLINK("J:\Depot - mpkCCD Fractions\Main Web Page\Web Pages_old\proteomic_fractions_linear_files/Yang_linear_img/34538599.jpg","show blot")</f>
        <v>show blot</v>
      </c>
      <c r="G4853" t="s">
        <v>4648</v>
      </c>
      <c r="I4853" s="6">
        <v>2.89190998016816</v>
      </c>
      <c r="K4853" s="8"/>
    </row>
    <row r="4854" spans="1:11" ht="15" x14ac:dyDescent="0.25">
      <c r="A4854" s="3" t="str">
        <f>HYPERLINK("proteomic_fractions_linear_files/Yang_linear_img/62184370.jpg", "62184370")</f>
        <v>62184370</v>
      </c>
      <c r="C4854" s="3" t="str">
        <f>HYPERLINK("http://www.ncbi.nlm.nih.gov/protein/62184370","ND2")</f>
        <v>ND2</v>
      </c>
      <c r="E4854" t="str">
        <f>HYPERLINK("J:\Depot - mpkCCD Fractions\Main Web Page\Web Pages_old\proteomic_fractions_linear_files/Yang_linear_img/62184370.jpg","show blot")</f>
        <v>show blot</v>
      </c>
      <c r="G4854" t="s">
        <v>4649</v>
      </c>
      <c r="I4854" s="6">
        <v>2.89190998016816</v>
      </c>
      <c r="K4854" s="8"/>
    </row>
    <row r="4855" spans="1:11" ht="15" x14ac:dyDescent="0.25">
      <c r="A4855" s="3" t="str">
        <f>HYPERLINK("proteomic_fractions_linear_files/Yang_linear_img/226453482.jpg", "226453482")</f>
        <v>226453482</v>
      </c>
      <c r="C4855" s="3" t="str">
        <f>HYPERLINK("http://www.ncbi.nlm.nih.gov/protein/226453482","ND3")</f>
        <v>ND3</v>
      </c>
      <c r="E4855" t="str">
        <f>HYPERLINK("J:\Depot - mpkCCD Fractions\Main Web Page\Web Pages_old\proteomic_fractions_linear_files/Yang_linear_img/226453482.jpg","show blot")</f>
        <v>show blot</v>
      </c>
      <c r="G4855" t="s">
        <v>4650</v>
      </c>
      <c r="I4855" s="6">
        <v>4.8512368723055506</v>
      </c>
      <c r="K4855" s="8"/>
    </row>
    <row r="4856" spans="1:11" ht="15" x14ac:dyDescent="0.25">
      <c r="A4856" s="3" t="str">
        <f>HYPERLINK("proteomic_fractions_linear_files/Yang_linear_img/34538605.jpg", "34538605")</f>
        <v>34538605</v>
      </c>
      <c r="C4856" s="3" t="str">
        <f>HYPERLINK("http://www.ncbi.nlm.nih.gov/protein/34538605","ND3")</f>
        <v>ND3</v>
      </c>
      <c r="E4856" t="str">
        <f>HYPERLINK("J:\Depot - mpkCCD Fractions\Main Web Page\Web Pages_old\proteomic_fractions_linear_files/Yang_linear_img/34538605.jpg","show blot")</f>
        <v>show blot</v>
      </c>
      <c r="G4856" t="s">
        <v>4651</v>
      </c>
      <c r="I4856" s="6">
        <v>4.8512368723055506</v>
      </c>
      <c r="K4856" s="8"/>
    </row>
    <row r="4857" spans="1:11" ht="15" x14ac:dyDescent="0.25">
      <c r="A4857" s="3" t="str">
        <f>HYPERLINK("proteomic_fractions_linear_files/Yang_linear_img/167716846.jpg", "167716846")</f>
        <v>167716846</v>
      </c>
      <c r="C4857" s="3" t="str">
        <f>HYPERLINK("http://www.ncbi.nlm.nih.gov/protein/167716846","ND4")</f>
        <v>ND4</v>
      </c>
      <c r="E4857" t="str">
        <f>HYPERLINK("J:\Depot - mpkCCD Fractions\Main Web Page\Web Pages_old\proteomic_fractions_linear_files/Yang_linear_img/167716846.jpg","show blot")</f>
        <v>show blot</v>
      </c>
      <c r="G4857" t="s">
        <v>4652</v>
      </c>
      <c r="I4857" s="6">
        <v>2.336938912187708</v>
      </c>
      <c r="K4857" s="8"/>
    </row>
    <row r="4858" spans="1:11" ht="15" x14ac:dyDescent="0.25">
      <c r="A4858" s="3" t="str">
        <f>HYPERLINK("proteomic_fractions_linear_files/Yang_linear_img/226453484.jpg", "226453484")</f>
        <v>226453484</v>
      </c>
      <c r="C4858" s="3" t="str">
        <f>HYPERLINK("http://www.ncbi.nlm.nih.gov/protein/226453484","ND4")</f>
        <v>ND4</v>
      </c>
      <c r="E4858" t="str">
        <f>HYPERLINK("J:\Depot - mpkCCD Fractions\Main Web Page\Web Pages_old\proteomic_fractions_linear_files/Yang_linear_img/226453484.jpg","show blot")</f>
        <v>show blot</v>
      </c>
      <c r="G4858" t="s">
        <v>4653</v>
      </c>
      <c r="I4858" s="6">
        <v>2.336938912187708</v>
      </c>
      <c r="K4858" s="8"/>
    </row>
    <row r="4859" spans="1:11" ht="15" x14ac:dyDescent="0.25">
      <c r="A4859" s="3" t="str">
        <f>HYPERLINK("proteomic_fractions_linear_files/Yang_linear_img/34538607.jpg", "34538607")</f>
        <v>34538607</v>
      </c>
      <c r="C4859" s="3" t="str">
        <f>HYPERLINK("http://www.ncbi.nlm.nih.gov/protein/34538607","ND4")</f>
        <v>ND4</v>
      </c>
      <c r="E4859" t="str">
        <f>HYPERLINK("J:\Depot - mpkCCD Fractions\Main Web Page\Web Pages_old\proteomic_fractions_linear_files/Yang_linear_img/34538607.jpg","show blot")</f>
        <v>show blot</v>
      </c>
      <c r="G4859" t="s">
        <v>4654</v>
      </c>
      <c r="I4859" s="6">
        <v>2.336938912187708</v>
      </c>
      <c r="K4859" s="8"/>
    </row>
    <row r="4860" spans="1:11" ht="15" x14ac:dyDescent="0.25">
      <c r="A4860" s="3" t="str">
        <f>HYPERLINK("proteomic_fractions_linear_files/Yang_linear_img/62184378.jpg", "62184378")</f>
        <v>62184378</v>
      </c>
      <c r="C4860" s="3" t="str">
        <f>HYPERLINK("http://www.ncbi.nlm.nih.gov/protein/62184378","ND4")</f>
        <v>ND4</v>
      </c>
      <c r="E4860" t="str">
        <f>HYPERLINK("J:\Depot - mpkCCD Fractions\Main Web Page\Web Pages_old\proteomic_fractions_linear_files/Yang_linear_img/62184378.jpg","show blot")</f>
        <v>show blot</v>
      </c>
      <c r="G4860" t="s">
        <v>4655</v>
      </c>
      <c r="I4860" s="6">
        <v>2.336938912187708</v>
      </c>
      <c r="K4860" s="8"/>
    </row>
    <row r="4861" spans="1:11" ht="15" x14ac:dyDescent="0.25">
      <c r="A4861" s="3" t="str">
        <f>HYPERLINK("proteomic_fractions_linear_files/Yang_linear_img/167716847.jpg", "167716847")</f>
        <v>167716847</v>
      </c>
      <c r="C4861" s="3" t="str">
        <f>HYPERLINK("http://www.ncbi.nlm.nih.gov/protein/167716847","ND5")</f>
        <v>ND5</v>
      </c>
      <c r="E4861" t="str">
        <f>HYPERLINK("J:\Depot - mpkCCD Fractions\Main Web Page\Web Pages_old\proteomic_fractions_linear_files/Yang_linear_img/167716847.jpg","show blot")</f>
        <v>show blot</v>
      </c>
      <c r="G4861" t="s">
        <v>4656</v>
      </c>
      <c r="I4861" s="6">
        <v>1.4993176756238389</v>
      </c>
      <c r="K4861" s="8"/>
    </row>
    <row r="4862" spans="1:11" ht="15" x14ac:dyDescent="0.25">
      <c r="A4862" s="3" t="str">
        <f>HYPERLINK("proteomic_fractions_linear_files/Yang_linear_img/226453485.jpg", "226453485")</f>
        <v>226453485</v>
      </c>
      <c r="C4862" s="3" t="str">
        <f>HYPERLINK("http://www.ncbi.nlm.nih.gov/protein/226453485","ND5")</f>
        <v>ND5</v>
      </c>
      <c r="E4862" t="str">
        <f>HYPERLINK("J:\Depot - mpkCCD Fractions\Main Web Page\Web Pages_old\proteomic_fractions_linear_files/Yang_linear_img/226453485.jpg","show blot")</f>
        <v>show blot</v>
      </c>
      <c r="G4862" t="s">
        <v>4657</v>
      </c>
      <c r="I4862" s="6">
        <v>1.4993176756238389</v>
      </c>
      <c r="K4862" s="8"/>
    </row>
    <row r="4863" spans="1:11" ht="15" x14ac:dyDescent="0.25">
      <c r="A4863" s="3" t="str">
        <f>HYPERLINK("proteomic_fractions_linear_files/Yang_linear_img/34538608.jpg", "34538608")</f>
        <v>34538608</v>
      </c>
      <c r="C4863" s="3" t="str">
        <f>HYPERLINK("http://www.ncbi.nlm.nih.gov/protein/34538608","ND5")</f>
        <v>ND5</v>
      </c>
      <c r="E4863" t="str">
        <f>HYPERLINK("J:\Depot - mpkCCD Fractions\Main Web Page\Web Pages_old\proteomic_fractions_linear_files/Yang_linear_img/34538608.jpg","show blot")</f>
        <v>show blot</v>
      </c>
      <c r="G4863" t="s">
        <v>4658</v>
      </c>
      <c r="I4863" s="6">
        <v>1.4993176756238389</v>
      </c>
      <c r="K4863" s="8"/>
    </row>
    <row r="4864" spans="1:11" ht="15" x14ac:dyDescent="0.25">
      <c r="A4864" s="3" t="str">
        <f>HYPERLINK("proteomic_fractions_linear_files/Yang_linear_img/62184379.jpg", "62184379")</f>
        <v>62184379</v>
      </c>
      <c r="C4864" s="3" t="str">
        <f>HYPERLINK("http://www.ncbi.nlm.nih.gov/protein/62184379","ND5")</f>
        <v>ND5</v>
      </c>
      <c r="E4864" t="str">
        <f>HYPERLINK("J:\Depot - mpkCCD Fractions\Main Web Page\Web Pages_old\proteomic_fractions_linear_files/Yang_linear_img/62184379.jpg","show blot")</f>
        <v>show blot</v>
      </c>
      <c r="G4864" t="s">
        <v>4659</v>
      </c>
      <c r="I4864" s="6">
        <v>1.4993176756238389</v>
      </c>
      <c r="K4864" s="8"/>
    </row>
    <row r="4865" spans="1:11" ht="15" x14ac:dyDescent="0.25">
      <c r="A4865" s="3" t="str">
        <f>HYPERLINK("proteomic_fractions_linear_files/Yang_linear_img/166197652.jpg", "166197652")</f>
        <v>166197652</v>
      </c>
      <c r="C4865" s="3" t="str">
        <f>HYPERLINK("http://www.ncbi.nlm.nih.gov/protein/166197652","Nde1")</f>
        <v>Nde1</v>
      </c>
      <c r="E4865" t="str">
        <f>HYPERLINK("J:\Depot - mpkCCD Fractions\Main Web Page\Web Pages_old\proteomic_fractions_linear_files/Yang_linear_img/166197652.jpg","show blot")</f>
        <v>show blot</v>
      </c>
      <c r="G4865" t="s">
        <v>4660</v>
      </c>
      <c r="I4865" s="6">
        <v>3.2701480748493825</v>
      </c>
      <c r="K4865" s="8"/>
    </row>
    <row r="4866" spans="1:11" ht="15" x14ac:dyDescent="0.25">
      <c r="A4866" s="3" t="str">
        <f>HYPERLINK("proteomic_fractions_linear_files/Yang_linear_img/166197654.jpg", "166197654")</f>
        <v>166197654</v>
      </c>
      <c r="C4866" s="3" t="str">
        <f>HYPERLINK("http://www.ncbi.nlm.nih.gov/protein/166197654","Nde1")</f>
        <v>Nde1</v>
      </c>
      <c r="E4866" t="str">
        <f>HYPERLINK("J:\Depot - mpkCCD Fractions\Main Web Page\Web Pages_old\proteomic_fractions_linear_files/Yang_linear_img/166197654.jpg","show blot")</f>
        <v>show blot</v>
      </c>
      <c r="G4866" t="s">
        <v>4661</v>
      </c>
      <c r="I4866" s="6">
        <v>3.2701480748493825</v>
      </c>
      <c r="K4866" s="8"/>
    </row>
    <row r="4867" spans="1:11" ht="15" x14ac:dyDescent="0.25">
      <c r="A4867" s="3" t="str">
        <f>HYPERLINK("proteomic_fractions_linear_files/Yang_linear_img/238550188.jpg", "238550188")</f>
        <v>238550188</v>
      </c>
      <c r="C4867" s="3" t="str">
        <f>HYPERLINK("http://www.ncbi.nlm.nih.gov/protein/238550188","Ndel1")</f>
        <v>Ndel1</v>
      </c>
      <c r="E4867" t="str">
        <f>HYPERLINK("J:\Depot - mpkCCD Fractions\Main Web Page\Web Pages_old\proteomic_fractions_linear_files/Yang_linear_img/238550188.jpg","show blot")</f>
        <v>show blot</v>
      </c>
      <c r="G4867" t="s">
        <v>4662</v>
      </c>
      <c r="I4867" s="6">
        <v>3.2466669789998597</v>
      </c>
      <c r="K4867" s="8"/>
    </row>
    <row r="4868" spans="1:11" ht="15" x14ac:dyDescent="0.25">
      <c r="A4868" s="3" t="str">
        <f>HYPERLINK("proteomic_fractions_linear_files/Yang_linear_img/12963595.jpg", "12963595")</f>
        <v>12963595</v>
      </c>
      <c r="C4868" s="3" t="str">
        <f>HYPERLINK("http://www.ncbi.nlm.nih.gov/protein/12963595","Ndnl2")</f>
        <v>Ndnl2</v>
      </c>
      <c r="E4868" t="str">
        <f>HYPERLINK("J:\Depot - mpkCCD Fractions\Main Web Page\Web Pages_old\proteomic_fractions_linear_files/Yang_linear_img/12963595.jpg","show blot")</f>
        <v>show blot</v>
      </c>
      <c r="G4868" t="s">
        <v>4663</v>
      </c>
      <c r="I4868" s="6">
        <v>3.401201543015242</v>
      </c>
      <c r="K4868" s="8"/>
    </row>
    <row r="4869" spans="1:11" ht="15" x14ac:dyDescent="0.25">
      <c r="A4869" s="3" t="str">
        <f>HYPERLINK("proteomic_fractions_linear_files/Yang_linear_img/118150658.jpg", "118150658")</f>
        <v>118150658</v>
      </c>
      <c r="C4869" s="3" t="str">
        <f>HYPERLINK("http://www.ncbi.nlm.nih.gov/protein/118150658","Ndrg1")</f>
        <v>Ndrg1</v>
      </c>
      <c r="E4869" t="str">
        <f>HYPERLINK("J:\Depot - mpkCCD Fractions\Main Web Page\Web Pages_old\proteomic_fractions_linear_files/Yang_linear_img/118150658.jpg","show blot")</f>
        <v>show blot</v>
      </c>
      <c r="G4869" t="s">
        <v>4664</v>
      </c>
      <c r="I4869" s="6">
        <v>6.3708984431435862</v>
      </c>
      <c r="K4869" s="8"/>
    </row>
    <row r="4870" spans="1:11" ht="15" x14ac:dyDescent="0.25">
      <c r="A4870" s="3" t="str">
        <f>HYPERLINK("proteomic_fractions_linear_files/Yang_linear_img/255918147.jpg", "255918147")</f>
        <v>255918147</v>
      </c>
      <c r="C4870" s="3" t="str">
        <f>HYPERLINK("http://www.ncbi.nlm.nih.gov/protein/255918147","Ndrg3")</f>
        <v>Ndrg3</v>
      </c>
      <c r="E4870" t="str">
        <f>HYPERLINK("J:\Depot - mpkCCD Fractions\Main Web Page\Web Pages_old\proteomic_fractions_linear_files/Yang_linear_img/255918147.jpg","show blot")</f>
        <v>show blot</v>
      </c>
      <c r="G4870" t="s">
        <v>4665</v>
      </c>
      <c r="I4870" s="6">
        <v>5.1429677863818233</v>
      </c>
      <c r="K4870" s="8"/>
    </row>
    <row r="4871" spans="1:11" ht="15" x14ac:dyDescent="0.25">
      <c r="A4871" s="3" t="str">
        <f>HYPERLINK("proteomic_fractions_linear_files/Yang_linear_img/7305307.jpg", "7305307")</f>
        <v>7305307</v>
      </c>
      <c r="C4871" s="3" t="str">
        <f>HYPERLINK("http://www.ncbi.nlm.nih.gov/protein/7305307","Ndrg3")</f>
        <v>Ndrg3</v>
      </c>
      <c r="E4871" t="str">
        <f>HYPERLINK("J:\Depot - mpkCCD Fractions\Main Web Page\Web Pages_old\proteomic_fractions_linear_files/Yang_linear_img/7305307.jpg","show blot")</f>
        <v>show blot</v>
      </c>
      <c r="G4871" t="s">
        <v>4666</v>
      </c>
      <c r="I4871" s="6">
        <v>5.1429677863818233</v>
      </c>
      <c r="K4871" s="8"/>
    </row>
    <row r="4872" spans="1:11" ht="15" x14ac:dyDescent="0.25">
      <c r="A4872" s="3" t="str">
        <f>HYPERLINK("proteomic_fractions_linear_files/Yang_linear_img/9506911.jpg", "9506911")</f>
        <v>9506911</v>
      </c>
      <c r="C4872" s="3" t="str">
        <f>HYPERLINK("http://www.ncbi.nlm.nih.gov/protein/9506911","Ndufa1")</f>
        <v>Ndufa1</v>
      </c>
      <c r="E4872" t="str">
        <f>HYPERLINK("J:\Depot - mpkCCD Fractions\Main Web Page\Web Pages_old\proteomic_fractions_linear_files/Yang_linear_img/9506911.jpg","show blot")</f>
        <v>show blot</v>
      </c>
      <c r="G4872" t="s">
        <v>4667</v>
      </c>
      <c r="I4872" s="6">
        <v>4.4591381679945927</v>
      </c>
      <c r="K4872" s="8"/>
    </row>
    <row r="4873" spans="1:11" ht="15" x14ac:dyDescent="0.25">
      <c r="A4873" s="3" t="str">
        <f>HYPERLINK("proteomic_fractions_linear_files/Yang_linear_img/13195624.jpg", "13195624")</f>
        <v>13195624</v>
      </c>
      <c r="C4873" s="3" t="str">
        <f>HYPERLINK("http://www.ncbi.nlm.nih.gov/protein/13195624","Ndufa10")</f>
        <v>Ndufa10</v>
      </c>
      <c r="E4873" t="str">
        <f>HYPERLINK("J:\Depot - mpkCCD Fractions\Main Web Page\Web Pages_old\proteomic_fractions_linear_files/Yang_linear_img/13195624.jpg","show blot")</f>
        <v>show blot</v>
      </c>
      <c r="G4873" t="s">
        <v>4668</v>
      </c>
      <c r="I4873" s="6">
        <v>5.3212520598728199</v>
      </c>
      <c r="K4873" s="8"/>
    </row>
    <row r="4874" spans="1:11" ht="15" x14ac:dyDescent="0.25">
      <c r="A4874" s="3" t="str">
        <f>HYPERLINK("proteomic_fractions_linear_files/Yang_linear_img/226437665.jpg", "226437665")</f>
        <v>226437665</v>
      </c>
      <c r="C4874" s="3" t="str">
        <f>HYPERLINK("http://www.ncbi.nlm.nih.gov/protein/226437665","Ndufa11")</f>
        <v>Ndufa11</v>
      </c>
      <c r="E4874" t="str">
        <f>HYPERLINK("J:\Depot - mpkCCD Fractions\Main Web Page\Web Pages_old\proteomic_fractions_linear_files/Yang_linear_img/226437665.jpg","show blot")</f>
        <v>show blot</v>
      </c>
      <c r="G4874" t="s">
        <v>4669</v>
      </c>
      <c r="I4874" s="6">
        <v>4.911505143890893</v>
      </c>
      <c r="K4874" s="8"/>
    </row>
    <row r="4875" spans="1:11" ht="15" x14ac:dyDescent="0.25">
      <c r="A4875" s="3" t="str">
        <f>HYPERLINK("proteomic_fractions_linear_files/Yang_linear_img/27228985.jpg", "27228985")</f>
        <v>27228985</v>
      </c>
      <c r="C4875" s="3" t="str">
        <f>HYPERLINK("http://www.ncbi.nlm.nih.gov/protein/27228985","Ndufa12")</f>
        <v>Ndufa12</v>
      </c>
      <c r="E4875" t="str">
        <f>HYPERLINK("J:\Depot - mpkCCD Fractions\Main Web Page\Web Pages_old\proteomic_fractions_linear_files/Yang_linear_img/27228985.jpg","show blot")</f>
        <v>show blot</v>
      </c>
      <c r="G4875" t="s">
        <v>4670</v>
      </c>
      <c r="I4875" s="6">
        <v>5.5574733211888541</v>
      </c>
      <c r="K4875" s="8"/>
    </row>
    <row r="4876" spans="1:11" ht="15" x14ac:dyDescent="0.25">
      <c r="A4876" s="3" t="str">
        <f>HYPERLINK("proteomic_fractions_linear_files/Yang_linear_img/12963633.jpg", "12963633")</f>
        <v>12963633</v>
      </c>
      <c r="C4876" s="3" t="str">
        <f>HYPERLINK("http://www.ncbi.nlm.nih.gov/protein/12963633","Ndufa13")</f>
        <v>Ndufa13</v>
      </c>
      <c r="E4876" t="str">
        <f>HYPERLINK("J:\Depot - mpkCCD Fractions\Main Web Page\Web Pages_old\proteomic_fractions_linear_files/Yang_linear_img/12963633.jpg","show blot")</f>
        <v>show blot</v>
      </c>
      <c r="G4876" t="s">
        <v>4671</v>
      </c>
      <c r="I4876" s="6">
        <v>5.9242595412073653</v>
      </c>
      <c r="K4876" s="8"/>
    </row>
    <row r="4877" spans="1:11" ht="15" x14ac:dyDescent="0.25">
      <c r="A4877" s="3" t="str">
        <f>HYPERLINK("proteomic_fractions_linear_files/Yang_linear_img/31981600.jpg", "31981600")</f>
        <v>31981600</v>
      </c>
      <c r="C4877" s="3" t="str">
        <f>HYPERLINK("http://www.ncbi.nlm.nih.gov/protein/31981600","Ndufa2")</f>
        <v>Ndufa2</v>
      </c>
      <c r="E4877" t="str">
        <f>HYPERLINK("J:\Depot - mpkCCD Fractions\Main Web Page\Web Pages_old\proteomic_fractions_linear_files/Yang_linear_img/31981600.jpg","show blot")</f>
        <v>show blot</v>
      </c>
      <c r="G4877" t="s">
        <v>4672</v>
      </c>
      <c r="I4877" s="6">
        <v>5.4919750155356688</v>
      </c>
      <c r="K4877" s="8"/>
    </row>
    <row r="4878" spans="1:11" ht="15" x14ac:dyDescent="0.25">
      <c r="A4878" s="3" t="str">
        <f>HYPERLINK("proteomic_fractions_linear_files/Yang_linear_img/21539587.jpg", "21539587")</f>
        <v>21539587</v>
      </c>
      <c r="C4878" s="3" t="str">
        <f>HYPERLINK("http://www.ncbi.nlm.nih.gov/protein/21539587","Ndufa3")</f>
        <v>Ndufa3</v>
      </c>
      <c r="E4878" t="str">
        <f>HYPERLINK("J:\Depot - mpkCCD Fractions\Main Web Page\Web Pages_old\proteomic_fractions_linear_files/Yang_linear_img/21539587.jpg","show blot")</f>
        <v>show blot</v>
      </c>
      <c r="G4878" t="s">
        <v>4673</v>
      </c>
      <c r="I4878" s="6">
        <v>5.0876121402044241</v>
      </c>
      <c r="K4878" s="8"/>
    </row>
    <row r="4879" spans="1:11" ht="15" x14ac:dyDescent="0.25">
      <c r="A4879" s="3" t="str">
        <f>HYPERLINK("proteomic_fractions_linear_files/Yang_linear_img/33563266.jpg", "33563266")</f>
        <v>33563266</v>
      </c>
      <c r="C4879" s="3" t="str">
        <f>HYPERLINK("http://www.ncbi.nlm.nih.gov/protein/33563266","Ndufa4")</f>
        <v>Ndufa4</v>
      </c>
      <c r="E4879" t="str">
        <f>HYPERLINK("J:\Depot - mpkCCD Fractions\Main Web Page\Web Pages_old\proteomic_fractions_linear_files/Yang_linear_img/33563266.jpg","show blot")</f>
        <v>show blot</v>
      </c>
      <c r="G4879" t="s">
        <v>4674</v>
      </c>
      <c r="I4879" s="6">
        <v>6.6924905480138888</v>
      </c>
      <c r="K4879" s="8"/>
    </row>
    <row r="4880" spans="1:11" ht="15" x14ac:dyDescent="0.25">
      <c r="A4880" s="3" t="str">
        <f>HYPERLINK("proteomic_fractions_linear_files/Yang_linear_img/13386100.jpg", "13386100")</f>
        <v>13386100</v>
      </c>
      <c r="C4880" s="3" t="str">
        <f>HYPERLINK("http://www.ncbi.nlm.nih.gov/protein/13386100","Ndufa5")</f>
        <v>Ndufa5</v>
      </c>
      <c r="E4880" t="str">
        <f>HYPERLINK("J:\Depot - mpkCCD Fractions\Main Web Page\Web Pages_old\proteomic_fractions_linear_files/Yang_linear_img/13386100.jpg","show blot")</f>
        <v>show blot</v>
      </c>
      <c r="G4880" t="s">
        <v>4675</v>
      </c>
      <c r="I4880" s="6">
        <v>5.3745550237645316</v>
      </c>
      <c r="K4880" s="8"/>
    </row>
    <row r="4881" spans="1:11" ht="15" x14ac:dyDescent="0.25">
      <c r="A4881" s="3" t="str">
        <f>HYPERLINK("proteomic_fractions_linear_files/Yang_linear_img/13385492.jpg", "13385492")</f>
        <v>13385492</v>
      </c>
      <c r="C4881" s="3" t="str">
        <f>HYPERLINK("http://www.ncbi.nlm.nih.gov/protein/13385492","Ndufa6")</f>
        <v>Ndufa6</v>
      </c>
      <c r="E4881" t="str">
        <f>HYPERLINK("J:\Depot - mpkCCD Fractions\Main Web Page\Web Pages_old\proteomic_fractions_linear_files/Yang_linear_img/13385492.jpg","show blot")</f>
        <v>show blot</v>
      </c>
      <c r="G4881" t="s">
        <v>4676</v>
      </c>
      <c r="I4881" s="6">
        <v>5.403659794760082</v>
      </c>
      <c r="K4881" s="8"/>
    </row>
    <row r="4882" spans="1:11" ht="15" x14ac:dyDescent="0.25">
      <c r="A4882" s="3" t="str">
        <f>HYPERLINK("proteomic_fractions_linear_files/Yang_linear_img/12963571.jpg", "12963571")</f>
        <v>12963571</v>
      </c>
      <c r="C4882" s="3" t="str">
        <f>HYPERLINK("http://www.ncbi.nlm.nih.gov/protein/12963571","Ndufa7")</f>
        <v>Ndufa7</v>
      </c>
      <c r="E4882" t="str">
        <f>HYPERLINK("J:\Depot - mpkCCD Fractions\Main Web Page\Web Pages_old\proteomic_fractions_linear_files/Yang_linear_img/12963571.jpg","show blot")</f>
        <v>show blot</v>
      </c>
      <c r="G4882" t="s">
        <v>4677</v>
      </c>
      <c r="I4882" s="6">
        <v>5.0351992785830273</v>
      </c>
      <c r="K4882" s="8"/>
    </row>
    <row r="4883" spans="1:11" ht="15" x14ac:dyDescent="0.25">
      <c r="A4883" s="3" t="str">
        <f>HYPERLINK("proteomic_fractions_linear_files/Yang_linear_img/21312012.jpg", "21312012")</f>
        <v>21312012</v>
      </c>
      <c r="C4883" s="3" t="str">
        <f>HYPERLINK("http://www.ncbi.nlm.nih.gov/protein/21312012","Ndufa8")</f>
        <v>Ndufa8</v>
      </c>
      <c r="E4883" t="str">
        <f>HYPERLINK("J:\Depot - mpkCCD Fractions\Main Web Page\Web Pages_old\proteomic_fractions_linear_files/Yang_linear_img/21312012.jpg","show blot")</f>
        <v>show blot</v>
      </c>
      <c r="G4883" t="s">
        <v>4678</v>
      </c>
      <c r="I4883" s="6">
        <v>5.8349197282310419</v>
      </c>
      <c r="K4883" s="8"/>
    </row>
    <row r="4884" spans="1:11" ht="15" x14ac:dyDescent="0.25">
      <c r="A4884" s="3" t="str">
        <f>HYPERLINK("proteomic_fractions_linear_files/Yang_linear_img/254692859.jpg", "254692859")</f>
        <v>254692859</v>
      </c>
      <c r="C4884" s="3" t="str">
        <f>HYPERLINK("http://www.ncbi.nlm.nih.gov/protein/254692859","Ndufa9")</f>
        <v>Ndufa9</v>
      </c>
      <c r="E4884" t="str">
        <f>HYPERLINK("J:\Depot - mpkCCD Fractions\Main Web Page\Web Pages_old\proteomic_fractions_linear_files/Yang_linear_img/254692859.jpg","show blot")</f>
        <v>show blot</v>
      </c>
      <c r="G4884" t="s">
        <v>4679</v>
      </c>
      <c r="I4884" s="6">
        <v>5.5163731836592476</v>
      </c>
      <c r="K4884" s="8"/>
    </row>
    <row r="4885" spans="1:11" ht="15" x14ac:dyDescent="0.25">
      <c r="A4885" s="3" t="str">
        <f>HYPERLINK("proteomic_fractions_linear_files/Yang_linear_img/27754007.jpg", "27754007")</f>
        <v>27754007</v>
      </c>
      <c r="C4885" s="3" t="str">
        <f>HYPERLINK("http://www.ncbi.nlm.nih.gov/protein/27754007","Ndufab1")</f>
        <v>Ndufab1</v>
      </c>
      <c r="E4885" t="str">
        <f>HYPERLINK("J:\Depot - mpkCCD Fractions\Main Web Page\Web Pages_old\proteomic_fractions_linear_files/Yang_linear_img/27754007.jpg","show blot")</f>
        <v>show blot</v>
      </c>
      <c r="G4885" t="s">
        <v>4680</v>
      </c>
      <c r="I4885" s="6">
        <v>4.4839270425295981</v>
      </c>
      <c r="K4885" s="8"/>
    </row>
    <row r="4886" spans="1:11" ht="15" x14ac:dyDescent="0.25">
      <c r="A4886" s="3" t="str">
        <f>HYPERLINK("proteomic_fractions_linear_files/Yang_linear_img/188035926.jpg", "188035926")</f>
        <v>188035926</v>
      </c>
      <c r="C4886" s="3" t="str">
        <f>HYPERLINK("http://www.ncbi.nlm.nih.gov/protein/188035926","Ndufaf2")</f>
        <v>Ndufaf2</v>
      </c>
      <c r="E4886" t="str">
        <f>HYPERLINK("J:\Depot - mpkCCD Fractions\Main Web Page\Web Pages_old\proteomic_fractions_linear_files/Yang_linear_img/188035926.jpg","show blot")</f>
        <v>show blot</v>
      </c>
      <c r="G4886" t="s">
        <v>4681</v>
      </c>
      <c r="I4886" s="6">
        <v>4.1866118957474638</v>
      </c>
      <c r="K4886" s="8"/>
    </row>
    <row r="4887" spans="1:11" ht="15" x14ac:dyDescent="0.25">
      <c r="A4887" s="3" t="str">
        <f>HYPERLINK("proteomic_fractions_linear_files/Yang_linear_img/12963603.jpg", "12963603")</f>
        <v>12963603</v>
      </c>
      <c r="C4887" s="3" t="str">
        <f>HYPERLINK("http://www.ncbi.nlm.nih.gov/protein/12963603","Ndufaf3")</f>
        <v>Ndufaf3</v>
      </c>
      <c r="E4887" t="str">
        <f>HYPERLINK("J:\Depot - mpkCCD Fractions\Main Web Page\Web Pages_old\proteomic_fractions_linear_files/Yang_linear_img/12963603.jpg","show blot")</f>
        <v>show blot</v>
      </c>
      <c r="G4887" t="s">
        <v>4682</v>
      </c>
      <c r="I4887" s="6">
        <v>3.2929085222997054</v>
      </c>
      <c r="K4887" s="8"/>
    </row>
    <row r="4888" spans="1:11" ht="15" x14ac:dyDescent="0.25">
      <c r="A4888" s="3" t="str">
        <f>HYPERLINK("proteomic_fractions_linear_files/Yang_linear_img/21624617.jpg", "21624617")</f>
        <v>21624617</v>
      </c>
      <c r="C4888" s="3" t="str">
        <f>HYPERLINK("http://www.ncbi.nlm.nih.gov/protein/21624617","Ndufaf4")</f>
        <v>Ndufaf4</v>
      </c>
      <c r="E4888" t="str">
        <f>HYPERLINK("J:\Depot - mpkCCD Fractions\Main Web Page\Web Pages_old\proteomic_fractions_linear_files/Yang_linear_img/21624617.jpg","show blot")</f>
        <v>show blot</v>
      </c>
      <c r="G4888" t="s">
        <v>4683</v>
      </c>
      <c r="I4888" s="6">
        <v>3.9622544633550989</v>
      </c>
      <c r="K4888" s="8"/>
    </row>
    <row r="4889" spans="1:11" ht="15" x14ac:dyDescent="0.25">
      <c r="A4889" s="3" t="str">
        <f>HYPERLINK("proteomic_fractions_linear_files/Yang_linear_img/166295190.jpg", "166295190")</f>
        <v>166295190</v>
      </c>
      <c r="C4889" s="3" t="str">
        <f>HYPERLINK("http://www.ncbi.nlm.nih.gov/protein/166295190","Ndufaf5")</f>
        <v>Ndufaf5</v>
      </c>
      <c r="E4889" t="str">
        <f>HYPERLINK("J:\Depot - mpkCCD Fractions\Main Web Page\Web Pages_old\proteomic_fractions_linear_files/Yang_linear_img/166295190.jpg","show blot")</f>
        <v>show blot</v>
      </c>
      <c r="G4889" t="s">
        <v>4684</v>
      </c>
      <c r="I4889" s="6">
        <v>3.0332712117939491</v>
      </c>
      <c r="K4889" s="8"/>
    </row>
    <row r="4890" spans="1:11" ht="15" x14ac:dyDescent="0.25">
      <c r="A4890" s="3" t="str">
        <f>HYPERLINK("proteomic_fractions_linear_files/Yang_linear_img/158937256.jpg", "158937256")</f>
        <v>158937256</v>
      </c>
      <c r="C4890" s="3" t="str">
        <f>HYPERLINK("http://www.ncbi.nlm.nih.gov/protein/158937256","Ndufaf7")</f>
        <v>Ndufaf7</v>
      </c>
      <c r="E4890" t="str">
        <f>HYPERLINK("J:\Depot - mpkCCD Fractions\Main Web Page\Web Pages_old\proteomic_fractions_linear_files/Yang_linear_img/158937256.jpg","show blot")</f>
        <v>show blot</v>
      </c>
      <c r="G4890" t="s">
        <v>4685</v>
      </c>
      <c r="I4890" s="6">
        <v>3.8892244099349651</v>
      </c>
      <c r="K4890" s="8"/>
    </row>
    <row r="4891" spans="1:11" ht="15" x14ac:dyDescent="0.25">
      <c r="A4891" s="3" t="str">
        <f>HYPERLINK("proteomic_fractions_linear_files/Yang_linear_img/58037109.jpg", "58037109")</f>
        <v>58037109</v>
      </c>
      <c r="C4891" s="3" t="str">
        <f>HYPERLINK("http://www.ncbi.nlm.nih.gov/protein/58037109","Ndufb10")</f>
        <v>Ndufb10</v>
      </c>
      <c r="E4891" t="str">
        <f>HYPERLINK("J:\Depot - mpkCCD Fractions\Main Web Page\Web Pages_old\proteomic_fractions_linear_files/Yang_linear_img/58037109.jpg","show blot")</f>
        <v>show blot</v>
      </c>
      <c r="G4891" t="s">
        <v>4686</v>
      </c>
      <c r="I4891" s="6">
        <v>5.5791023989580291</v>
      </c>
      <c r="K4891" s="8"/>
    </row>
    <row r="4892" spans="1:11" ht="15" x14ac:dyDescent="0.25">
      <c r="A4892" s="3" t="str">
        <f>HYPERLINK("proteomic_fractions_linear_files/Yang_linear_img/158631246.jpg", "158631246")</f>
        <v>158631246</v>
      </c>
      <c r="C4892" s="3" t="str">
        <f>HYPERLINK("http://www.ncbi.nlm.nih.gov/protein/158631246","Ndufb11")</f>
        <v>Ndufb11</v>
      </c>
      <c r="E4892" t="str">
        <f>HYPERLINK("J:\Depot - mpkCCD Fractions\Main Web Page\Web Pages_old\proteomic_fractions_linear_files/Yang_linear_img/158631246.jpg","show blot")</f>
        <v>show blot</v>
      </c>
      <c r="G4892" t="s">
        <v>4687</v>
      </c>
      <c r="I4892" s="6">
        <v>4.5192738381859288</v>
      </c>
      <c r="K4892" s="8"/>
    </row>
    <row r="4893" spans="1:11" ht="15" x14ac:dyDescent="0.25">
      <c r="A4893" s="3" t="str">
        <f>HYPERLINK("proteomic_fractions_linear_files/Yang_linear_img/13385054.jpg", "13385054")</f>
        <v>13385054</v>
      </c>
      <c r="C4893" s="3" t="str">
        <f>HYPERLINK("http://www.ncbi.nlm.nih.gov/protein/13385054","Ndufb3")</f>
        <v>Ndufb3</v>
      </c>
      <c r="E4893" t="str">
        <f>HYPERLINK("J:\Depot - mpkCCD Fractions\Main Web Page\Web Pages_old\proteomic_fractions_linear_files/Yang_linear_img/13385054.jpg","show blot")</f>
        <v>show blot</v>
      </c>
      <c r="G4893" t="s">
        <v>4688</v>
      </c>
      <c r="I4893" s="6">
        <v>5.4462270110416702</v>
      </c>
      <c r="K4893" s="8"/>
    </row>
    <row r="4894" spans="1:11" ht="15" x14ac:dyDescent="0.25">
      <c r="A4894" s="3" t="str">
        <f>HYPERLINK("proteomic_fractions_linear_files/Yang_linear_img/27754144.jpg", "27754144")</f>
        <v>27754144</v>
      </c>
      <c r="C4894" s="3" t="str">
        <f>HYPERLINK("http://www.ncbi.nlm.nih.gov/protein/27754144","Ndufb5")</f>
        <v>Ndufb5</v>
      </c>
      <c r="E4894" t="str">
        <f>HYPERLINK("J:\Depot - mpkCCD Fractions\Main Web Page\Web Pages_old\proteomic_fractions_linear_files/Yang_linear_img/27754144.jpg","show blot")</f>
        <v>show blot</v>
      </c>
      <c r="G4894" t="s">
        <v>4689</v>
      </c>
      <c r="I4894" s="6">
        <v>5.7695902297575374</v>
      </c>
      <c r="K4894" s="8"/>
    </row>
    <row r="4895" spans="1:11" ht="15" x14ac:dyDescent="0.25">
      <c r="A4895" s="3" t="str">
        <f>HYPERLINK("proteomic_fractions_linear_files/Yang_linear_img/84781779.jpg", "84781779")</f>
        <v>84781779</v>
      </c>
      <c r="C4895" s="3" t="str">
        <f>HYPERLINK("http://www.ncbi.nlm.nih.gov/protein/84781779","Ndufb6")</f>
        <v>Ndufb6</v>
      </c>
      <c r="E4895" t="str">
        <f>HYPERLINK("J:\Depot - mpkCCD Fractions\Main Web Page\Web Pages_old\proteomic_fractions_linear_files/Yang_linear_img/84781779.jpg","show blot")</f>
        <v>show blot</v>
      </c>
      <c r="G4895" t="s">
        <v>4690</v>
      </c>
      <c r="I4895" s="6">
        <v>4.7021456407309294</v>
      </c>
      <c r="K4895" s="8"/>
    </row>
    <row r="4896" spans="1:11" ht="15" x14ac:dyDescent="0.25">
      <c r="A4896" s="3" t="str">
        <f>HYPERLINK("proteomic_fractions_linear_files/Yang_linear_img/13385322.jpg", "13385322")</f>
        <v>13385322</v>
      </c>
      <c r="C4896" s="3" t="str">
        <f>HYPERLINK("http://www.ncbi.nlm.nih.gov/protein/13385322","Ndufb7")</f>
        <v>Ndufb7</v>
      </c>
      <c r="E4896" t="str">
        <f>HYPERLINK("J:\Depot - mpkCCD Fractions\Main Web Page\Web Pages_old\proteomic_fractions_linear_files/Yang_linear_img/13385322.jpg","show blot")</f>
        <v>show blot</v>
      </c>
      <c r="G4896" t="s">
        <v>4691</v>
      </c>
      <c r="I4896" s="6">
        <v>5.4886187655046985</v>
      </c>
      <c r="K4896" s="8"/>
    </row>
    <row r="4897" spans="1:11" ht="15" x14ac:dyDescent="0.25">
      <c r="A4897" s="3" t="str">
        <f>HYPERLINK("proteomic_fractions_linear_files/Yang_linear_img/13385558.jpg", "13385558")</f>
        <v>13385558</v>
      </c>
      <c r="C4897" s="3" t="str">
        <f>HYPERLINK("http://www.ncbi.nlm.nih.gov/protein/13385558","Ndufb8")</f>
        <v>Ndufb8</v>
      </c>
      <c r="E4897" t="str">
        <f>HYPERLINK("J:\Depot - mpkCCD Fractions\Main Web Page\Web Pages_old\proteomic_fractions_linear_files/Yang_linear_img/13385558.jpg","show blot")</f>
        <v>show blot</v>
      </c>
      <c r="G4897" t="s">
        <v>4692</v>
      </c>
      <c r="I4897" s="6">
        <v>5.064218815641639</v>
      </c>
      <c r="K4897" s="8"/>
    </row>
    <row r="4898" spans="1:11" ht="15" x14ac:dyDescent="0.25">
      <c r="A4898" s="3" t="str">
        <f>HYPERLINK("proteomic_fractions_linear_files/Yang_linear_img/29789148.jpg", "29789148")</f>
        <v>29789148</v>
      </c>
      <c r="C4898" s="3" t="str">
        <f>HYPERLINK("http://www.ncbi.nlm.nih.gov/protein/29789148","Ndufb9")</f>
        <v>Ndufb9</v>
      </c>
      <c r="E4898" t="str">
        <f>HYPERLINK("J:\Depot - mpkCCD Fractions\Main Web Page\Web Pages_old\proteomic_fractions_linear_files/Yang_linear_img/29789148.jpg","show blot")</f>
        <v>show blot</v>
      </c>
      <c r="G4898" t="s">
        <v>4693</v>
      </c>
      <c r="I4898" s="6">
        <v>4.609749004630137</v>
      </c>
      <c r="K4898" s="8"/>
    </row>
    <row r="4899" spans="1:11" ht="15" x14ac:dyDescent="0.25">
      <c r="A4899" s="3" t="str">
        <f>HYPERLINK("proteomic_fractions_linear_files/Yang_linear_img/18859597.jpg", "18859597")</f>
        <v>18859597</v>
      </c>
      <c r="C4899" s="3" t="str">
        <f>HYPERLINK("http://www.ncbi.nlm.nih.gov/protein/18859597","Ndufc2")</f>
        <v>Ndufc2</v>
      </c>
      <c r="E4899" t="str">
        <f>HYPERLINK("J:\Depot - mpkCCD Fractions\Main Web Page\Web Pages_old\proteomic_fractions_linear_files/Yang_linear_img/18859597.jpg","show blot")</f>
        <v>show blot</v>
      </c>
      <c r="G4899" t="s">
        <v>4694</v>
      </c>
      <c r="I4899" s="6">
        <v>5.3603131156047166</v>
      </c>
      <c r="K4899" s="8"/>
    </row>
    <row r="4900" spans="1:11" ht="15" x14ac:dyDescent="0.25">
      <c r="A4900" s="3" t="str">
        <f>HYPERLINK("proteomic_fractions_linear_files/Yang_linear_img/229892316.jpg", "229892316")</f>
        <v>229892316</v>
      </c>
      <c r="C4900" s="3" t="str">
        <f>HYPERLINK("http://www.ncbi.nlm.nih.gov/protein/229892316","Ndufs1")</f>
        <v>Ndufs1</v>
      </c>
      <c r="E4900" t="str">
        <f>HYPERLINK("J:\Depot - mpkCCD Fractions\Main Web Page\Web Pages_old\proteomic_fractions_linear_files/Yang_linear_img/229892316.jpg","show blot")</f>
        <v>show blot</v>
      </c>
      <c r="G4900" t="s">
        <v>4695</v>
      </c>
      <c r="I4900" s="6">
        <v>5.7189395210960514</v>
      </c>
      <c r="K4900" s="8"/>
    </row>
    <row r="4901" spans="1:11" ht="15" x14ac:dyDescent="0.25">
      <c r="A4901" s="3" t="str">
        <f>HYPERLINK("proteomic_fractions_linear_files/Yang_linear_img/23346461.jpg", "23346461")</f>
        <v>23346461</v>
      </c>
      <c r="C4901" s="3" t="str">
        <f>HYPERLINK("http://www.ncbi.nlm.nih.gov/protein/23346461","Ndufs2")</f>
        <v>Ndufs2</v>
      </c>
      <c r="E4901" t="str">
        <f>HYPERLINK("J:\Depot - mpkCCD Fractions\Main Web Page\Web Pages_old\proteomic_fractions_linear_files/Yang_linear_img/23346461.jpg","show blot")</f>
        <v>show blot</v>
      </c>
      <c r="G4901" t="s">
        <v>4696</v>
      </c>
      <c r="I4901" s="6">
        <v>5.1269771107181343</v>
      </c>
      <c r="K4901" s="8"/>
    </row>
    <row r="4902" spans="1:11" ht="15" x14ac:dyDescent="0.25">
      <c r="A4902" s="3" t="str">
        <f>HYPERLINK("proteomic_fractions_linear_files/Yang_linear_img/58037117.jpg", "58037117")</f>
        <v>58037117</v>
      </c>
      <c r="C4902" s="3" t="str">
        <f>HYPERLINK("http://www.ncbi.nlm.nih.gov/protein/58037117","Ndufs3")</f>
        <v>Ndufs3</v>
      </c>
      <c r="E4902" t="str">
        <f>HYPERLINK("J:\Depot - mpkCCD Fractions\Main Web Page\Web Pages_old\proteomic_fractions_linear_files/Yang_linear_img/58037117.jpg","show blot")</f>
        <v>show blot</v>
      </c>
      <c r="G4902" t="s">
        <v>4697</v>
      </c>
      <c r="I4902" s="6">
        <v>5.8394300497041609</v>
      </c>
      <c r="K4902" s="8"/>
    </row>
    <row r="4903" spans="1:11" ht="15" x14ac:dyDescent="0.25">
      <c r="A4903" s="3" t="str">
        <f>HYPERLINK("proteomic_fractions_linear_files/Yang_linear_img/281485615.jpg", "281485615")</f>
        <v>281485615</v>
      </c>
      <c r="C4903" s="3" t="str">
        <f>HYPERLINK("http://www.ncbi.nlm.nih.gov/protein/281485615","Ndufs4")</f>
        <v>Ndufs4</v>
      </c>
      <c r="E4903" t="str">
        <f>HYPERLINK("J:\Depot - mpkCCD Fractions\Main Web Page\Web Pages_old\proteomic_fractions_linear_files/Yang_linear_img/281485615.jpg","show blot")</f>
        <v>show blot</v>
      </c>
      <c r="G4903" t="s">
        <v>4698</v>
      </c>
      <c r="I4903" s="6">
        <v>4.9592176337902787</v>
      </c>
      <c r="K4903" s="8"/>
    </row>
    <row r="4904" spans="1:11" ht="15" x14ac:dyDescent="0.25">
      <c r="A4904" s="3" t="str">
        <f>HYPERLINK("proteomic_fractions_linear_files/Yang_linear_img/56711244.jpg", "56711244")</f>
        <v>56711244</v>
      </c>
      <c r="C4904" s="3" t="str">
        <f>HYPERLINK("http://www.ncbi.nlm.nih.gov/protein/56711244","Ndufs6")</f>
        <v>Ndufs6</v>
      </c>
      <c r="E4904" t="str">
        <f>HYPERLINK("J:\Depot - mpkCCD Fractions\Main Web Page\Web Pages_old\proteomic_fractions_linear_files/Yang_linear_img/56711244.jpg","show blot")</f>
        <v>show blot</v>
      </c>
      <c r="G4904" t="s">
        <v>4699</v>
      </c>
      <c r="I4904" s="6">
        <v>5.2484471961541423</v>
      </c>
      <c r="K4904" s="8"/>
    </row>
    <row r="4905" spans="1:11" ht="15" x14ac:dyDescent="0.25">
      <c r="A4905" s="3" t="str">
        <f>HYPERLINK("proteomic_fractions_linear_files/Yang_linear_img/21312950.jpg", "21312950")</f>
        <v>21312950</v>
      </c>
      <c r="C4905" s="3" t="str">
        <f>HYPERLINK("http://www.ncbi.nlm.nih.gov/protein/21312950","Ndufs7")</f>
        <v>Ndufs7</v>
      </c>
      <c r="E4905" t="str">
        <f>HYPERLINK("J:\Depot - mpkCCD Fractions\Main Web Page\Web Pages_old\proteomic_fractions_linear_files/Yang_linear_img/21312950.jpg","show blot")</f>
        <v>show blot</v>
      </c>
      <c r="G4905" t="s">
        <v>4700</v>
      </c>
      <c r="I4905" s="6">
        <v>5.6114330535664001</v>
      </c>
      <c r="K4905" s="8"/>
    </row>
    <row r="4906" spans="1:11" ht="15" x14ac:dyDescent="0.25">
      <c r="A4906" s="3" t="str">
        <f>HYPERLINK("proteomic_fractions_linear_files/Yang_linear_img/46195430.jpg", "46195430")</f>
        <v>46195430</v>
      </c>
      <c r="C4906" s="3" t="str">
        <f>HYPERLINK("http://www.ncbi.nlm.nih.gov/protein/46195430","Ndufs8")</f>
        <v>Ndufs8</v>
      </c>
      <c r="E4906" t="str">
        <f>HYPERLINK("J:\Depot - mpkCCD Fractions\Main Web Page\Web Pages_old\proteomic_fractions_linear_files/Yang_linear_img/46195430.jpg","show blot")</f>
        <v>show blot</v>
      </c>
      <c r="G4906" t="s">
        <v>4701</v>
      </c>
      <c r="I4906" s="6">
        <v>4.9285137651917346</v>
      </c>
      <c r="K4906" s="8"/>
    </row>
    <row r="4907" spans="1:11" ht="15" x14ac:dyDescent="0.25">
      <c r="A4907" s="3" t="str">
        <f>HYPERLINK("proteomic_fractions_linear_files/Yang_linear_img/19526814.jpg", "19526814")</f>
        <v>19526814</v>
      </c>
      <c r="C4907" s="3" t="str">
        <f>HYPERLINK("http://www.ncbi.nlm.nih.gov/protein/19526814","Ndufv1")</f>
        <v>Ndufv1</v>
      </c>
      <c r="E4907" t="str">
        <f>HYPERLINK("J:\Depot - mpkCCD Fractions\Main Web Page\Web Pages_old\proteomic_fractions_linear_files/Yang_linear_img/19526814.jpg","show blot")</f>
        <v>show blot</v>
      </c>
      <c r="G4907" t="s">
        <v>4702</v>
      </c>
      <c r="I4907" s="6">
        <v>5.4605180570099829</v>
      </c>
      <c r="K4907" s="8"/>
    </row>
    <row r="4908" spans="1:11" ht="15" x14ac:dyDescent="0.25">
      <c r="A4908" s="3" t="str">
        <f>HYPERLINK("proteomic_fractions_linear_files/Yang_linear_img/510025446.jpg", "510025446")</f>
        <v>510025446</v>
      </c>
      <c r="C4908" s="3" t="str">
        <f>HYPERLINK("http://www.ncbi.nlm.nih.gov/protein/510025446","Ndufv2")</f>
        <v>Ndufv2</v>
      </c>
      <c r="E4908" t="str">
        <f>HYPERLINK("J:\Depot - mpkCCD Fractions\Main Web Page\Web Pages_old\proteomic_fractions_linear_files/Yang_linear_img/510025446.jpg","show blot")</f>
        <v>show blot</v>
      </c>
      <c r="G4908" t="s">
        <v>4703</v>
      </c>
      <c r="I4908" s="6">
        <v>5.3296946981148219</v>
      </c>
      <c r="K4908" s="8"/>
    </row>
    <row r="4909" spans="1:11" ht="15" x14ac:dyDescent="0.25">
      <c r="A4909" s="3" t="str">
        <f>HYPERLINK("proteomic_fractions_linear_files/Yang_linear_img/110625954.jpg", "110625954")</f>
        <v>110625954</v>
      </c>
      <c r="C4909" s="3" t="str">
        <f>HYPERLINK("http://www.ncbi.nlm.nih.gov/protein/110625954","Ndufv2")</f>
        <v>Ndufv2</v>
      </c>
      <c r="E4909" t="str">
        <f>HYPERLINK("J:\Depot - mpkCCD Fractions\Main Web Page\Web Pages_old\proteomic_fractions_linear_files/Yang_linear_img/110625954.jpg","show blot")</f>
        <v>show blot</v>
      </c>
      <c r="G4909" t="s">
        <v>4704</v>
      </c>
      <c r="I4909" s="6">
        <v>5.3296946981148219</v>
      </c>
      <c r="K4909" s="8"/>
    </row>
    <row r="4910" spans="1:11" ht="15" x14ac:dyDescent="0.25">
      <c r="A4910" s="3" t="str">
        <f>HYPERLINK("proteomic_fractions_linear_files/Yang_linear_img/140969946.jpg", "140969946")</f>
        <v>140969946</v>
      </c>
      <c r="C4910" s="3" t="str">
        <f>HYPERLINK("http://www.ncbi.nlm.nih.gov/protein/140969946","Ndufv3")</f>
        <v>Ndufv3</v>
      </c>
      <c r="E4910" t="str">
        <f>HYPERLINK("J:\Depot - mpkCCD Fractions\Main Web Page\Web Pages_old\proteomic_fractions_linear_files/Yang_linear_img/140969946.jpg","show blot")</f>
        <v>show blot</v>
      </c>
      <c r="G4910" t="s">
        <v>4705</v>
      </c>
      <c r="I4910" s="6">
        <v>4.1261635830305474</v>
      </c>
      <c r="K4910" s="8"/>
    </row>
    <row r="4911" spans="1:11" ht="15" x14ac:dyDescent="0.25">
      <c r="A4911" s="3" t="str">
        <f>HYPERLINK("proteomic_fractions_linear_files/Yang_linear_img/140972309.jpg", "140972309")</f>
        <v>140972309</v>
      </c>
      <c r="C4911" s="3" t="str">
        <f>HYPERLINK("http://www.ncbi.nlm.nih.gov/protein/140972309","Ndufv3")</f>
        <v>Ndufv3</v>
      </c>
      <c r="E4911" t="str">
        <f>HYPERLINK("J:\Depot - mpkCCD Fractions\Main Web Page\Web Pages_old\proteomic_fractions_linear_files/Yang_linear_img/140972309.jpg","show blot")</f>
        <v>show blot</v>
      </c>
      <c r="G4911" t="s">
        <v>4706</v>
      </c>
      <c r="I4911" s="6">
        <v>4.1261635830305474</v>
      </c>
      <c r="K4911" s="8"/>
    </row>
    <row r="4912" spans="1:11" ht="15" x14ac:dyDescent="0.25">
      <c r="A4912" s="3" t="str">
        <f>HYPERLINK("proteomic_fractions_linear_files/Yang_linear_img/21311871.jpg", "21311871")</f>
        <v>21311871</v>
      </c>
      <c r="C4912" s="3" t="str">
        <f>HYPERLINK("http://www.ncbi.nlm.nih.gov/protein/21311871","Nebl")</f>
        <v>Nebl</v>
      </c>
      <c r="E4912" t="str">
        <f>HYPERLINK("J:\Depot - mpkCCD Fractions\Main Web Page\Web Pages_old\proteomic_fractions_linear_files/Yang_linear_img/21311871.jpg","show blot")</f>
        <v>show blot</v>
      </c>
      <c r="G4912" t="s">
        <v>4707</v>
      </c>
      <c r="I4912" s="6">
        <v>3.4066786020024913</v>
      </c>
      <c r="K4912" s="8"/>
    </row>
    <row r="4913" spans="1:11" ht="15" x14ac:dyDescent="0.25">
      <c r="A4913" s="3" t="str">
        <f>HYPERLINK("proteomic_fractions_linear_files/Yang_linear_img/27229051.jpg", "27229051")</f>
        <v>27229051</v>
      </c>
      <c r="C4913" s="3" t="str">
        <f>HYPERLINK("http://www.ncbi.nlm.nih.gov/protein/27229051","Necap1")</f>
        <v>Necap1</v>
      </c>
      <c r="E4913" t="str">
        <f>HYPERLINK("J:\Depot - mpkCCD Fractions\Main Web Page\Web Pages_old\proteomic_fractions_linear_files/Yang_linear_img/27229051.jpg","show blot")</f>
        <v>show blot</v>
      </c>
      <c r="G4913" t="s">
        <v>4708</v>
      </c>
      <c r="I4913" s="6">
        <v>3.887064588946505</v>
      </c>
      <c r="K4913" s="8"/>
    </row>
    <row r="4914" spans="1:11" ht="15" x14ac:dyDescent="0.25">
      <c r="A4914" s="3" t="str">
        <f>HYPERLINK("proteomic_fractions_linear_files/Yang_linear_img/13384758.jpg", "13384758")</f>
        <v>13384758</v>
      </c>
      <c r="C4914" s="3" t="str">
        <f>HYPERLINK("http://www.ncbi.nlm.nih.gov/protein/13384758","Necap2")</f>
        <v>Necap2</v>
      </c>
      <c r="E4914" t="str">
        <f>HYPERLINK("J:\Depot - mpkCCD Fractions\Main Web Page\Web Pages_old\proteomic_fractions_linear_files/Yang_linear_img/13384758.jpg","show blot")</f>
        <v>show blot</v>
      </c>
      <c r="G4914" t="s">
        <v>4709</v>
      </c>
      <c r="I4914" s="6">
        <v>4.6707197230537769</v>
      </c>
      <c r="K4914" s="8"/>
    </row>
    <row r="4915" spans="1:11" ht="15" x14ac:dyDescent="0.25">
      <c r="A4915" s="3" t="str">
        <f>HYPERLINK("proteomic_fractions_linear_files/Yang_linear_img/171543875.jpg", "171543875")</f>
        <v>171543875</v>
      </c>
      <c r="C4915" s="3" t="str">
        <f>HYPERLINK("http://www.ncbi.nlm.nih.gov/protein/171543875","Nedd1")</f>
        <v>Nedd1</v>
      </c>
      <c r="E4915" t="str">
        <f>HYPERLINK("J:\Depot - mpkCCD Fractions\Main Web Page\Web Pages_old\proteomic_fractions_linear_files/Yang_linear_img/171543875.jpg","show blot")</f>
        <v>show blot</v>
      </c>
      <c r="G4915" t="s">
        <v>4710</v>
      </c>
      <c r="I4915" s="6">
        <v>2.8248821386421898</v>
      </c>
      <c r="K4915" s="8"/>
    </row>
    <row r="4916" spans="1:11" ht="15" x14ac:dyDescent="0.25">
      <c r="A4916" s="3" t="str">
        <f>HYPERLINK("proteomic_fractions_linear_files/Yang_linear_img/56699423.jpg", "56699423")</f>
        <v>56699423</v>
      </c>
      <c r="C4916" s="3" t="str">
        <f>HYPERLINK("http://www.ncbi.nlm.nih.gov/protein/56699423","Nedd4")</f>
        <v>Nedd4</v>
      </c>
      <c r="E4916" t="str">
        <f>HYPERLINK("J:\Depot - mpkCCD Fractions\Main Web Page\Web Pages_old\proteomic_fractions_linear_files/Yang_linear_img/56699423.jpg","show blot")</f>
        <v>show blot</v>
      </c>
      <c r="G4916" t="s">
        <v>4711</v>
      </c>
      <c r="I4916" s="6">
        <v>5.4960948315711331</v>
      </c>
      <c r="K4916" s="8"/>
    </row>
    <row r="4917" spans="1:11" ht="15" x14ac:dyDescent="0.25">
      <c r="A4917" s="3" t="str">
        <f>HYPERLINK("proteomic_fractions_linear_files/Yang_linear_img/167466243.jpg", "167466243")</f>
        <v>167466243</v>
      </c>
      <c r="C4917" s="3" t="str">
        <f>HYPERLINK("http://www.ncbi.nlm.nih.gov/protein/167466243","Nedd4l")</f>
        <v>Nedd4l</v>
      </c>
      <c r="E4917" t="str">
        <f>HYPERLINK("J:\Depot - mpkCCD Fractions\Main Web Page\Web Pages_old\proteomic_fractions_linear_files/Yang_linear_img/167466243.jpg","show blot")</f>
        <v>show blot</v>
      </c>
      <c r="G4917" t="s">
        <v>4712</v>
      </c>
      <c r="I4917" s="6">
        <v>4.5311626017554198</v>
      </c>
      <c r="K4917" s="8"/>
    </row>
    <row r="4918" spans="1:11" ht="15" x14ac:dyDescent="0.25">
      <c r="A4918" s="3" t="str">
        <f>HYPERLINK("proteomic_fractions_linear_files/Yang_linear_img/167466245.jpg", "167466245")</f>
        <v>167466245</v>
      </c>
      <c r="C4918" s="3" t="str">
        <f>HYPERLINK("http://www.ncbi.nlm.nih.gov/protein/167466245","Nedd4l")</f>
        <v>Nedd4l</v>
      </c>
      <c r="E4918" t="str">
        <f>HYPERLINK("J:\Depot - mpkCCD Fractions\Main Web Page\Web Pages_old\proteomic_fractions_linear_files/Yang_linear_img/167466245.jpg","show blot")</f>
        <v>show blot</v>
      </c>
      <c r="G4918" t="s">
        <v>4713</v>
      </c>
      <c r="I4918" s="6">
        <v>4.5311626017554198</v>
      </c>
      <c r="K4918" s="8"/>
    </row>
    <row r="4919" spans="1:11" ht="15" x14ac:dyDescent="0.25">
      <c r="A4919" s="3" t="str">
        <f>HYPERLINK("proteomic_fractions_linear_files/Yang_linear_img/6679034.jpg", "6679034")</f>
        <v>6679034</v>
      </c>
      <c r="C4919" s="3" t="str">
        <f>HYPERLINK("http://www.ncbi.nlm.nih.gov/protein/6679034","Nedd8")</f>
        <v>Nedd8</v>
      </c>
      <c r="E4919" t="str">
        <f>HYPERLINK("J:\Depot - mpkCCD Fractions\Main Web Page\Web Pages_old\proteomic_fractions_linear_files/Yang_linear_img/6679034.jpg","show blot")</f>
        <v>show blot</v>
      </c>
      <c r="G4919" t="s">
        <v>4714</v>
      </c>
      <c r="I4919" s="6">
        <v>4.0198847652047878</v>
      </c>
      <c r="K4919" s="8"/>
    </row>
    <row r="4920" spans="1:11" ht="15" x14ac:dyDescent="0.25">
      <c r="A4920" s="3" t="str">
        <f>HYPERLINK("proteomic_fractions_linear_files/Yang_linear_img/22094129.jpg", "22094129")</f>
        <v>22094129</v>
      </c>
      <c r="C4920" s="3" t="str">
        <f>HYPERLINK("http://www.ncbi.nlm.nih.gov/protein/22094129","Neil1")</f>
        <v>Neil1</v>
      </c>
      <c r="E4920" t="str">
        <f>HYPERLINK("J:\Depot - mpkCCD Fractions\Main Web Page\Web Pages_old\proteomic_fractions_linear_files/Yang_linear_img/22094129.jpg","show blot")</f>
        <v>show blot</v>
      </c>
      <c r="G4920" t="s">
        <v>4715</v>
      </c>
      <c r="I4920" s="6">
        <v>2.0211892990699383</v>
      </c>
      <c r="K4920" s="8"/>
    </row>
    <row r="4921" spans="1:11" ht="15" x14ac:dyDescent="0.25">
      <c r="A4921" s="3" t="str">
        <f>HYPERLINK("proteomic_fractions_linear_files/Yang_linear_img/124107627.jpg", "124107627")</f>
        <v>124107627</v>
      </c>
      <c r="C4921" s="3" t="str">
        <f>HYPERLINK("http://www.ncbi.nlm.nih.gov/protein/124107627","Nek1")</f>
        <v>Nek1</v>
      </c>
      <c r="E4921" t="str">
        <f>HYPERLINK("J:\Depot - mpkCCD Fractions\Main Web Page\Web Pages_old\proteomic_fractions_linear_files/Yang_linear_img/124107627.jpg","show blot")</f>
        <v>show blot</v>
      </c>
      <c r="G4921" t="s">
        <v>4716</v>
      </c>
      <c r="I4921" s="6">
        <v>3.845685516927138</v>
      </c>
      <c r="K4921" s="8"/>
    </row>
    <row r="4922" spans="1:11" ht="15" x14ac:dyDescent="0.25">
      <c r="A4922" s="3" t="str">
        <f>HYPERLINK("proteomic_fractions_linear_files/Yang_linear_img/11037794.jpg", "11037794")</f>
        <v>11037794</v>
      </c>
      <c r="C4922" s="3" t="str">
        <f>HYPERLINK("http://www.ncbi.nlm.nih.gov/protein/11037794","Nek6")</f>
        <v>Nek6</v>
      </c>
      <c r="E4922" t="str">
        <f>HYPERLINK("J:\Depot - mpkCCD Fractions\Main Web Page\Web Pages_old\proteomic_fractions_linear_files/Yang_linear_img/11037794.jpg","show blot")</f>
        <v>show blot</v>
      </c>
      <c r="G4922" t="s">
        <v>4717</v>
      </c>
      <c r="I4922" s="6">
        <v>4.3203215705920073</v>
      </c>
      <c r="K4922" s="8"/>
    </row>
    <row r="4923" spans="1:11" ht="15" x14ac:dyDescent="0.25">
      <c r="A4923" s="3" t="str">
        <f>HYPERLINK("proteomic_fractions_linear_files/Yang_linear_img/11037792.jpg", "11037792")</f>
        <v>11037792</v>
      </c>
      <c r="C4923" s="3" t="str">
        <f>HYPERLINK("http://www.ncbi.nlm.nih.gov/protein/11037792","Nek7")</f>
        <v>Nek7</v>
      </c>
      <c r="E4923" t="str">
        <f>HYPERLINK("J:\Depot - mpkCCD Fractions\Main Web Page\Web Pages_old\proteomic_fractions_linear_files/Yang_linear_img/11037792.jpg","show blot")</f>
        <v>show blot</v>
      </c>
      <c r="G4923" t="s">
        <v>4718</v>
      </c>
      <c r="I4923" s="6">
        <v>5.0493809939971079</v>
      </c>
      <c r="K4923" s="8"/>
    </row>
    <row r="4924" spans="1:11" ht="15" x14ac:dyDescent="0.25">
      <c r="A4924" s="3" t="str">
        <f>HYPERLINK("proteomic_fractions_linear_files/Yang_linear_img/158631240.jpg", "158631240")</f>
        <v>158631240</v>
      </c>
      <c r="C4924" s="3" t="str">
        <f>HYPERLINK("http://www.ncbi.nlm.nih.gov/protein/158631240","Nek9")</f>
        <v>Nek9</v>
      </c>
      <c r="E4924" t="str">
        <f>HYPERLINK("J:\Depot - mpkCCD Fractions\Main Web Page\Web Pages_old\proteomic_fractions_linear_files/Yang_linear_img/158631240.jpg","show blot")</f>
        <v>show blot</v>
      </c>
      <c r="G4924" t="s">
        <v>4719</v>
      </c>
      <c r="I4924" s="6">
        <v>4.3639433054077506</v>
      </c>
      <c r="K4924" s="8"/>
    </row>
    <row r="4925" spans="1:11" ht="15" x14ac:dyDescent="0.25">
      <c r="A4925" s="3" t="str">
        <f>HYPERLINK("proteomic_fractions_linear_files/Yang_linear_img/33859652.jpg", "33859652")</f>
        <v>33859652</v>
      </c>
      <c r="C4925" s="3" t="str">
        <f>HYPERLINK("http://www.ncbi.nlm.nih.gov/protein/33859652","Nelfa")</f>
        <v>Nelfa</v>
      </c>
      <c r="E4925" t="str">
        <f>HYPERLINK("J:\Depot - mpkCCD Fractions\Main Web Page\Web Pages_old\proteomic_fractions_linear_files/Yang_linear_img/33859652.jpg","show blot")</f>
        <v>show blot</v>
      </c>
      <c r="G4925" t="s">
        <v>4720</v>
      </c>
      <c r="I4925" s="6">
        <v>4.0332505966503129</v>
      </c>
      <c r="K4925" s="8"/>
    </row>
    <row r="4926" spans="1:11" ht="15" x14ac:dyDescent="0.25">
      <c r="A4926" s="3" t="str">
        <f>HYPERLINK("proteomic_fractions_linear_files/Yang_linear_img/165377251.jpg", "165377251")</f>
        <v>165377251</v>
      </c>
      <c r="C4926" s="3" t="str">
        <f>HYPERLINK("http://www.ncbi.nlm.nih.gov/protein/165377251","Nelfb")</f>
        <v>Nelfb</v>
      </c>
      <c r="E4926" t="str">
        <f>HYPERLINK("J:\Depot - mpkCCD Fractions\Main Web Page\Web Pages_old\proteomic_fractions_linear_files/Yang_linear_img/165377251.jpg","show blot")</f>
        <v>show blot</v>
      </c>
      <c r="G4926" t="s">
        <v>4721</v>
      </c>
      <c r="I4926" s="6">
        <v>4.8474007838131401</v>
      </c>
      <c r="K4926" s="8"/>
    </row>
    <row r="4927" spans="1:11" ht="15" x14ac:dyDescent="0.25">
      <c r="A4927" s="3" t="str">
        <f>HYPERLINK("proteomic_fractions_linear_files/Yang_linear_img/91982765.jpg", "91982765")</f>
        <v>91982765</v>
      </c>
      <c r="C4927" s="3" t="str">
        <f>HYPERLINK("http://www.ncbi.nlm.nih.gov/protein/91982765","Nelfcd")</f>
        <v>Nelfcd</v>
      </c>
      <c r="E4927" t="str">
        <f>HYPERLINK("J:\Depot - mpkCCD Fractions\Main Web Page\Web Pages_old\proteomic_fractions_linear_files/Yang_linear_img/91982765.jpg","show blot")</f>
        <v>show blot</v>
      </c>
      <c r="G4927" t="s">
        <v>4722</v>
      </c>
      <c r="I4927" s="6">
        <v>4.802720054220786</v>
      </c>
      <c r="K4927" s="8"/>
    </row>
    <row r="4928" spans="1:11" ht="15" x14ac:dyDescent="0.25">
      <c r="A4928" s="3" t="str">
        <f>HYPERLINK("proteomic_fractions_linear_files/Yang_linear_img/114052226.jpg", "114052226")</f>
        <v>114052226</v>
      </c>
      <c r="C4928" s="3" t="str">
        <f>HYPERLINK("http://www.ncbi.nlm.nih.gov/protein/114052226","Nelfe")</f>
        <v>Nelfe</v>
      </c>
      <c r="E4928" t="str">
        <f>HYPERLINK("J:\Depot - mpkCCD Fractions\Main Web Page\Web Pages_old\proteomic_fractions_linear_files/Yang_linear_img/114052226.jpg","show blot")</f>
        <v>show blot</v>
      </c>
      <c r="G4928" t="s">
        <v>4723</v>
      </c>
      <c r="I4928" s="6">
        <v>4.6490946084173022</v>
      </c>
      <c r="K4928" s="8"/>
    </row>
    <row r="4929" spans="1:11" ht="15" x14ac:dyDescent="0.25">
      <c r="A4929" s="3" t="str">
        <f>HYPERLINK("proteomic_fractions_linear_files/Yang_linear_img/32130521.jpg", "32130521")</f>
        <v>32130521</v>
      </c>
      <c r="C4929" s="3" t="str">
        <f>HYPERLINK("http://www.ncbi.nlm.nih.gov/protein/32130521","Nemf")</f>
        <v>Nemf</v>
      </c>
      <c r="E4929" t="str">
        <f>HYPERLINK("J:\Depot - mpkCCD Fractions\Main Web Page\Web Pages_old\proteomic_fractions_linear_files/Yang_linear_img/32130521.jpg","show blot")</f>
        <v>show blot</v>
      </c>
      <c r="G4929" t="s">
        <v>4724</v>
      </c>
      <c r="I4929" s="6">
        <v>4.7421576353491499</v>
      </c>
      <c r="K4929" s="8"/>
    </row>
    <row r="4930" spans="1:11" ht="15" x14ac:dyDescent="0.25">
      <c r="A4930" s="3" t="str">
        <f>HYPERLINK("proteomic_fractions_linear_files/Yang_linear_img/13384818.jpg", "13384818")</f>
        <v>13384818</v>
      </c>
      <c r="C4930" s="3" t="str">
        <f>HYPERLINK("http://www.ncbi.nlm.nih.gov/protein/13384818","Nenf")</f>
        <v>Nenf</v>
      </c>
      <c r="E4930" t="str">
        <f>HYPERLINK("J:\Depot - mpkCCD Fractions\Main Web Page\Web Pages_old\proteomic_fractions_linear_files/Yang_linear_img/13384818.jpg","show blot")</f>
        <v>show blot</v>
      </c>
      <c r="G4930" t="s">
        <v>4725</v>
      </c>
      <c r="I4930" s="6">
        <v>2.7929604528158061</v>
      </c>
      <c r="K4930" s="8"/>
    </row>
    <row r="4931" spans="1:11" ht="15" x14ac:dyDescent="0.25">
      <c r="A4931" s="3" t="str">
        <f>HYPERLINK("proteomic_fractions_linear_files/Yang_linear_img/112363082.jpg", "112363082")</f>
        <v>112363082</v>
      </c>
      <c r="C4931" s="3" t="str">
        <f>HYPERLINK("http://www.ncbi.nlm.nih.gov/protein/112363082","Neo1")</f>
        <v>Neo1</v>
      </c>
      <c r="E4931" t="str">
        <f>HYPERLINK("J:\Depot - mpkCCD Fractions\Main Web Page\Web Pages_old\proteomic_fractions_linear_files/Yang_linear_img/112363082.jpg","show blot")</f>
        <v>show blot</v>
      </c>
      <c r="G4931" t="s">
        <v>4726</v>
      </c>
      <c r="I4931" s="6">
        <v>2.8043572519573519</v>
      </c>
      <c r="K4931" s="8"/>
    </row>
    <row r="4932" spans="1:11" ht="15" x14ac:dyDescent="0.25">
      <c r="A4932" s="3" t="str">
        <f>HYPERLINK("proteomic_fractions_linear_files/Yang_linear_img/112363084.jpg", "112363084")</f>
        <v>112363084</v>
      </c>
      <c r="C4932" s="3" t="str">
        <f>HYPERLINK("http://www.ncbi.nlm.nih.gov/protein/112363084","Neo1")</f>
        <v>Neo1</v>
      </c>
      <c r="E4932" t="str">
        <f>HYPERLINK("J:\Depot - mpkCCD Fractions\Main Web Page\Web Pages_old\proteomic_fractions_linear_files/Yang_linear_img/112363084.jpg","show blot")</f>
        <v>show blot</v>
      </c>
      <c r="G4932" t="s">
        <v>4727</v>
      </c>
      <c r="I4932" s="6">
        <v>2.8043572519573519</v>
      </c>
      <c r="K4932" s="8"/>
    </row>
    <row r="4933" spans="1:11" ht="15" x14ac:dyDescent="0.25">
      <c r="A4933" s="3" t="str">
        <f>HYPERLINK("proteomic_fractions_linear_files/Yang_linear_img/50363232.jpg", "50363232")</f>
        <v>50363232</v>
      </c>
      <c r="C4933" s="3" t="str">
        <f>HYPERLINK("http://www.ncbi.nlm.nih.gov/protein/50363232","Nes")</f>
        <v>Nes</v>
      </c>
      <c r="E4933" t="str">
        <f>HYPERLINK("J:\Depot - mpkCCD Fractions\Main Web Page\Web Pages_old\proteomic_fractions_linear_files/Yang_linear_img/50363232.jpg","show blot")</f>
        <v>show blot</v>
      </c>
      <c r="G4933" t="s">
        <v>4728</v>
      </c>
      <c r="I4933" s="6">
        <v>4.4935972715256662</v>
      </c>
      <c r="K4933" s="8"/>
    </row>
    <row r="4934" spans="1:11" ht="15" x14ac:dyDescent="0.25">
      <c r="A4934" s="3" t="str">
        <f>HYPERLINK("proteomic_fractions_linear_files/Yang_linear_img/254939721.jpg", "254939721")</f>
        <v>254939721</v>
      </c>
      <c r="C4934" s="3" t="str">
        <f>HYPERLINK("http://www.ncbi.nlm.nih.gov/protein/254939721","Neu1")</f>
        <v>Neu1</v>
      </c>
      <c r="E4934" t="str">
        <f>HYPERLINK("J:\Depot - mpkCCD Fractions\Main Web Page\Web Pages_old\proteomic_fractions_linear_files/Yang_linear_img/254939721.jpg","show blot")</f>
        <v>show blot</v>
      </c>
      <c r="G4934" t="s">
        <v>4729</v>
      </c>
      <c r="I4934" s="6">
        <v>4.4120273815606597</v>
      </c>
      <c r="K4934" s="8"/>
    </row>
    <row r="4935" spans="1:11" ht="15" x14ac:dyDescent="0.25">
      <c r="A4935" s="3" t="str">
        <f>HYPERLINK("proteomic_fractions_linear_files/Yang_linear_img/240849436.jpg", "240849436")</f>
        <v>240849436</v>
      </c>
      <c r="C4935" s="3" t="str">
        <f>HYPERLINK("http://www.ncbi.nlm.nih.gov/protein/240849436","Nexn")</f>
        <v>Nexn</v>
      </c>
      <c r="E4935" t="str">
        <f>HYPERLINK("J:\Depot - mpkCCD Fractions\Main Web Page\Web Pages_old\proteomic_fractions_linear_files/Yang_linear_img/240849436.jpg","show blot")</f>
        <v>show blot</v>
      </c>
      <c r="G4935" t="s">
        <v>4730</v>
      </c>
      <c r="I4935" s="6">
        <v>5.5032710926009774</v>
      </c>
      <c r="K4935" s="8"/>
    </row>
    <row r="4936" spans="1:11" ht="15" x14ac:dyDescent="0.25">
      <c r="A4936" s="3" t="str">
        <f>HYPERLINK("proteomic_fractions_linear_files/Yang_linear_img/34878892.jpg", "34878892")</f>
        <v>34878892</v>
      </c>
      <c r="C4936" s="3" t="str">
        <f>HYPERLINK("http://www.ncbi.nlm.nih.gov/protein/34878892","Nf1")</f>
        <v>Nf1</v>
      </c>
      <c r="E4936" t="str">
        <f>HYPERLINK("J:\Depot - mpkCCD Fractions\Main Web Page\Web Pages_old\proteomic_fractions_linear_files/Yang_linear_img/34878892.jpg","show blot")</f>
        <v>show blot</v>
      </c>
      <c r="G4936" t="s">
        <v>4731</v>
      </c>
      <c r="I4936" s="6">
        <v>3.3163781456987413</v>
      </c>
      <c r="K4936" s="8"/>
    </row>
    <row r="4937" spans="1:11" ht="15" x14ac:dyDescent="0.25">
      <c r="A4937" s="3" t="str">
        <f>HYPERLINK("proteomic_fractions_linear_files/Yang_linear_img/117606364.jpg", "117606364")</f>
        <v>117606364</v>
      </c>
      <c r="C4937" s="3" t="str">
        <f>HYPERLINK("http://www.ncbi.nlm.nih.gov/protein/117606364","Nfkb1")</f>
        <v>Nfkb1</v>
      </c>
      <c r="E4937" t="str">
        <f>HYPERLINK("J:\Depot - mpkCCD Fractions\Main Web Page\Web Pages_old\proteomic_fractions_linear_files/Yang_linear_img/117606364.jpg","show blot")</f>
        <v>show blot</v>
      </c>
      <c r="G4937" t="s">
        <v>4732</v>
      </c>
      <c r="I4937" s="6">
        <v>4.6205196957580617</v>
      </c>
      <c r="K4937" s="8"/>
    </row>
    <row r="4938" spans="1:11" ht="15" x14ac:dyDescent="0.25">
      <c r="A4938" s="3" t="str">
        <f>HYPERLINK("proteomic_fractions_linear_files/Yang_linear_img/293651548.jpg", "293651548")</f>
        <v>293651548</v>
      </c>
      <c r="C4938" s="3" t="str">
        <f>HYPERLINK("http://www.ncbi.nlm.nih.gov/protein/293651548","Nfkb2")</f>
        <v>Nfkb2</v>
      </c>
      <c r="E4938" t="str">
        <f>HYPERLINK("J:\Depot - mpkCCD Fractions\Main Web Page\Web Pages_old\proteomic_fractions_linear_files/Yang_linear_img/293651548.jpg","show blot")</f>
        <v>show blot</v>
      </c>
      <c r="G4938" t="s">
        <v>4733</v>
      </c>
      <c r="I4938" s="6">
        <v>4.7356074945096127</v>
      </c>
      <c r="K4938" s="8"/>
    </row>
    <row r="4939" spans="1:11" ht="15" x14ac:dyDescent="0.25">
      <c r="A4939" s="3" t="str">
        <f>HYPERLINK("proteomic_fractions_linear_files/Yang_linear_img/9506921.jpg", "9506921")</f>
        <v>9506921</v>
      </c>
      <c r="C4939" s="3" t="str">
        <f>HYPERLINK("http://www.ncbi.nlm.nih.gov/protein/9506921","Nfkb2")</f>
        <v>Nfkb2</v>
      </c>
      <c r="E4939" t="str">
        <f>HYPERLINK("J:\Depot - mpkCCD Fractions\Main Web Page\Web Pages_old\proteomic_fractions_linear_files/Yang_linear_img/9506921.jpg","show blot")</f>
        <v>show blot</v>
      </c>
      <c r="G4939" t="s">
        <v>4734</v>
      </c>
      <c r="I4939" s="6">
        <v>4.7356074945096127</v>
      </c>
      <c r="K4939" s="8"/>
    </row>
    <row r="4940" spans="1:11" ht="15" x14ac:dyDescent="0.25">
      <c r="A4940" s="3" t="str">
        <f>HYPERLINK("proteomic_fractions_linear_files/Yang_linear_img/226052096.jpg", "226052096")</f>
        <v>226052096</v>
      </c>
      <c r="C4940" s="3" t="str">
        <f>HYPERLINK("http://www.ncbi.nlm.nih.gov/protein/226052096","Nfkbia")</f>
        <v>Nfkbia</v>
      </c>
      <c r="E4940" t="str">
        <f>HYPERLINK("J:\Depot - mpkCCD Fractions\Main Web Page\Web Pages_old\proteomic_fractions_linear_files/Yang_linear_img/226052096.jpg","show blot")</f>
        <v>show blot</v>
      </c>
      <c r="G4940" t="s">
        <v>4735</v>
      </c>
      <c r="I4940" s="6">
        <v>2.9450565359241918</v>
      </c>
      <c r="K4940" s="8"/>
    </row>
    <row r="4941" spans="1:11" ht="15" x14ac:dyDescent="0.25">
      <c r="A4941" s="3" t="str">
        <f>HYPERLINK("proteomic_fractions_linear_files/Yang_linear_img/24111253.jpg", "24111253")</f>
        <v>24111253</v>
      </c>
      <c r="C4941" s="3" t="str">
        <f>HYPERLINK("http://www.ncbi.nlm.nih.gov/protein/24111253","Nfkbib")</f>
        <v>Nfkbib</v>
      </c>
      <c r="E4941" t="str">
        <f>HYPERLINK("J:\Depot - mpkCCD Fractions\Main Web Page\Web Pages_old\proteomic_fractions_linear_files/Yang_linear_img/24111253.jpg","show blot")</f>
        <v>show blot</v>
      </c>
      <c r="G4941" t="s">
        <v>4736</v>
      </c>
      <c r="I4941" s="6">
        <v>1.6769341493606769</v>
      </c>
      <c r="K4941" s="8"/>
    </row>
    <row r="4942" spans="1:11" ht="15" x14ac:dyDescent="0.25">
      <c r="A4942" s="3" t="str">
        <f>HYPERLINK("proteomic_fractions_linear_files/Yang_linear_img/161016824.jpg", "161016824")</f>
        <v>161016824</v>
      </c>
      <c r="C4942" s="3" t="str">
        <f>HYPERLINK("http://www.ncbi.nlm.nih.gov/protein/161016824","Nfs1")</f>
        <v>Nfs1</v>
      </c>
      <c r="E4942" t="str">
        <f>HYPERLINK("J:\Depot - mpkCCD Fractions\Main Web Page\Web Pages_old\proteomic_fractions_linear_files/Yang_linear_img/161016824.jpg","show blot")</f>
        <v>show blot</v>
      </c>
      <c r="G4942" t="s">
        <v>4737</v>
      </c>
      <c r="I4942" s="6">
        <v>4.8964333759917444</v>
      </c>
      <c r="K4942" s="8"/>
    </row>
    <row r="4943" spans="1:11" ht="15" x14ac:dyDescent="0.25">
      <c r="A4943" s="3" t="str">
        <f>HYPERLINK("proteomic_fractions_linear_files/Yang_linear_img/282154801.jpg", "282154801")</f>
        <v>282154801</v>
      </c>
      <c r="C4943" s="3" t="str">
        <f>HYPERLINK("http://www.ncbi.nlm.nih.gov/protein/282154801","Nfu1")</f>
        <v>Nfu1</v>
      </c>
      <c r="E4943" t="str">
        <f>HYPERLINK("J:\Depot - mpkCCD Fractions\Main Web Page\Web Pages_old\proteomic_fractions_linear_files/Yang_linear_img/282154801.jpg","show blot")</f>
        <v>show blot</v>
      </c>
      <c r="G4943" t="s">
        <v>4738</v>
      </c>
      <c r="I4943" s="6">
        <v>5.1160273773733298</v>
      </c>
      <c r="K4943" s="8"/>
    </row>
    <row r="4944" spans="1:11" ht="15" x14ac:dyDescent="0.25">
      <c r="A4944" s="3" t="str">
        <f>HYPERLINK("proteomic_fractions_linear_files/Yang_linear_img/282154803.jpg", "282154803")</f>
        <v>282154803</v>
      </c>
      <c r="C4944" s="3" t="str">
        <f>HYPERLINK("http://www.ncbi.nlm.nih.gov/protein/282154803","Nfu1")</f>
        <v>Nfu1</v>
      </c>
      <c r="E4944" t="str">
        <f>HYPERLINK("J:\Depot - mpkCCD Fractions\Main Web Page\Web Pages_old\proteomic_fractions_linear_files/Yang_linear_img/282154803.jpg","show blot")</f>
        <v>show blot</v>
      </c>
      <c r="G4944" t="s">
        <v>4739</v>
      </c>
      <c r="I4944" s="6">
        <v>5.1160273773733298</v>
      </c>
      <c r="K4944" s="8"/>
    </row>
    <row r="4945" spans="1:11" ht="15" x14ac:dyDescent="0.25">
      <c r="A4945" s="3" t="str">
        <f>HYPERLINK("proteomic_fractions_linear_files/Yang_linear_img/124301201.jpg", "124301201")</f>
        <v>124301201</v>
      </c>
      <c r="C4945" s="3" t="str">
        <f>HYPERLINK("http://www.ncbi.nlm.nih.gov/protein/124301201","Nfxl1")</f>
        <v>Nfxl1</v>
      </c>
      <c r="E4945" t="str">
        <f>HYPERLINK("J:\Depot - mpkCCD Fractions\Main Web Page\Web Pages_old\proteomic_fractions_linear_files/Yang_linear_img/124301201.jpg","show blot")</f>
        <v>show blot</v>
      </c>
      <c r="G4945" t="s">
        <v>4740</v>
      </c>
      <c r="I4945" s="6">
        <v>2.8418779969775323</v>
      </c>
      <c r="K4945" s="8"/>
    </row>
    <row r="4946" spans="1:11" ht="15" x14ac:dyDescent="0.25">
      <c r="A4946" s="3" t="str">
        <f>HYPERLINK("proteomic_fractions_linear_files/Yang_linear_img/161016831.jpg", "161016831")</f>
        <v>161016831</v>
      </c>
      <c r="C4946" s="3" t="str">
        <f>HYPERLINK("http://www.ncbi.nlm.nih.gov/protein/161016831","Nfya")</f>
        <v>Nfya</v>
      </c>
      <c r="E4946" t="str">
        <f>HYPERLINK("J:\Depot - mpkCCD Fractions\Main Web Page\Web Pages_old\proteomic_fractions_linear_files/Yang_linear_img/161016831.jpg","show blot")</f>
        <v>show blot</v>
      </c>
      <c r="G4946" t="s">
        <v>4741</v>
      </c>
      <c r="I4946" s="6">
        <v>3.3393152559124459</v>
      </c>
      <c r="K4946" s="8"/>
    </row>
    <row r="4947" spans="1:11" ht="15" x14ac:dyDescent="0.25">
      <c r="A4947" s="3" t="str">
        <f>HYPERLINK("proteomic_fractions_linear_files/Yang_linear_img/6754848.jpg", "6754848")</f>
        <v>6754848</v>
      </c>
      <c r="C4947" s="3" t="str">
        <f>HYPERLINK("http://www.ncbi.nlm.nih.gov/protein/6754848","Nfya")</f>
        <v>Nfya</v>
      </c>
      <c r="E4947" t="str">
        <f>HYPERLINK("J:\Depot - mpkCCD Fractions\Main Web Page\Web Pages_old\proteomic_fractions_linear_files/Yang_linear_img/6754848.jpg","show blot")</f>
        <v>show blot</v>
      </c>
      <c r="G4947" t="s">
        <v>4742</v>
      </c>
      <c r="I4947" s="6">
        <v>3.3393152559124459</v>
      </c>
      <c r="K4947" s="8"/>
    </row>
    <row r="4948" spans="1:11" ht="15" x14ac:dyDescent="0.25">
      <c r="A4948" s="3" t="str">
        <f>HYPERLINK("proteomic_fractions_linear_files/Yang_linear_img/31560663.jpg", "31560663")</f>
        <v>31560663</v>
      </c>
      <c r="C4948" s="3" t="str">
        <f>HYPERLINK("http://www.ncbi.nlm.nih.gov/protein/31560663","Nfyc")</f>
        <v>Nfyc</v>
      </c>
      <c r="E4948" t="str">
        <f>HYPERLINK("J:\Depot - mpkCCD Fractions\Main Web Page\Web Pages_old\proteomic_fractions_linear_files/Yang_linear_img/31560663.jpg","show blot")</f>
        <v>show blot</v>
      </c>
      <c r="G4948" t="s">
        <v>4743</v>
      </c>
      <c r="I4948" s="6">
        <v>2.4901483681436587</v>
      </c>
      <c r="K4948" s="8"/>
    </row>
    <row r="4949" spans="1:11" ht="15" x14ac:dyDescent="0.25">
      <c r="A4949" s="3" t="str">
        <f>HYPERLINK("proteomic_fractions_linear_files/Yang_linear_img/162417957.jpg", "162417957")</f>
        <v>162417957</v>
      </c>
      <c r="C4949" s="3" t="str">
        <f>HYPERLINK("http://www.ncbi.nlm.nih.gov/protein/162417957","Ngef")</f>
        <v>Ngef</v>
      </c>
      <c r="E4949" t="str">
        <f>HYPERLINK("J:\Depot - mpkCCD Fractions\Main Web Page\Web Pages_old\proteomic_fractions_linear_files/Yang_linear_img/162417957.jpg","show blot")</f>
        <v>show blot</v>
      </c>
      <c r="G4949" t="s">
        <v>4744</v>
      </c>
      <c r="I4949" s="6">
        <v>2.3262781512107868</v>
      </c>
      <c r="K4949" s="8"/>
    </row>
    <row r="4950" spans="1:11" ht="15" x14ac:dyDescent="0.25">
      <c r="A4950" s="3" t="str">
        <f>HYPERLINK("proteomic_fractions_linear_files/Yang_linear_img/162417959.jpg", "162417959")</f>
        <v>162417959</v>
      </c>
      <c r="C4950" s="3" t="str">
        <f>HYPERLINK("http://www.ncbi.nlm.nih.gov/protein/162417959","Ngef")</f>
        <v>Ngef</v>
      </c>
      <c r="E4950" t="str">
        <f>HYPERLINK("J:\Depot - mpkCCD Fractions\Main Web Page\Web Pages_old\proteomic_fractions_linear_files/Yang_linear_img/162417959.jpg","show blot")</f>
        <v>show blot</v>
      </c>
      <c r="G4950" t="s">
        <v>4745</v>
      </c>
      <c r="I4950" s="6">
        <v>2.3262781512107868</v>
      </c>
      <c r="K4950" s="8"/>
    </row>
    <row r="4951" spans="1:11" ht="15" x14ac:dyDescent="0.25">
      <c r="A4951" s="3" t="str">
        <f>HYPERLINK("proteomic_fractions_linear_files/Yang_linear_img/158517917.jpg", "158517917")</f>
        <v>158517917</v>
      </c>
      <c r="C4951" s="3" t="str">
        <f>HYPERLINK("http://www.ncbi.nlm.nih.gov/protein/158517917","Nhej1")</f>
        <v>Nhej1</v>
      </c>
      <c r="E4951" t="str">
        <f>HYPERLINK("J:\Depot - mpkCCD Fractions\Main Web Page\Web Pages_old\proteomic_fractions_linear_files/Yang_linear_img/158517917.jpg","show blot")</f>
        <v>show blot</v>
      </c>
      <c r="G4951" t="s">
        <v>4746</v>
      </c>
      <c r="I4951" s="6">
        <v>1.2610825513799371</v>
      </c>
      <c r="K4951" s="8"/>
    </row>
    <row r="4952" spans="1:11" ht="15" x14ac:dyDescent="0.25">
      <c r="A4952" s="3" t="str">
        <f>HYPERLINK("proteomic_fractions_linear_files/Yang_linear_img/29789158.jpg", "29789158")</f>
        <v>29789158</v>
      </c>
      <c r="C4952" s="3" t="str">
        <f>HYPERLINK("http://www.ncbi.nlm.nih.gov/protein/29789158","Nhlrc2")</f>
        <v>Nhlrc2</v>
      </c>
      <c r="E4952" t="str">
        <f>HYPERLINK("J:\Depot - mpkCCD Fractions\Main Web Page\Web Pages_old\proteomic_fractions_linear_files/Yang_linear_img/29789158.jpg","show blot")</f>
        <v>show blot</v>
      </c>
      <c r="G4952" t="s">
        <v>4747</v>
      </c>
      <c r="I4952" s="6">
        <v>4.6045287513096138</v>
      </c>
      <c r="K4952" s="8"/>
    </row>
    <row r="4953" spans="1:11" ht="15" x14ac:dyDescent="0.25">
      <c r="A4953" s="3" t="str">
        <f>HYPERLINK("proteomic_fractions_linear_files/Yang_linear_img/27369692.jpg", "27369692")</f>
        <v>27369692</v>
      </c>
      <c r="C4953" s="3" t="str">
        <f>HYPERLINK("http://www.ncbi.nlm.nih.gov/protein/27369692","Nhlrc3")</f>
        <v>Nhlrc3</v>
      </c>
      <c r="E4953" t="str">
        <f>HYPERLINK("J:\Depot - mpkCCD Fractions\Main Web Page\Web Pages_old\proteomic_fractions_linear_files/Yang_linear_img/27369692.jpg","show blot")</f>
        <v>show blot</v>
      </c>
      <c r="G4953" t="s">
        <v>4748</v>
      </c>
      <c r="I4953" s="6">
        <v>4.5915419540575861</v>
      </c>
      <c r="K4953" s="8"/>
    </row>
    <row r="4954" spans="1:11" ht="15" x14ac:dyDescent="0.25">
      <c r="A4954" s="3" t="str">
        <f>HYPERLINK("proteomic_fractions_linear_files/Yang_linear_img/13386120.jpg", "13386120")</f>
        <v>13386120</v>
      </c>
      <c r="C4954" s="3" t="str">
        <f>HYPERLINK("http://www.ncbi.nlm.nih.gov/protein/13386120","Nhp2")</f>
        <v>Nhp2</v>
      </c>
      <c r="E4954" t="str">
        <f>HYPERLINK("J:\Depot - mpkCCD Fractions\Main Web Page\Web Pages_old\proteomic_fractions_linear_files/Yang_linear_img/13386120.jpg","show blot")</f>
        <v>show blot</v>
      </c>
      <c r="G4954" t="s">
        <v>4749</v>
      </c>
      <c r="I4954" s="6">
        <v>4.9856205113657879</v>
      </c>
      <c r="K4954" s="8"/>
    </row>
    <row r="4955" spans="1:11" ht="15" x14ac:dyDescent="0.25">
      <c r="A4955" s="3" t="str">
        <f>HYPERLINK("proteomic_fractions_linear_files/Yang_linear_img/124486678.jpg", "124486678")</f>
        <v>124486678</v>
      </c>
      <c r="C4955" s="3" t="str">
        <f>HYPERLINK("http://www.ncbi.nlm.nih.gov/protein/124486678","Nhs")</f>
        <v>Nhs</v>
      </c>
      <c r="E4955" t="str">
        <f>HYPERLINK("J:\Depot - mpkCCD Fractions\Main Web Page\Web Pages_old\proteomic_fractions_linear_files/Yang_linear_img/124486678.jpg","show blot")</f>
        <v>show blot</v>
      </c>
      <c r="G4955" t="s">
        <v>4750</v>
      </c>
      <c r="I4955" s="6">
        <v>1.5552731225136129</v>
      </c>
      <c r="K4955" s="8"/>
    </row>
    <row r="4956" spans="1:11" ht="15" x14ac:dyDescent="0.25">
      <c r="A4956" s="3" t="str">
        <f>HYPERLINK("proteomic_fractions_linear_files/Yang_linear_img/41056093.jpg", "41056093")</f>
        <v>41056093</v>
      </c>
      <c r="C4956" s="3" t="str">
        <f>HYPERLINK("http://www.ncbi.nlm.nih.gov/protein/41056093","Nif3l1")</f>
        <v>Nif3l1</v>
      </c>
      <c r="E4956" t="str">
        <f>HYPERLINK("J:\Depot - mpkCCD Fractions\Main Web Page\Web Pages_old\proteomic_fractions_linear_files/Yang_linear_img/41056093.jpg","show blot")</f>
        <v>show blot</v>
      </c>
      <c r="G4956" t="s">
        <v>4751</v>
      </c>
      <c r="I4956" s="6">
        <v>5.2953334393101557</v>
      </c>
      <c r="K4956" s="8"/>
    </row>
    <row r="4957" spans="1:11" ht="15" x14ac:dyDescent="0.25">
      <c r="A4957" s="3" t="str">
        <f>HYPERLINK("proteomic_fractions_linear_files/Yang_linear_img/224809384.jpg", "224809384")</f>
        <v>224809384</v>
      </c>
      <c r="C4957" s="3" t="str">
        <f>HYPERLINK("http://www.ncbi.nlm.nih.gov/protein/224809384","Nifk")</f>
        <v>Nifk</v>
      </c>
      <c r="E4957" t="str">
        <f>HYPERLINK("J:\Depot - mpkCCD Fractions\Main Web Page\Web Pages_old\proteomic_fractions_linear_files/Yang_linear_img/224809384.jpg","show blot")</f>
        <v>show blot</v>
      </c>
      <c r="G4957" t="s">
        <v>4752</v>
      </c>
      <c r="I4957" s="6">
        <v>3.9772057135247834</v>
      </c>
      <c r="K4957" s="8"/>
    </row>
    <row r="4958" spans="1:11" ht="15" x14ac:dyDescent="0.25">
      <c r="A4958" s="3" t="str">
        <f>HYPERLINK("proteomic_fractions_linear_files/Yang_linear_img/7305315.jpg", "7305315")</f>
        <v>7305315</v>
      </c>
      <c r="C4958" s="3" t="str">
        <f>HYPERLINK("http://www.ncbi.nlm.nih.gov/protein/7305315","Ninj1")</f>
        <v>Ninj1</v>
      </c>
      <c r="E4958" t="str">
        <f>HYPERLINK("J:\Depot - mpkCCD Fractions\Main Web Page\Web Pages_old\proteomic_fractions_linear_files/Yang_linear_img/7305315.jpg","show blot")</f>
        <v>show blot</v>
      </c>
      <c r="G4958" t="s">
        <v>4753</v>
      </c>
      <c r="I4958" s="6">
        <v>1.7297665970021128</v>
      </c>
      <c r="K4958" s="8"/>
    </row>
    <row r="4959" spans="1:11" ht="15" x14ac:dyDescent="0.25">
      <c r="A4959" s="3" t="str">
        <f>HYPERLINK("proteomic_fractions_linear_files/Yang_linear_img/257153334.jpg", "257153334")</f>
        <v>257153334</v>
      </c>
      <c r="C4959" s="3" t="str">
        <f>HYPERLINK("http://www.ncbi.nlm.nih.gov/protein/257153334","Nip7")</f>
        <v>Nip7</v>
      </c>
      <c r="E4959" t="str">
        <f>HYPERLINK("J:\Depot - mpkCCD Fractions\Main Web Page\Web Pages_old\proteomic_fractions_linear_files/Yang_linear_img/257153334.jpg","show blot")</f>
        <v>show blot</v>
      </c>
      <c r="G4959" t="s">
        <v>4754</v>
      </c>
      <c r="I4959" s="6">
        <v>4.6795940826508913</v>
      </c>
      <c r="K4959" s="8"/>
    </row>
    <row r="4960" spans="1:11" ht="15" x14ac:dyDescent="0.25">
      <c r="A4960" s="3" t="str">
        <f>HYPERLINK("proteomic_fractions_linear_files/Yang_linear_img/257153336.jpg", "257153336")</f>
        <v>257153336</v>
      </c>
      <c r="C4960" s="3" t="str">
        <f>HYPERLINK("http://www.ncbi.nlm.nih.gov/protein/257153336","Nip7")</f>
        <v>Nip7</v>
      </c>
      <c r="E4960" t="str">
        <f>HYPERLINK("J:\Depot - mpkCCD Fractions\Main Web Page\Web Pages_old\proteomic_fractions_linear_files/Yang_linear_img/257153336.jpg","show blot")</f>
        <v>show blot</v>
      </c>
      <c r="G4960" t="s">
        <v>4755</v>
      </c>
      <c r="I4960" s="6">
        <v>4.6795940826508913</v>
      </c>
      <c r="K4960" s="8"/>
    </row>
    <row r="4961" spans="1:11" ht="15" x14ac:dyDescent="0.25">
      <c r="A4961" s="3" t="str">
        <f>HYPERLINK("proteomic_fractions_linear_files/Yang_linear_img/49169845.jpg", "49169845")</f>
        <v>49169845</v>
      </c>
      <c r="C4961" s="3" t="str">
        <f>HYPERLINK("http://www.ncbi.nlm.nih.gov/protein/49169845","Nipbl")</f>
        <v>Nipbl</v>
      </c>
      <c r="E4961" t="str">
        <f>HYPERLINK("J:\Depot - mpkCCD Fractions\Main Web Page\Web Pages_old\proteomic_fractions_linear_files/Yang_linear_img/49169845.jpg","show blot")</f>
        <v>show blot</v>
      </c>
      <c r="G4961" t="s">
        <v>4756</v>
      </c>
      <c r="I4961" s="6">
        <v>2.9859954661918939</v>
      </c>
      <c r="K4961" s="8"/>
    </row>
    <row r="4962" spans="1:11" ht="15" x14ac:dyDescent="0.25">
      <c r="A4962" s="3" t="str">
        <f>HYPERLINK("proteomic_fractions_linear_files/Yang_linear_img/51371928.jpg", "51371928")</f>
        <v>51371928</v>
      </c>
      <c r="C4962" s="3" t="str">
        <f>HYPERLINK("http://www.ncbi.nlm.nih.gov/protein/51371928","Nipbl")</f>
        <v>Nipbl</v>
      </c>
      <c r="E4962" t="str">
        <f>HYPERLINK("J:\Depot - mpkCCD Fractions\Main Web Page\Web Pages_old\proteomic_fractions_linear_files/Yang_linear_img/51371928.jpg","show blot")</f>
        <v>show blot</v>
      </c>
      <c r="G4962" t="s">
        <v>4757</v>
      </c>
      <c r="I4962" s="6">
        <v>2.9859954661918939</v>
      </c>
      <c r="K4962" s="8"/>
    </row>
    <row r="4963" spans="1:11" ht="15" x14ac:dyDescent="0.25">
      <c r="A4963" s="3" t="str">
        <f>HYPERLINK("proteomic_fractions_linear_files/Yang_linear_img/6679066.jpg", "6679066")</f>
        <v>6679066</v>
      </c>
      <c r="C4963" s="3" t="str">
        <f>HYPERLINK("http://www.ncbi.nlm.nih.gov/protein/6679066","Nipsnap1")</f>
        <v>Nipsnap1</v>
      </c>
      <c r="E4963" t="str">
        <f>HYPERLINK("J:\Depot - mpkCCD Fractions\Main Web Page\Web Pages_old\proteomic_fractions_linear_files/Yang_linear_img/6679066.jpg","show blot")</f>
        <v>show blot</v>
      </c>
      <c r="G4963" t="s">
        <v>4758</v>
      </c>
      <c r="I4963" s="6">
        <v>4.6476544806906723</v>
      </c>
      <c r="K4963" s="8"/>
    </row>
    <row r="4964" spans="1:11" ht="15" x14ac:dyDescent="0.25">
      <c r="A4964" s="3" t="str">
        <f>HYPERLINK("proteomic_fractions_linear_files/Yang_linear_img/13385084.jpg", "13385084")</f>
        <v>13385084</v>
      </c>
      <c r="C4964" s="3" t="str">
        <f>HYPERLINK("http://www.ncbi.nlm.nih.gov/protein/13385084","Nipsnap3b")</f>
        <v>Nipsnap3b</v>
      </c>
      <c r="E4964" t="str">
        <f>HYPERLINK("J:\Depot - mpkCCD Fractions\Main Web Page\Web Pages_old\proteomic_fractions_linear_files/Yang_linear_img/13385084.jpg","show blot")</f>
        <v>show blot</v>
      </c>
      <c r="G4964" t="s">
        <v>4759</v>
      </c>
      <c r="I4964" s="6">
        <v>3.8898490694916363</v>
      </c>
      <c r="K4964" s="8"/>
    </row>
    <row r="4965" spans="1:11" ht="15" x14ac:dyDescent="0.25">
      <c r="A4965" s="3" t="str">
        <f>HYPERLINK("proteomic_fractions_linear_files/Yang_linear_img/114158672.jpg", "114158672")</f>
        <v>114158672</v>
      </c>
      <c r="C4965" s="3" t="str">
        <f>HYPERLINK("http://www.ncbi.nlm.nih.gov/protein/114158672","Nisch")</f>
        <v>Nisch</v>
      </c>
      <c r="E4965" t="str">
        <f>HYPERLINK("J:\Depot - mpkCCD Fractions\Main Web Page\Web Pages_old\proteomic_fractions_linear_files/Yang_linear_img/114158672.jpg","show blot")</f>
        <v>show blot</v>
      </c>
      <c r="G4965" t="s">
        <v>4760</v>
      </c>
      <c r="I4965" s="6">
        <v>4.3235335455307897</v>
      </c>
      <c r="K4965" s="8"/>
    </row>
    <row r="4966" spans="1:11" ht="15" x14ac:dyDescent="0.25">
      <c r="A4966" s="3" t="str">
        <f>HYPERLINK("proteomic_fractions_linear_files/Yang_linear_img/336088630.jpg", "336088630")</f>
        <v>336088630</v>
      </c>
      <c r="C4966" s="3" t="str">
        <f>HYPERLINK("http://www.ncbi.nlm.nih.gov/protein/336088630","Nit1")</f>
        <v>Nit1</v>
      </c>
      <c r="E4966" t="str">
        <f>HYPERLINK("J:\Depot - mpkCCD Fractions\Main Web Page\Web Pages_old\proteomic_fractions_linear_files/Yang_linear_img/336088630.jpg","show blot")</f>
        <v>show blot</v>
      </c>
      <c r="G4966" t="s">
        <v>4761</v>
      </c>
      <c r="I4966" s="6">
        <v>5.3793170661927867</v>
      </c>
      <c r="K4966" s="8"/>
    </row>
    <row r="4967" spans="1:11" ht="15" x14ac:dyDescent="0.25">
      <c r="A4967" s="3" t="str">
        <f>HYPERLINK("proteomic_fractions_linear_files/Yang_linear_img/6754856.jpg", "6754856")</f>
        <v>6754856</v>
      </c>
      <c r="C4967" s="3" t="str">
        <f>HYPERLINK("http://www.ncbi.nlm.nih.gov/protein/6754856","Nit1")</f>
        <v>Nit1</v>
      </c>
      <c r="E4967" t="str">
        <f>HYPERLINK("J:\Depot - mpkCCD Fractions\Main Web Page\Web Pages_old\proteomic_fractions_linear_files/Yang_linear_img/6754856.jpg","show blot")</f>
        <v>show blot</v>
      </c>
      <c r="G4967" t="s">
        <v>4762</v>
      </c>
      <c r="I4967" s="6">
        <v>5.3793170661927867</v>
      </c>
      <c r="K4967" s="8"/>
    </row>
    <row r="4968" spans="1:11" ht="15" x14ac:dyDescent="0.25">
      <c r="A4968" s="3" t="str">
        <f>HYPERLINK("proteomic_fractions_linear_files/Yang_linear_img/12963555.jpg", "12963555")</f>
        <v>12963555</v>
      </c>
      <c r="C4968" s="3" t="str">
        <f>HYPERLINK("http://www.ncbi.nlm.nih.gov/protein/12963555","Nit2")</f>
        <v>Nit2</v>
      </c>
      <c r="E4968" t="str">
        <f>HYPERLINK("J:\Depot - mpkCCD Fractions\Main Web Page\Web Pages_old\proteomic_fractions_linear_files/Yang_linear_img/12963555.jpg","show blot")</f>
        <v>show blot</v>
      </c>
      <c r="G4968" t="s">
        <v>4763</v>
      </c>
      <c r="I4968" s="6">
        <v>5.4090808917513833</v>
      </c>
      <c r="K4968" s="8"/>
    </row>
    <row r="4969" spans="1:11" ht="15" x14ac:dyDescent="0.25">
      <c r="A4969" s="3" t="str">
        <f>HYPERLINK("proteomic_fractions_linear_files/Yang_linear_img/257153408.jpg", "257153408")</f>
        <v>257153408</v>
      </c>
      <c r="C4969" s="3" t="str">
        <f>HYPERLINK("http://www.ncbi.nlm.nih.gov/protein/257153408","Nkap")</f>
        <v>Nkap</v>
      </c>
      <c r="E4969" t="str">
        <f>HYPERLINK("J:\Depot - mpkCCD Fractions\Main Web Page\Web Pages_old\proteomic_fractions_linear_files/Yang_linear_img/257153408.jpg","show blot")</f>
        <v>show blot</v>
      </c>
      <c r="G4969" t="s">
        <v>4764</v>
      </c>
      <c r="I4969" s="6">
        <v>3.6286570276940657</v>
      </c>
      <c r="K4969" s="8"/>
    </row>
    <row r="4970" spans="1:11" ht="15" x14ac:dyDescent="0.25">
      <c r="A4970" s="3" t="str">
        <f>HYPERLINK("proteomic_fractions_linear_files/Yang_linear_img/254553396.jpg", "254553396")</f>
        <v>254553396</v>
      </c>
      <c r="C4970" s="3" t="str">
        <f>HYPERLINK("http://www.ncbi.nlm.nih.gov/protein/254553396","Nkapl")</f>
        <v>Nkapl</v>
      </c>
      <c r="E4970" t="str">
        <f>HYPERLINK("J:\Depot - mpkCCD Fractions\Main Web Page\Web Pages_old\proteomic_fractions_linear_files/Yang_linear_img/254553396.jpg","show blot")</f>
        <v>show blot</v>
      </c>
      <c r="G4970" t="s">
        <v>4765</v>
      </c>
      <c r="I4970" s="6">
        <v>3.6475423718544393</v>
      </c>
      <c r="K4970" s="8"/>
    </row>
    <row r="4971" spans="1:11" ht="15" x14ac:dyDescent="0.25">
      <c r="A4971" s="3" t="str">
        <f>HYPERLINK("proteomic_fractions_linear_files/Yang_linear_img/21312616.jpg", "21312616")</f>
        <v>21312616</v>
      </c>
      <c r="C4971" s="3" t="str">
        <f>HYPERLINK("http://www.ncbi.nlm.nih.gov/protein/21312616","Nkiras2")</f>
        <v>Nkiras2</v>
      </c>
      <c r="E4971" t="str">
        <f>HYPERLINK("J:\Depot - mpkCCD Fractions\Main Web Page\Web Pages_old\proteomic_fractions_linear_files/Yang_linear_img/21312616.jpg","show blot")</f>
        <v>show blot</v>
      </c>
      <c r="G4971" t="s">
        <v>4766</v>
      </c>
      <c r="I4971" s="6">
        <v>4.6947110203497768</v>
      </c>
      <c r="K4971" s="8"/>
    </row>
    <row r="4972" spans="1:11" ht="15" x14ac:dyDescent="0.25">
      <c r="A4972" s="3" t="str">
        <f>HYPERLINK("proteomic_fractions_linear_files/Yang_linear_img/62526130.jpg", "62526130")</f>
        <v>62526130</v>
      </c>
      <c r="C4972" s="3" t="str">
        <f>HYPERLINK("http://www.ncbi.nlm.nih.gov/protein/62526130","Nktr")</f>
        <v>Nktr</v>
      </c>
      <c r="E4972" t="str">
        <f>HYPERLINK("J:\Depot - mpkCCD Fractions\Main Web Page\Web Pages_old\proteomic_fractions_linear_files/Yang_linear_img/62526130.jpg","show blot")</f>
        <v>show blot</v>
      </c>
      <c r="G4972" t="s">
        <v>4767</v>
      </c>
      <c r="I4972" s="6">
        <v>3.1063929731894602</v>
      </c>
      <c r="K4972" s="8"/>
    </row>
    <row r="4973" spans="1:11" ht="15" x14ac:dyDescent="0.25">
      <c r="A4973" s="3" t="str">
        <f>HYPERLINK("proteomic_fractions_linear_files/Yang_linear_img/21450629.jpg", "21450629")</f>
        <v>21450629</v>
      </c>
      <c r="C4973" s="3" t="str">
        <f>HYPERLINK("http://www.ncbi.nlm.nih.gov/protein/21450629","Nkx6-1")</f>
        <v>Nkx6-1</v>
      </c>
      <c r="E4973" t="str">
        <f>HYPERLINK("J:\Depot - mpkCCD Fractions\Main Web Page\Web Pages_old\proteomic_fractions_linear_files/Yang_linear_img/21450629.jpg","show blot")</f>
        <v>show blot</v>
      </c>
      <c r="G4973" t="s">
        <v>4768</v>
      </c>
      <c r="I4973" s="6">
        <v>4.6209224379503526</v>
      </c>
      <c r="K4973" s="8"/>
    </row>
    <row r="4974" spans="1:11" ht="15" x14ac:dyDescent="0.25">
      <c r="A4974" s="3" t="str">
        <f>HYPERLINK("proteomic_fractions_linear_files/Yang_linear_img/238624156.jpg", "238624156")</f>
        <v>238624156</v>
      </c>
      <c r="C4974" s="3" t="str">
        <f>HYPERLINK("http://www.ncbi.nlm.nih.gov/protein/238624156","Nle1")</f>
        <v>Nle1</v>
      </c>
      <c r="E4974" t="str">
        <f>HYPERLINK("J:\Depot - mpkCCD Fractions\Main Web Page\Web Pages_old\proteomic_fractions_linear_files/Yang_linear_img/238624156.jpg","show blot")</f>
        <v>show blot</v>
      </c>
      <c r="G4974" t="s">
        <v>4769</v>
      </c>
      <c r="I4974" s="6">
        <v>4.0383267636932301</v>
      </c>
      <c r="K4974" s="8"/>
    </row>
    <row r="4975" spans="1:11" ht="15" x14ac:dyDescent="0.25">
      <c r="A4975" s="3" t="str">
        <f>HYPERLINK("proteomic_fractions_linear_files/Yang_linear_img/149408132.jpg", "149408132")</f>
        <v>149408132</v>
      </c>
      <c r="C4975" s="3" t="str">
        <f>HYPERLINK("http://www.ncbi.nlm.nih.gov/protein/149408132","Nlk")</f>
        <v>Nlk</v>
      </c>
      <c r="E4975" t="str">
        <f>HYPERLINK("J:\Depot - mpkCCD Fractions\Main Web Page\Web Pages_old\proteomic_fractions_linear_files/Yang_linear_img/149408132.jpg","show blot")</f>
        <v>show blot</v>
      </c>
      <c r="G4975" t="s">
        <v>4770</v>
      </c>
      <c r="I4975" s="6">
        <v>5.6153063811393613</v>
      </c>
      <c r="K4975" s="8"/>
    </row>
    <row r="4976" spans="1:11" ht="15" x14ac:dyDescent="0.25">
      <c r="A4976" s="3" t="str">
        <f>HYPERLINK("proteomic_fractions_linear_files/Yang_linear_img/28077051.jpg", "28077051")</f>
        <v>28077051</v>
      </c>
      <c r="C4976" s="3" t="str">
        <f>HYPERLINK("http://www.ncbi.nlm.nih.gov/protein/28077051","Nln")</f>
        <v>Nln</v>
      </c>
      <c r="E4976" t="str">
        <f>HYPERLINK("J:\Depot - mpkCCD Fractions\Main Web Page\Web Pages_old\proteomic_fractions_linear_files/Yang_linear_img/28077051.jpg","show blot")</f>
        <v>show blot</v>
      </c>
      <c r="G4976" t="s">
        <v>4771</v>
      </c>
      <c r="I4976" s="6">
        <v>3.4916364500182309</v>
      </c>
      <c r="K4976" s="8"/>
    </row>
    <row r="4977" spans="1:11" ht="15" x14ac:dyDescent="0.25">
      <c r="A4977" s="3" t="str">
        <f>HYPERLINK("proteomic_fractions_linear_files/Yang_linear_img/241666421.jpg", "241666421")</f>
        <v>241666421</v>
      </c>
      <c r="C4977" s="3" t="str">
        <f>HYPERLINK("http://www.ncbi.nlm.nih.gov/protein/241666421","Nlrp1a")</f>
        <v>Nlrp1a</v>
      </c>
      <c r="E4977" t="str">
        <f>HYPERLINK("J:\Depot - mpkCCD Fractions\Main Web Page\Web Pages_old\proteomic_fractions_linear_files/Yang_linear_img/241666421.jpg","show blot")</f>
        <v>show blot</v>
      </c>
      <c r="G4977" t="s">
        <v>4772</v>
      </c>
      <c r="I4977" s="6">
        <v>4.488898298187622</v>
      </c>
      <c r="K4977" s="8"/>
    </row>
    <row r="4978" spans="1:11" ht="15" x14ac:dyDescent="0.25">
      <c r="A4978" s="3" t="str">
        <f>HYPERLINK("proteomic_fractions_linear_files/Yang_linear_img/22003870.jpg", "22003870")</f>
        <v>22003870</v>
      </c>
      <c r="C4978" s="3" t="str">
        <f>HYPERLINK("http://www.ncbi.nlm.nih.gov/protein/22003870","Nlrp3")</f>
        <v>Nlrp3</v>
      </c>
      <c r="E4978" t="str">
        <f>HYPERLINK("J:\Depot - mpkCCD Fractions\Main Web Page\Web Pages_old\proteomic_fractions_linear_files/Yang_linear_img/22003870.jpg","show blot")</f>
        <v>show blot</v>
      </c>
      <c r="G4978" t="s">
        <v>4773</v>
      </c>
      <c r="I4978" s="6">
        <v>3.0236848294086167</v>
      </c>
      <c r="K4978" s="8"/>
    </row>
    <row r="4979" spans="1:11" ht="15" x14ac:dyDescent="0.25">
      <c r="A4979" s="3" t="str">
        <f>HYPERLINK("proteomic_fractions_linear_files/Yang_linear_img/7106379.jpg", "7106379")</f>
        <v>7106379</v>
      </c>
      <c r="C4979" s="3" t="str">
        <f>HYPERLINK("http://www.ncbi.nlm.nih.gov/protein/7106379","Nlrp5")</f>
        <v>Nlrp5</v>
      </c>
      <c r="E4979" t="str">
        <f>HYPERLINK("J:\Depot - mpkCCD Fractions\Main Web Page\Web Pages_old\proteomic_fractions_linear_files/Yang_linear_img/7106379.jpg","show blot")</f>
        <v>show blot</v>
      </c>
      <c r="G4979" t="s">
        <v>4774</v>
      </c>
      <c r="I4979" s="6">
        <v>4.4218433232635812</v>
      </c>
      <c r="K4979" s="8"/>
    </row>
    <row r="4980" spans="1:11" ht="15" x14ac:dyDescent="0.25">
      <c r="A4980" s="3" t="str">
        <f>HYPERLINK("proteomic_fractions_linear_files/Yang_linear_img/85362740.jpg", "85362740")</f>
        <v>85362740</v>
      </c>
      <c r="C4980" s="3" t="str">
        <f>HYPERLINK("http://www.ncbi.nlm.nih.gov/protein/85362740","Nlrp5")</f>
        <v>Nlrp5</v>
      </c>
      <c r="E4980" t="str">
        <f>HYPERLINK("J:\Depot - mpkCCD Fractions\Main Web Page\Web Pages_old\proteomic_fractions_linear_files/Yang_linear_img/85362740.jpg","show blot")</f>
        <v>show blot</v>
      </c>
      <c r="G4980" t="s">
        <v>4775</v>
      </c>
      <c r="I4980" s="6">
        <v>4.4218433232635812</v>
      </c>
      <c r="K4980" s="8"/>
    </row>
    <row r="4981" spans="1:11" ht="15" x14ac:dyDescent="0.25">
      <c r="A4981" s="3" t="str">
        <f>HYPERLINK("proteomic_fractions_linear_files/Yang_linear_img/37700232.jpg", "37700232")</f>
        <v>37700232</v>
      </c>
      <c r="C4981" s="3" t="str">
        <f>HYPERLINK("http://www.ncbi.nlm.nih.gov/protein/37700232","Nme1")</f>
        <v>Nme1</v>
      </c>
      <c r="E4981" t="str">
        <f>HYPERLINK("J:\Depot - mpkCCD Fractions\Main Web Page\Web Pages_old\proteomic_fractions_linear_files/Yang_linear_img/37700232.jpg","show blot")</f>
        <v>show blot</v>
      </c>
      <c r="G4981" t="s">
        <v>4776</v>
      </c>
      <c r="I4981" s="6">
        <v>7.0651428877457807</v>
      </c>
      <c r="K4981" s="8"/>
    </row>
    <row r="4982" spans="1:11" ht="15" x14ac:dyDescent="0.25">
      <c r="A4982" s="3" t="str">
        <f>HYPERLINK("proteomic_fractions_linear_files/Yang_linear_img/6679078.jpg", "6679078")</f>
        <v>6679078</v>
      </c>
      <c r="C4982" s="3" t="str">
        <f>HYPERLINK("http://www.ncbi.nlm.nih.gov/protein/6679078","Nme2")</f>
        <v>Nme2</v>
      </c>
      <c r="E4982" t="str">
        <f>HYPERLINK("J:\Depot - mpkCCD Fractions\Main Web Page\Web Pages_old\proteomic_fractions_linear_files/Yang_linear_img/6679078.jpg","show blot")</f>
        <v>show blot</v>
      </c>
      <c r="G4982" t="s">
        <v>4777</v>
      </c>
      <c r="I4982" s="6">
        <v>7.1374288228153979</v>
      </c>
      <c r="K4982" s="8"/>
    </row>
    <row r="4983" spans="1:11" ht="15" x14ac:dyDescent="0.25">
      <c r="A4983" s="3" t="str">
        <f>HYPERLINK("proteomic_fractions_linear_files/Yang_linear_img/255308888.jpg", "255308888")</f>
        <v>255308888</v>
      </c>
      <c r="C4983" s="3" t="str">
        <f>HYPERLINK("http://www.ncbi.nlm.nih.gov/protein/255308888","Nme3")</f>
        <v>Nme3</v>
      </c>
      <c r="E4983" t="str">
        <f>HYPERLINK("J:\Depot - mpkCCD Fractions\Main Web Page\Web Pages_old\proteomic_fractions_linear_files/Yang_linear_img/255308888.jpg","show blot")</f>
        <v>show blot</v>
      </c>
      <c r="G4983" t="s">
        <v>4778</v>
      </c>
      <c r="I4983" s="6">
        <v>5.1299402280768494</v>
      </c>
      <c r="K4983" s="8"/>
    </row>
    <row r="4984" spans="1:11" ht="15" x14ac:dyDescent="0.25">
      <c r="A4984" s="3" t="str">
        <f>HYPERLINK("proteomic_fractions_linear_files/Yang_linear_img/9055290.jpg", "9055290")</f>
        <v>9055290</v>
      </c>
      <c r="C4984" s="3" t="str">
        <f>HYPERLINK("http://www.ncbi.nlm.nih.gov/protein/9055290","Nme6")</f>
        <v>Nme6</v>
      </c>
      <c r="E4984" t="str">
        <f>HYPERLINK("J:\Depot - mpkCCD Fractions\Main Web Page\Web Pages_old\proteomic_fractions_linear_files/Yang_linear_img/9055290.jpg","show blot")</f>
        <v>show blot</v>
      </c>
      <c r="G4984" t="s">
        <v>4779</v>
      </c>
      <c r="I4984" s="6">
        <v>3.2349165753220186</v>
      </c>
      <c r="K4984" s="8"/>
    </row>
    <row r="4985" spans="1:11" ht="15" x14ac:dyDescent="0.25">
      <c r="A4985" s="3" t="str">
        <f>HYPERLINK("proteomic_fractions_linear_files/Yang_linear_img/167000069.jpg", "167000069")</f>
        <v>167000069</v>
      </c>
      <c r="C4985" s="3" t="str">
        <f>HYPERLINK("http://www.ncbi.nlm.nih.gov/protein/167000069","Nme8")</f>
        <v>Nme8</v>
      </c>
      <c r="E4985" t="str">
        <f>HYPERLINK("J:\Depot - mpkCCD Fractions\Main Web Page\Web Pages_old\proteomic_fractions_linear_files/Yang_linear_img/167000069.jpg","show blot")</f>
        <v>show blot</v>
      </c>
      <c r="G4985" t="s">
        <v>4780</v>
      </c>
      <c r="I4985" s="6">
        <v>2.7865088833426368</v>
      </c>
      <c r="K4985" s="8"/>
    </row>
    <row r="4986" spans="1:11" ht="15" x14ac:dyDescent="0.25">
      <c r="A4986" s="3" t="str">
        <f>HYPERLINK("proteomic_fractions_linear_files/Yang_linear_img/268836142.jpg", "268836142")</f>
        <v>268836142</v>
      </c>
      <c r="C4986" s="3" t="str">
        <f>HYPERLINK("http://www.ncbi.nlm.nih.gov/protein/268836142","Nme8")</f>
        <v>Nme8</v>
      </c>
      <c r="E4986" t="str">
        <f>HYPERLINK("J:\Depot - mpkCCD Fractions\Main Web Page\Web Pages_old\proteomic_fractions_linear_files/Yang_linear_img/268836142.jpg","show blot")</f>
        <v>show blot</v>
      </c>
      <c r="G4986" t="s">
        <v>4781</v>
      </c>
      <c r="I4986" s="6">
        <v>2.7865088833426368</v>
      </c>
      <c r="K4986" s="8"/>
    </row>
    <row r="4987" spans="1:11" ht="15" x14ac:dyDescent="0.25">
      <c r="A4987" s="3" t="str">
        <f>HYPERLINK("proteomic_fractions_linear_files/Yang_linear_img/33469125.jpg", "33469125")</f>
        <v>33469125</v>
      </c>
      <c r="C4987" s="3" t="str">
        <f>HYPERLINK("http://www.ncbi.nlm.nih.gov/protein/33469125","Nmi")</f>
        <v>Nmi</v>
      </c>
      <c r="E4987" t="str">
        <f>HYPERLINK("J:\Depot - mpkCCD Fractions\Main Web Page\Web Pages_old\proteomic_fractions_linear_files/Yang_linear_img/33469125.jpg","show blot")</f>
        <v>show blot</v>
      </c>
      <c r="G4987" t="s">
        <v>4782</v>
      </c>
      <c r="I4987" s="6">
        <v>5.2795589951858002</v>
      </c>
      <c r="K4987" s="8"/>
    </row>
    <row r="4988" spans="1:11" ht="15" x14ac:dyDescent="0.25">
      <c r="A4988" s="3" t="str">
        <f>HYPERLINK("proteomic_fractions_linear_files/Yang_linear_img/57527870.jpg", "57527870")</f>
        <v>57527870</v>
      </c>
      <c r="C4988" s="3" t="str">
        <f>HYPERLINK("http://www.ncbi.nlm.nih.gov/protein/57527870","Nmnat1")</f>
        <v>Nmnat1</v>
      </c>
      <c r="E4988" t="str">
        <f>HYPERLINK("J:\Depot - mpkCCD Fractions\Main Web Page\Web Pages_old\proteomic_fractions_linear_files/Yang_linear_img/57527870.jpg","show blot")</f>
        <v>show blot</v>
      </c>
      <c r="G4988" t="s">
        <v>4783</v>
      </c>
      <c r="I4988" s="6">
        <v>4.0335065207820699</v>
      </c>
      <c r="K4988" s="8"/>
    </row>
    <row r="4989" spans="1:11" ht="15" x14ac:dyDescent="0.25">
      <c r="A4989" s="3" t="str">
        <f>HYPERLINK("proteomic_fractions_linear_files/Yang_linear_img/21362329.jpg", "21362329")</f>
        <v>21362329</v>
      </c>
      <c r="C4989" s="3" t="str">
        <f>HYPERLINK("http://www.ncbi.nlm.nih.gov/protein/21362329","Nmnat3")</f>
        <v>Nmnat3</v>
      </c>
      <c r="E4989" t="str">
        <f>HYPERLINK("J:\Depot - mpkCCD Fractions\Main Web Page\Web Pages_old\proteomic_fractions_linear_files/Yang_linear_img/21362329.jpg","show blot")</f>
        <v>show blot</v>
      </c>
      <c r="G4989" t="s">
        <v>4784</v>
      </c>
      <c r="I4989" s="6">
        <v>4.1446955150471618</v>
      </c>
      <c r="K4989" s="8"/>
    </row>
    <row r="4990" spans="1:11" ht="15" x14ac:dyDescent="0.25">
      <c r="A4990" s="3" t="str">
        <f>HYPERLINK("proteomic_fractions_linear_files/Yang_linear_img/24431937.jpg", "24431937")</f>
        <v>24431937</v>
      </c>
      <c r="C4990" s="3" t="str">
        <f>HYPERLINK("http://www.ncbi.nlm.nih.gov/protein/24431937","Nmral1")</f>
        <v>Nmral1</v>
      </c>
      <c r="E4990" t="str">
        <f>HYPERLINK("J:\Depot - mpkCCD Fractions\Main Web Page\Web Pages_old\proteomic_fractions_linear_files/Yang_linear_img/24431937.jpg","show blot")</f>
        <v>show blot</v>
      </c>
      <c r="G4990" t="s">
        <v>4785</v>
      </c>
      <c r="I4990" s="6">
        <v>5.4322338234637906</v>
      </c>
      <c r="K4990" s="8"/>
    </row>
    <row r="4991" spans="1:11" ht="15" x14ac:dyDescent="0.25">
      <c r="A4991" s="3" t="str">
        <f>HYPERLINK("proteomic_fractions_linear_files/Yang_linear_img/21703978.jpg", "21703978")</f>
        <v>21703978</v>
      </c>
      <c r="C4991" s="3" t="str">
        <f>HYPERLINK("http://www.ncbi.nlm.nih.gov/protein/21703978","Nmrk1")</f>
        <v>Nmrk1</v>
      </c>
      <c r="E4991" t="str">
        <f>HYPERLINK("J:\Depot - mpkCCD Fractions\Main Web Page\Web Pages_old\proteomic_fractions_linear_files/Yang_linear_img/21703978.jpg","show blot")</f>
        <v>show blot</v>
      </c>
      <c r="G4991" t="s">
        <v>4786</v>
      </c>
      <c r="I4991" s="6">
        <v>4.5889082886447392</v>
      </c>
      <c r="K4991" s="8"/>
    </row>
    <row r="4992" spans="1:11" ht="15" x14ac:dyDescent="0.25">
      <c r="A4992" s="3" t="str">
        <f>HYPERLINK("proteomic_fractions_linear_files/Yang_linear_img/6679082.jpg", "6679082")</f>
        <v>6679082</v>
      </c>
      <c r="C4992" s="3" t="str">
        <f>HYPERLINK("http://www.ncbi.nlm.nih.gov/protein/6679082","Nmt1")</f>
        <v>Nmt1</v>
      </c>
      <c r="E4992" t="str">
        <f>HYPERLINK("J:\Depot - mpkCCD Fractions\Main Web Page\Web Pages_old\proteomic_fractions_linear_files/Yang_linear_img/6679082.jpg","show blot")</f>
        <v>show blot</v>
      </c>
      <c r="G4992" t="s">
        <v>4787</v>
      </c>
      <c r="I4992" s="6">
        <v>5.7736015609781006</v>
      </c>
      <c r="K4992" s="8"/>
    </row>
    <row r="4993" spans="1:11" ht="15" x14ac:dyDescent="0.25">
      <c r="A4993" s="3" t="str">
        <f>HYPERLINK("proteomic_fractions_linear_files/Yang_linear_img/6679084.jpg", "6679084")</f>
        <v>6679084</v>
      </c>
      <c r="C4993" s="3" t="str">
        <f>HYPERLINK("http://www.ncbi.nlm.nih.gov/protein/6679084","Nmt2")</f>
        <v>Nmt2</v>
      </c>
      <c r="E4993" t="str">
        <f>HYPERLINK("J:\Depot - mpkCCD Fractions\Main Web Page\Web Pages_old\proteomic_fractions_linear_files/Yang_linear_img/6679084.jpg","show blot")</f>
        <v>show blot</v>
      </c>
      <c r="G4993" t="s">
        <v>4788</v>
      </c>
      <c r="I4993" s="6">
        <v>5.4045489309984722</v>
      </c>
      <c r="K4993" s="8"/>
    </row>
    <row r="4994" spans="1:11" ht="15" x14ac:dyDescent="0.25">
      <c r="A4994" s="3" t="str">
        <f>HYPERLINK("proteomic_fractions_linear_files/Yang_linear_img/9790049.jpg", "9790049")</f>
        <v>9790049</v>
      </c>
      <c r="C4994" s="3" t="str">
        <f>HYPERLINK("http://www.ncbi.nlm.nih.gov/protein/9790049","Noa1")</f>
        <v>Noa1</v>
      </c>
      <c r="E4994" t="str">
        <f>HYPERLINK("J:\Depot - mpkCCD Fractions\Main Web Page\Web Pages_old\proteomic_fractions_linear_files/Yang_linear_img/9790049.jpg","show blot")</f>
        <v>show blot</v>
      </c>
      <c r="G4994" t="s">
        <v>4789</v>
      </c>
      <c r="I4994" s="6">
        <v>2.9793619692137283</v>
      </c>
      <c r="K4994" s="8"/>
    </row>
    <row r="4995" spans="1:11" ht="15" x14ac:dyDescent="0.25">
      <c r="A4995" s="3" t="str">
        <f>HYPERLINK("proteomic_fractions_linear_files/Yang_linear_img/30794454.jpg", "30794454")</f>
        <v>30794454</v>
      </c>
      <c r="C4995" s="3" t="str">
        <f>HYPERLINK("http://www.ncbi.nlm.nih.gov/protein/30794454","Nob1")</f>
        <v>Nob1</v>
      </c>
      <c r="E4995" t="str">
        <f>HYPERLINK("J:\Depot - mpkCCD Fractions\Main Web Page\Web Pages_old\proteomic_fractions_linear_files/Yang_linear_img/30794454.jpg","show blot")</f>
        <v>show blot</v>
      </c>
      <c r="G4995" t="s">
        <v>4790</v>
      </c>
      <c r="I4995" s="6">
        <v>2.7981966683451347</v>
      </c>
      <c r="K4995" s="8"/>
    </row>
    <row r="4996" spans="1:11" ht="15" x14ac:dyDescent="0.25">
      <c r="A4996" s="3" t="str">
        <f>HYPERLINK("proteomic_fractions_linear_files/Yang_linear_img/124301227.jpg", "124301227")</f>
        <v>124301227</v>
      </c>
      <c r="C4996" s="3" t="str">
        <f>HYPERLINK("http://www.ncbi.nlm.nih.gov/protein/124301227","Noc2l")</f>
        <v>Noc2l</v>
      </c>
      <c r="E4996" t="str">
        <f>HYPERLINK("J:\Depot - mpkCCD Fractions\Main Web Page\Web Pages_old\proteomic_fractions_linear_files/Yang_linear_img/124301227.jpg","show blot")</f>
        <v>show blot</v>
      </c>
      <c r="G4996" t="s">
        <v>4791</v>
      </c>
      <c r="I4996" s="6">
        <v>2.7541752892592419</v>
      </c>
      <c r="K4996" s="8"/>
    </row>
    <row r="4997" spans="1:11" ht="15" x14ac:dyDescent="0.25">
      <c r="A4997" s="3" t="str">
        <f>HYPERLINK("proteomic_fractions_linear_files/Yang_linear_img/83977454.jpg", "83977454")</f>
        <v>83977454</v>
      </c>
      <c r="C4997" s="3" t="str">
        <f>HYPERLINK("http://www.ncbi.nlm.nih.gov/protein/83977454","Nod2")</f>
        <v>Nod2</v>
      </c>
      <c r="E4997" t="str">
        <f>HYPERLINK("J:\Depot - mpkCCD Fractions\Main Web Page\Web Pages_old\proteomic_fractions_linear_files/Yang_linear_img/83977454.jpg","show blot")</f>
        <v>show blot</v>
      </c>
      <c r="G4997" t="s">
        <v>4792</v>
      </c>
      <c r="I4997" s="6">
        <v>3.2194808480428163</v>
      </c>
      <c r="K4997" s="8"/>
    </row>
    <row r="4998" spans="1:11" ht="15" x14ac:dyDescent="0.25">
      <c r="A4998" s="3" t="str">
        <f>HYPERLINK("proteomic_fractions_linear_files/Yang_linear_img/227430356.jpg", "227430356")</f>
        <v>227430356</v>
      </c>
      <c r="C4998" s="3" t="str">
        <f>HYPERLINK("http://www.ncbi.nlm.nih.gov/protein/227430356","Nol9")</f>
        <v>Nol9</v>
      </c>
      <c r="E4998" t="str">
        <f>HYPERLINK("J:\Depot - mpkCCD Fractions\Main Web Page\Web Pages_old\proteomic_fractions_linear_files/Yang_linear_img/227430356.jpg","show blot")</f>
        <v>show blot</v>
      </c>
      <c r="G4998" t="s">
        <v>4793</v>
      </c>
      <c r="I4998" s="6">
        <v>2.7248577016778599</v>
      </c>
      <c r="K4998" s="8"/>
    </row>
    <row r="4999" spans="1:11" ht="15" x14ac:dyDescent="0.25">
      <c r="A4999" s="3" t="str">
        <f>HYPERLINK("proteomic_fractions_linear_files/Yang_linear_img/227430358.jpg", "227430358")</f>
        <v>227430358</v>
      </c>
      <c r="C4999" s="3" t="str">
        <f>HYPERLINK("http://www.ncbi.nlm.nih.gov/protein/227430358","Nol9")</f>
        <v>Nol9</v>
      </c>
      <c r="E4999" t="str">
        <f>HYPERLINK("J:\Depot - mpkCCD Fractions\Main Web Page\Web Pages_old\proteomic_fractions_linear_files/Yang_linear_img/227430358.jpg","show blot")</f>
        <v>show blot</v>
      </c>
      <c r="G4999" t="s">
        <v>4794</v>
      </c>
      <c r="I4999" s="6">
        <v>2.7248577016778599</v>
      </c>
      <c r="K4999" s="8"/>
    </row>
    <row r="5000" spans="1:11" ht="15" x14ac:dyDescent="0.25">
      <c r="A5000" s="3" t="str">
        <f>HYPERLINK("proteomic_fractions_linear_files/Yang_linear_img/86198327.jpg", "86198327")</f>
        <v>86198327</v>
      </c>
      <c r="C5000" s="3" t="str">
        <f>HYPERLINK("http://www.ncbi.nlm.nih.gov/protein/86198327","Nolc1")</f>
        <v>Nolc1</v>
      </c>
      <c r="E5000" t="str">
        <f>HYPERLINK("J:\Depot - mpkCCD Fractions\Main Web Page\Web Pages_old\proteomic_fractions_linear_files/Yang_linear_img/86198327.jpg","show blot")</f>
        <v>show blot</v>
      </c>
      <c r="G5000" t="s">
        <v>4795</v>
      </c>
      <c r="I5000" s="6">
        <v>4.3062722194458578</v>
      </c>
      <c r="K5000" s="8"/>
    </row>
    <row r="5001" spans="1:11" ht="15" x14ac:dyDescent="0.25">
      <c r="A5001" s="3" t="str">
        <f>HYPERLINK("proteomic_fractions_linear_files/Yang_linear_img/86198329.jpg", "86198329")</f>
        <v>86198329</v>
      </c>
      <c r="C5001" s="3" t="str">
        <f>HYPERLINK("http://www.ncbi.nlm.nih.gov/protein/86198329","Nolc1")</f>
        <v>Nolc1</v>
      </c>
      <c r="E5001" t="str">
        <f>HYPERLINK("J:\Depot - mpkCCD Fractions\Main Web Page\Web Pages_old\proteomic_fractions_linear_files/Yang_linear_img/86198329.jpg","show blot")</f>
        <v>show blot</v>
      </c>
      <c r="G5001" t="s">
        <v>4796</v>
      </c>
      <c r="I5001" s="6">
        <v>4.3062722194458578</v>
      </c>
      <c r="K5001" s="8"/>
    </row>
    <row r="5002" spans="1:11" ht="15" x14ac:dyDescent="0.25">
      <c r="A5002" s="3" t="str">
        <f>HYPERLINK("proteomic_fractions_linear_files/Yang_linear_img/86198331.jpg", "86198331")</f>
        <v>86198331</v>
      </c>
      <c r="C5002" s="3" t="str">
        <f>HYPERLINK("http://www.ncbi.nlm.nih.gov/protein/86198331","Nolc1")</f>
        <v>Nolc1</v>
      </c>
      <c r="E5002" t="str">
        <f>HYPERLINK("J:\Depot - mpkCCD Fractions\Main Web Page\Web Pages_old\proteomic_fractions_linear_files/Yang_linear_img/86198331.jpg","show blot")</f>
        <v>show blot</v>
      </c>
      <c r="G5002" t="s">
        <v>4797</v>
      </c>
      <c r="I5002" s="6">
        <v>4.3062722194458578</v>
      </c>
      <c r="K5002" s="8"/>
    </row>
    <row r="5003" spans="1:11" ht="15" x14ac:dyDescent="0.25">
      <c r="A5003" s="3" t="str">
        <f>HYPERLINK("proteomic_fractions_linear_files/Yang_linear_img/86198333.jpg", "86198333")</f>
        <v>86198333</v>
      </c>
      <c r="C5003" s="3" t="str">
        <f>HYPERLINK("http://www.ncbi.nlm.nih.gov/protein/86198333","Nolc1")</f>
        <v>Nolc1</v>
      </c>
      <c r="E5003" t="str">
        <f>HYPERLINK("J:\Depot - mpkCCD Fractions\Main Web Page\Web Pages_old\proteomic_fractions_linear_files/Yang_linear_img/86198333.jpg","show blot")</f>
        <v>show blot</v>
      </c>
      <c r="G5003" t="s">
        <v>4798</v>
      </c>
      <c r="I5003" s="6">
        <v>4.3062722194458578</v>
      </c>
      <c r="K5003" s="8"/>
    </row>
    <row r="5004" spans="1:11" ht="15" x14ac:dyDescent="0.25">
      <c r="A5004" s="3" t="str">
        <f>HYPERLINK("proteomic_fractions_linear_files/Yang_linear_img/134288861.jpg", "134288861")</f>
        <v>134288861</v>
      </c>
      <c r="C5004" s="3" t="str">
        <f>HYPERLINK("http://www.ncbi.nlm.nih.gov/protein/134288861","Nom1")</f>
        <v>Nom1</v>
      </c>
      <c r="E5004" t="str">
        <f>HYPERLINK("J:\Depot - mpkCCD Fractions\Main Web Page\Web Pages_old\proteomic_fractions_linear_files/Yang_linear_img/134288861.jpg","show blot")</f>
        <v>show blot</v>
      </c>
      <c r="G5004" t="s">
        <v>4799</v>
      </c>
      <c r="I5004" s="6">
        <v>1.6424232982325131</v>
      </c>
      <c r="K5004" s="8"/>
    </row>
    <row r="5005" spans="1:11" ht="15" x14ac:dyDescent="0.25">
      <c r="A5005" s="3" t="str">
        <f>HYPERLINK("proteomic_fractions_linear_files/Yang_linear_img/227908803.jpg", "227908803")</f>
        <v>227908803</v>
      </c>
      <c r="C5005" s="3" t="str">
        <f>HYPERLINK("http://www.ncbi.nlm.nih.gov/protein/227908803","Nomo1")</f>
        <v>Nomo1</v>
      </c>
      <c r="E5005" t="str">
        <f>HYPERLINK("J:\Depot - mpkCCD Fractions\Main Web Page\Web Pages_old\proteomic_fractions_linear_files/Yang_linear_img/227908803.jpg","show blot")</f>
        <v>show blot</v>
      </c>
      <c r="G5005" t="s">
        <v>4800</v>
      </c>
      <c r="I5005" s="6">
        <v>4.4087662951800368</v>
      </c>
      <c r="K5005" s="8"/>
    </row>
    <row r="5006" spans="1:11" ht="15" x14ac:dyDescent="0.25">
      <c r="A5006" s="3" t="str">
        <f>HYPERLINK("proteomic_fractions_linear_files/Yang_linear_img/357394934;255958247.jpg", "357394934;255958247")</f>
        <v>357394934;255958247</v>
      </c>
      <c r="C5006" s="3" t="str">
        <f>HYPERLINK("http://www.ncbi.nlm.nih.gov/protein/357394934;255958247","Nono")</f>
        <v>Nono</v>
      </c>
      <c r="E5006" t="str">
        <f>HYPERLINK("J:\Depot - mpkCCD Fractions\Main Web Page\Web Pages_old\proteomic_fractions_linear_files/Yang_linear_img/357394934;255958247.jpg","show blot")</f>
        <v>show blot</v>
      </c>
      <c r="G5006" t="s">
        <v>4801</v>
      </c>
      <c r="I5006" s="6">
        <v>6.0258336895608595</v>
      </c>
      <c r="K5006" s="8"/>
    </row>
    <row r="5007" spans="1:11" ht="15" x14ac:dyDescent="0.25">
      <c r="A5007" s="3" t="str">
        <f>HYPERLINK("proteomic_fractions_linear_files/Yang_linear_img/255958247.jpg", "255958247")</f>
        <v>255958247</v>
      </c>
      <c r="C5007" s="3" t="str">
        <f>HYPERLINK("http://www.ncbi.nlm.nih.gov/protein/255958247","Nono")</f>
        <v>Nono</v>
      </c>
      <c r="E5007" t="str">
        <f>HYPERLINK("J:\Depot - mpkCCD Fractions\Main Web Page\Web Pages_old\proteomic_fractions_linear_files/Yang_linear_img/255958247.jpg","show blot")</f>
        <v>show blot</v>
      </c>
      <c r="G5007" t="s">
        <v>4801</v>
      </c>
      <c r="I5007" s="6">
        <v>6.0258336895608595</v>
      </c>
      <c r="K5007" s="8"/>
    </row>
    <row r="5008" spans="1:11" ht="15" x14ac:dyDescent="0.25">
      <c r="A5008" s="3" t="str">
        <f>HYPERLINK("proteomic_fractions_linear_files/Yang_linear_img/13384790.jpg", "13384790")</f>
        <v>13384790</v>
      </c>
      <c r="C5008" s="3" t="str">
        <f>HYPERLINK("http://www.ncbi.nlm.nih.gov/protein/13384790","Nop10")</f>
        <v>Nop10</v>
      </c>
      <c r="E5008" t="str">
        <f>HYPERLINK("J:\Depot - mpkCCD Fractions\Main Web Page\Web Pages_old\proteomic_fractions_linear_files/Yang_linear_img/13384790.jpg","show blot")</f>
        <v>show blot</v>
      </c>
      <c r="G5008" t="s">
        <v>4802</v>
      </c>
      <c r="I5008" s="6">
        <v>2.32318575561191</v>
      </c>
      <c r="K5008" s="8"/>
    </row>
    <row r="5009" spans="1:11" ht="15" x14ac:dyDescent="0.25">
      <c r="A5009" s="3" t="str">
        <f>HYPERLINK("proteomic_fractions_linear_files/Yang_linear_img/30519925.jpg", "30519925")</f>
        <v>30519925</v>
      </c>
      <c r="C5009" s="3" t="str">
        <f>HYPERLINK("http://www.ncbi.nlm.nih.gov/protein/30519925","Nop16")</f>
        <v>Nop16</v>
      </c>
      <c r="E5009" t="str">
        <f>HYPERLINK("J:\Depot - mpkCCD Fractions\Main Web Page\Web Pages_old\proteomic_fractions_linear_files/Yang_linear_img/30519925.jpg","show blot")</f>
        <v>show blot</v>
      </c>
      <c r="G5009" t="s">
        <v>4803</v>
      </c>
      <c r="I5009" s="6">
        <v>3.6162162011362633</v>
      </c>
      <c r="K5009" s="8"/>
    </row>
    <row r="5010" spans="1:11" ht="15" x14ac:dyDescent="0.25">
      <c r="A5010" s="3" t="str">
        <f>HYPERLINK("proteomic_fractions_linear_files/Yang_linear_img/158966689.jpg", "158966689")</f>
        <v>158966689</v>
      </c>
      <c r="C5010" s="3" t="str">
        <f>HYPERLINK("http://www.ncbi.nlm.nih.gov/protein/158966689","Nop2")</f>
        <v>Nop2</v>
      </c>
      <c r="E5010" t="str">
        <f>HYPERLINK("J:\Depot - mpkCCD Fractions\Main Web Page\Web Pages_old\proteomic_fractions_linear_files/Yang_linear_img/158966689.jpg","show blot")</f>
        <v>show blot</v>
      </c>
      <c r="G5010" t="s">
        <v>4804</v>
      </c>
      <c r="I5010" s="6">
        <v>4.429236823454179</v>
      </c>
      <c r="K5010" s="8"/>
    </row>
    <row r="5011" spans="1:11" ht="15" x14ac:dyDescent="0.25">
      <c r="A5011" s="3" t="str">
        <f>HYPERLINK("proteomic_fractions_linear_files/Yang_linear_img/126090932.jpg", "126090932")</f>
        <v>126090932</v>
      </c>
      <c r="C5011" s="3" t="str">
        <f>HYPERLINK("http://www.ncbi.nlm.nih.gov/protein/126090932","Nop56")</f>
        <v>Nop56</v>
      </c>
      <c r="E5011" t="str">
        <f>HYPERLINK("J:\Depot - mpkCCD Fractions\Main Web Page\Web Pages_old\proteomic_fractions_linear_files/Yang_linear_img/126090932.jpg","show blot")</f>
        <v>show blot</v>
      </c>
      <c r="G5011" t="s">
        <v>4805</v>
      </c>
      <c r="I5011" s="6">
        <v>6.0684658711740687</v>
      </c>
      <c r="K5011" s="8"/>
    </row>
    <row r="5012" spans="1:11" ht="15" x14ac:dyDescent="0.25">
      <c r="A5012" s="3" t="str">
        <f>HYPERLINK("proteomic_fractions_linear_files/Yang_linear_img/120407050.jpg", "120407050")</f>
        <v>120407050</v>
      </c>
      <c r="C5012" s="3" t="str">
        <f>HYPERLINK("http://www.ncbi.nlm.nih.gov/protein/120407050","Nop58")</f>
        <v>Nop58</v>
      </c>
      <c r="E5012" t="str">
        <f>HYPERLINK("J:\Depot - mpkCCD Fractions\Main Web Page\Web Pages_old\proteomic_fractions_linear_files/Yang_linear_img/120407050.jpg","show blot")</f>
        <v>show blot</v>
      </c>
      <c r="G5012" t="s">
        <v>4806</v>
      </c>
      <c r="I5012" s="6">
        <v>5.9753931401488822</v>
      </c>
      <c r="K5012" s="8"/>
    </row>
    <row r="5013" spans="1:11" ht="15" x14ac:dyDescent="0.25">
      <c r="A5013" s="3" t="str">
        <f>HYPERLINK("proteomic_fractions_linear_files/Yang_linear_img/169646352.jpg", "169646352")</f>
        <v>169646352</v>
      </c>
      <c r="C5013" s="3" t="str">
        <f>HYPERLINK("http://www.ncbi.nlm.nih.gov/protein/169646352","Nop9")</f>
        <v>Nop9</v>
      </c>
      <c r="E5013" t="str">
        <f>HYPERLINK("J:\Depot - mpkCCD Fractions\Main Web Page\Web Pages_old\proteomic_fractions_linear_files/Yang_linear_img/169646352.jpg","show blot")</f>
        <v>show blot</v>
      </c>
      <c r="G5013" t="s">
        <v>4807</v>
      </c>
      <c r="I5013" s="6">
        <v>4.2485275403127716</v>
      </c>
      <c r="K5013" s="8"/>
    </row>
    <row r="5014" spans="1:11" ht="15" x14ac:dyDescent="0.25">
      <c r="A5014" s="3" t="str">
        <f>HYPERLINK("proteomic_fractions_linear_files/Yang_linear_img/110625798.jpg", "110625798")</f>
        <v>110625798</v>
      </c>
      <c r="C5014" s="3" t="str">
        <f>HYPERLINK("http://www.ncbi.nlm.nih.gov/protein/110625798","Nos1ap")</f>
        <v>Nos1ap</v>
      </c>
      <c r="E5014" t="str">
        <f>HYPERLINK("J:\Depot - mpkCCD Fractions\Main Web Page\Web Pages_old\proteomic_fractions_linear_files/Yang_linear_img/110625798.jpg","show blot")</f>
        <v>show blot</v>
      </c>
      <c r="G5014" t="s">
        <v>4808</v>
      </c>
      <c r="I5014" s="6">
        <v>2.363173076891774</v>
      </c>
      <c r="K5014" s="8"/>
    </row>
    <row r="5015" spans="1:11" ht="15" x14ac:dyDescent="0.25">
      <c r="A5015" s="3" t="str">
        <f>HYPERLINK("proteomic_fractions_linear_files/Yang_linear_img/158508485.jpg", "158508485")</f>
        <v>158508485</v>
      </c>
      <c r="C5015" s="3" t="str">
        <f>HYPERLINK("http://www.ncbi.nlm.nih.gov/protein/158508485","Nos1ap")</f>
        <v>Nos1ap</v>
      </c>
      <c r="E5015" t="str">
        <f>HYPERLINK("J:\Depot - mpkCCD Fractions\Main Web Page\Web Pages_old\proteomic_fractions_linear_files/Yang_linear_img/158508485.jpg","show blot")</f>
        <v>show blot</v>
      </c>
      <c r="G5015" t="s">
        <v>4809</v>
      </c>
      <c r="I5015" s="6">
        <v>2.363173076891774</v>
      </c>
      <c r="K5015" s="8"/>
    </row>
    <row r="5016" spans="1:11" ht="15" x14ac:dyDescent="0.25">
      <c r="A5016" s="3" t="str">
        <f>HYPERLINK("proteomic_fractions_linear_files/Yang_linear_img/254826728.jpg", "254826728")</f>
        <v>254826728</v>
      </c>
      <c r="C5016" s="3" t="str">
        <f>HYPERLINK("http://www.ncbi.nlm.nih.gov/protein/254826728","Nosip")</f>
        <v>Nosip</v>
      </c>
      <c r="E5016" t="str">
        <f>HYPERLINK("J:\Depot - mpkCCD Fractions\Main Web Page\Web Pages_old\proteomic_fractions_linear_files/Yang_linear_img/254826728.jpg","show blot")</f>
        <v>show blot</v>
      </c>
      <c r="G5016" t="s">
        <v>4810</v>
      </c>
      <c r="I5016" s="6">
        <v>4.8155423029145057</v>
      </c>
      <c r="K5016" s="8"/>
    </row>
    <row r="5017" spans="1:11" ht="15" x14ac:dyDescent="0.25">
      <c r="A5017" s="3" t="str">
        <f>HYPERLINK("proteomic_fractions_linear_files/Yang_linear_img/13384956.jpg", "13384956")</f>
        <v>13384956</v>
      </c>
      <c r="C5017" s="3" t="str">
        <f>HYPERLINK("http://www.ncbi.nlm.nih.gov/protein/13384956","Nosip")</f>
        <v>Nosip</v>
      </c>
      <c r="E5017" t="str">
        <f>HYPERLINK("J:\Depot - mpkCCD Fractions\Main Web Page\Web Pages_old\proteomic_fractions_linear_files/Yang_linear_img/13384956.jpg","show blot")</f>
        <v>show blot</v>
      </c>
      <c r="G5017" t="s">
        <v>4811</v>
      </c>
      <c r="I5017" s="6">
        <v>4.8155423029145057</v>
      </c>
      <c r="K5017" s="8"/>
    </row>
    <row r="5018" spans="1:11" ht="15" x14ac:dyDescent="0.25">
      <c r="A5018" s="3" t="str">
        <f>HYPERLINK("proteomic_fractions_linear_files/Yang_linear_img/134288853.jpg", "134288853")</f>
        <v>134288853</v>
      </c>
      <c r="C5018" s="3" t="str">
        <f>HYPERLINK("http://www.ncbi.nlm.nih.gov/protein/134288853","Notch2")</f>
        <v>Notch2</v>
      </c>
      <c r="E5018" t="str">
        <f>HYPERLINK("J:\Depot - mpkCCD Fractions\Main Web Page\Web Pages_old\proteomic_fractions_linear_files/Yang_linear_img/134288853.jpg","show blot")</f>
        <v>show blot</v>
      </c>
      <c r="G5018" t="s">
        <v>4812</v>
      </c>
      <c r="I5018" s="6">
        <v>2.3413564649729302</v>
      </c>
      <c r="K5018" s="8"/>
    </row>
    <row r="5019" spans="1:11" ht="15" x14ac:dyDescent="0.25">
      <c r="A5019" s="3" t="str">
        <f>HYPERLINK("proteomic_fractions_linear_files/Yang_linear_img/6679096.jpg", "6679096")</f>
        <v>6679096</v>
      </c>
      <c r="C5019" s="3" t="str">
        <f>HYPERLINK("http://www.ncbi.nlm.nih.gov/protein/6679096","Notch3")</f>
        <v>Notch3</v>
      </c>
      <c r="E5019" t="str">
        <f>HYPERLINK("J:\Depot - mpkCCD Fractions\Main Web Page\Web Pages_old\proteomic_fractions_linear_files/Yang_linear_img/6679096.jpg","show blot")</f>
        <v>show blot</v>
      </c>
      <c r="G5019" t="s">
        <v>4813</v>
      </c>
      <c r="I5019" s="6">
        <v>2.9450565359241918</v>
      </c>
      <c r="K5019" s="8"/>
    </row>
    <row r="5020" spans="1:11" ht="15" x14ac:dyDescent="0.25">
      <c r="A5020" s="3" t="str">
        <f>HYPERLINK("proteomic_fractions_linear_files/Yang_linear_img/24233564.jpg", "24233564")</f>
        <v>24233564</v>
      </c>
      <c r="C5020" s="3" t="str">
        <f>HYPERLINK("http://www.ncbi.nlm.nih.gov/protein/24233564","Npas4")</f>
        <v>Npas4</v>
      </c>
      <c r="E5020" t="str">
        <f>HYPERLINK("J:\Depot - mpkCCD Fractions\Main Web Page\Web Pages_old\proteomic_fractions_linear_files/Yang_linear_img/24233564.jpg","show blot")</f>
        <v>show blot</v>
      </c>
      <c r="G5020" t="s">
        <v>4814</v>
      </c>
      <c r="I5020" s="6">
        <v>5.5162243632497923</v>
      </c>
      <c r="K5020" s="8"/>
    </row>
    <row r="5021" spans="1:11" ht="15" x14ac:dyDescent="0.25">
      <c r="A5021" s="3" t="str">
        <f>HYPERLINK("proteomic_fractions_linear_files/Yang_linear_img/89242146.jpg", "89242146")</f>
        <v>89242146</v>
      </c>
      <c r="C5021" s="3" t="str">
        <f>HYPERLINK("http://www.ncbi.nlm.nih.gov/protein/89242146","Npc1")</f>
        <v>Npc1</v>
      </c>
      <c r="E5021" t="str">
        <f>HYPERLINK("J:\Depot - mpkCCD Fractions\Main Web Page\Web Pages_old\proteomic_fractions_linear_files/Yang_linear_img/89242146.jpg","show blot")</f>
        <v>show blot</v>
      </c>
      <c r="G5021" t="s">
        <v>4815</v>
      </c>
      <c r="I5021" s="6">
        <v>3.4102178500280513</v>
      </c>
      <c r="K5021" s="8"/>
    </row>
    <row r="5022" spans="1:11" ht="15" x14ac:dyDescent="0.25">
      <c r="A5022" s="3" t="str">
        <f>HYPERLINK("proteomic_fractions_linear_files/Yang_linear_img/12963667.jpg", "12963667")</f>
        <v>12963667</v>
      </c>
      <c r="C5022" s="3" t="str">
        <f>HYPERLINK("http://www.ncbi.nlm.nih.gov/protein/12963667","Npc2")</f>
        <v>Npc2</v>
      </c>
      <c r="E5022" t="str">
        <f>HYPERLINK("J:\Depot - mpkCCD Fractions\Main Web Page\Web Pages_old\proteomic_fractions_linear_files/Yang_linear_img/12963667.jpg","show blot")</f>
        <v>show blot</v>
      </c>
      <c r="G5022" t="s">
        <v>4816</v>
      </c>
      <c r="I5022" s="6">
        <v>6.4846063304205366</v>
      </c>
      <c r="K5022" s="8"/>
    </row>
    <row r="5023" spans="1:11" ht="15" x14ac:dyDescent="0.25">
      <c r="A5023" s="3" t="str">
        <f>HYPERLINK("proteomic_fractions_linear_files/Yang_linear_img/47523981.jpg", "47523981")</f>
        <v>47523981</v>
      </c>
      <c r="C5023" s="3" t="str">
        <f>HYPERLINK("http://www.ncbi.nlm.nih.gov/protein/47523981","Npepl1")</f>
        <v>Npepl1</v>
      </c>
      <c r="E5023" t="str">
        <f>HYPERLINK("J:\Depot - mpkCCD Fractions\Main Web Page\Web Pages_old\proteomic_fractions_linear_files/Yang_linear_img/47523981.jpg","show blot")</f>
        <v>show blot</v>
      </c>
      <c r="G5023" t="s">
        <v>4817</v>
      </c>
      <c r="I5023" s="6">
        <v>5.2028124398455082</v>
      </c>
      <c r="K5023" s="8"/>
    </row>
    <row r="5024" spans="1:11" ht="15" x14ac:dyDescent="0.25">
      <c r="A5024" s="3" t="str">
        <f>HYPERLINK("proteomic_fractions_linear_files/Yang_linear_img/68226731.jpg", "68226731")</f>
        <v>68226731</v>
      </c>
      <c r="C5024" s="3" t="str">
        <f>HYPERLINK("http://www.ncbi.nlm.nih.gov/protein/68226731","Npepps")</f>
        <v>Npepps</v>
      </c>
      <c r="E5024" t="str">
        <f>HYPERLINK("J:\Depot - mpkCCD Fractions\Main Web Page\Web Pages_old\proteomic_fractions_linear_files/Yang_linear_img/68226731.jpg","show blot")</f>
        <v>show blot</v>
      </c>
      <c r="G5024" t="s">
        <v>4818</v>
      </c>
      <c r="I5024" s="6">
        <v>5.7165712162049083</v>
      </c>
      <c r="K5024" s="8"/>
    </row>
    <row r="5025" spans="1:11" ht="15" x14ac:dyDescent="0.25">
      <c r="A5025" s="3" t="str">
        <f>HYPERLINK("proteomic_fractions_linear_files/Yang_linear_img/303324586.jpg", "303324586")</f>
        <v>303324586</v>
      </c>
      <c r="C5025" s="3" t="str">
        <f>HYPERLINK("http://www.ncbi.nlm.nih.gov/protein/303324586","Nploc4")</f>
        <v>Nploc4</v>
      </c>
      <c r="E5025" t="str">
        <f>HYPERLINK("J:\Depot - mpkCCD Fractions\Main Web Page\Web Pages_old\proteomic_fractions_linear_files/Yang_linear_img/303324586.jpg","show blot")</f>
        <v>show blot</v>
      </c>
      <c r="G5025" t="s">
        <v>4819</v>
      </c>
      <c r="I5025" s="6">
        <v>4.3485395178057047</v>
      </c>
      <c r="K5025" s="8"/>
    </row>
    <row r="5026" spans="1:11" ht="15" x14ac:dyDescent="0.25">
      <c r="A5026" s="3" t="str">
        <f>HYPERLINK("proteomic_fractions_linear_files/Yang_linear_img/41054974.jpg", "41054974")</f>
        <v>41054974</v>
      </c>
      <c r="C5026" s="3" t="str">
        <f>HYPERLINK("http://www.ncbi.nlm.nih.gov/protein/41054974","Nploc4")</f>
        <v>Nploc4</v>
      </c>
      <c r="E5026" t="str">
        <f>HYPERLINK("J:\Depot - mpkCCD Fractions\Main Web Page\Web Pages_old\proteomic_fractions_linear_files/Yang_linear_img/41054974.jpg","show blot")</f>
        <v>show blot</v>
      </c>
      <c r="G5026" t="s">
        <v>4820</v>
      </c>
      <c r="I5026" s="6">
        <v>4.3485395178057047</v>
      </c>
      <c r="K5026" s="8"/>
    </row>
    <row r="5027" spans="1:11" ht="15" x14ac:dyDescent="0.25">
      <c r="A5027" s="3" t="str">
        <f>HYPERLINK("proteomic_fractions_linear_files/Yang_linear_img/356582423.jpg", "356582423")</f>
        <v>356582423</v>
      </c>
      <c r="C5027" s="3" t="str">
        <f>HYPERLINK("http://www.ncbi.nlm.nih.gov/protein/356582423","Npm1")</f>
        <v>Npm1</v>
      </c>
      <c r="E5027" t="str">
        <f>HYPERLINK("J:\Depot - mpkCCD Fractions\Main Web Page\Web Pages_old\proteomic_fractions_linear_files/Yang_linear_img/356582423.jpg","show blot")</f>
        <v>show blot</v>
      </c>
      <c r="G5027" t="s">
        <v>4821</v>
      </c>
      <c r="I5027" s="6">
        <v>6.6313526154979838</v>
      </c>
      <c r="K5027" s="8"/>
    </row>
    <row r="5028" spans="1:11" ht="15" x14ac:dyDescent="0.25">
      <c r="A5028" s="3" t="str">
        <f>HYPERLINK("proteomic_fractions_linear_files/Yang_linear_img/356582426.jpg", "356582426")</f>
        <v>356582426</v>
      </c>
      <c r="C5028" s="3" t="str">
        <f>HYPERLINK("http://www.ncbi.nlm.nih.gov/protein/356582426","Npm1")</f>
        <v>Npm1</v>
      </c>
      <c r="E5028" t="str">
        <f>HYPERLINK("J:\Depot - mpkCCD Fractions\Main Web Page\Web Pages_old\proteomic_fractions_linear_files/Yang_linear_img/356582426.jpg","show blot")</f>
        <v>show blot</v>
      </c>
      <c r="G5028" t="s">
        <v>4822</v>
      </c>
      <c r="I5028" s="6">
        <v>6.6313526154979838</v>
      </c>
      <c r="K5028" s="8"/>
    </row>
    <row r="5029" spans="1:11" ht="15" x14ac:dyDescent="0.25">
      <c r="A5029" s="3" t="str">
        <f>HYPERLINK("proteomic_fractions_linear_files/Yang_linear_img/6679108.jpg", "6679108")</f>
        <v>6679108</v>
      </c>
      <c r="C5029" s="3" t="str">
        <f>HYPERLINK("http://www.ncbi.nlm.nih.gov/protein/6679108","Npm1")</f>
        <v>Npm1</v>
      </c>
      <c r="E5029" t="str">
        <f>HYPERLINK("J:\Depot - mpkCCD Fractions\Main Web Page\Web Pages_old\proteomic_fractions_linear_files/Yang_linear_img/6679108.jpg","show blot")</f>
        <v>show blot</v>
      </c>
      <c r="G5029" t="s">
        <v>4823</v>
      </c>
      <c r="I5029" s="6">
        <v>6.6313526154979838</v>
      </c>
      <c r="K5029" s="8"/>
    </row>
    <row r="5030" spans="1:11" ht="15" x14ac:dyDescent="0.25">
      <c r="A5030" s="3" t="str">
        <f>HYPERLINK("proteomic_fractions_linear_files/Yang_linear_img/6679110.jpg", "6679110")</f>
        <v>6679110</v>
      </c>
      <c r="C5030" s="3" t="str">
        <f>HYPERLINK("http://www.ncbi.nlm.nih.gov/protein/6679110","Npm3")</f>
        <v>Npm3</v>
      </c>
      <c r="E5030" t="str">
        <f>HYPERLINK("J:\Depot - mpkCCD Fractions\Main Web Page\Web Pages_old\proteomic_fractions_linear_files/Yang_linear_img/6679110.jpg","show blot")</f>
        <v>show blot</v>
      </c>
      <c r="G5030" t="s">
        <v>4824</v>
      </c>
      <c r="I5030" s="6">
        <v>5.0712048811393649</v>
      </c>
      <c r="K5030" s="8"/>
    </row>
    <row r="5031" spans="1:11" ht="15" x14ac:dyDescent="0.25">
      <c r="A5031" s="3" t="str">
        <f>HYPERLINK("proteomic_fractions_linear_files/Yang_linear_img/71067128.jpg", "71067128")</f>
        <v>71067128</v>
      </c>
      <c r="C5031" s="3" t="str">
        <f>HYPERLINK("http://www.ncbi.nlm.nih.gov/protein/71067128","Npnt")</f>
        <v>Npnt</v>
      </c>
      <c r="E5031" t="str">
        <f>HYPERLINK("J:\Depot - mpkCCD Fractions\Main Web Page\Web Pages_old\proteomic_fractions_linear_files/Yang_linear_img/71067128.jpg","show blot")</f>
        <v>show blot</v>
      </c>
      <c r="G5031" t="s">
        <v>4825</v>
      </c>
      <c r="I5031" s="6">
        <v>2.4457699406369118</v>
      </c>
      <c r="K5031" s="8"/>
    </row>
    <row r="5032" spans="1:11" ht="15" x14ac:dyDescent="0.25">
      <c r="A5032" s="3" t="str">
        <f>HYPERLINK("proteomic_fractions_linear_files/Yang_linear_img/73088940.jpg", "73088940")</f>
        <v>73088940</v>
      </c>
      <c r="C5032" s="3" t="str">
        <f>HYPERLINK("http://www.ncbi.nlm.nih.gov/protein/73088940","Npnt")</f>
        <v>Npnt</v>
      </c>
      <c r="E5032" t="str">
        <f>HYPERLINK("J:\Depot - mpkCCD Fractions\Main Web Page\Web Pages_old\proteomic_fractions_linear_files/Yang_linear_img/73088940.jpg","show blot")</f>
        <v>show blot</v>
      </c>
      <c r="G5032" t="s">
        <v>4826</v>
      </c>
      <c r="I5032" s="6">
        <v>2.4457699406369118</v>
      </c>
      <c r="K5032" s="8"/>
    </row>
    <row r="5033" spans="1:11" ht="15" x14ac:dyDescent="0.25">
      <c r="A5033" s="3" t="str">
        <f>HYPERLINK("proteomic_fractions_linear_files/Yang_linear_img/38194222.jpg", "38194222")</f>
        <v>38194222</v>
      </c>
      <c r="C5033" s="3" t="str">
        <f>HYPERLINK("http://www.ncbi.nlm.nih.gov/protein/38194222","Nprl3")</f>
        <v>Nprl3</v>
      </c>
      <c r="E5033" t="str">
        <f>HYPERLINK("J:\Depot - mpkCCD Fractions\Main Web Page\Web Pages_old\proteomic_fractions_linear_files/Yang_linear_img/38194222.jpg","show blot")</f>
        <v>show blot</v>
      </c>
      <c r="G5033" t="s">
        <v>4827</v>
      </c>
      <c r="I5033" s="6">
        <v>1.5823159331322052</v>
      </c>
      <c r="K5033" s="8"/>
    </row>
    <row r="5034" spans="1:11" ht="15" x14ac:dyDescent="0.25">
      <c r="A5034" s="3" t="str">
        <f>HYPERLINK("proteomic_fractions_linear_files/Yang_linear_img/153945724.jpg", "153945724")</f>
        <v>153945724</v>
      </c>
      <c r="C5034" s="3" t="str">
        <f>HYPERLINK("http://www.ncbi.nlm.nih.gov/protein/153945724","Nptn")</f>
        <v>Nptn</v>
      </c>
      <c r="E5034" t="str">
        <f>HYPERLINK("J:\Depot - mpkCCD Fractions\Main Web Page\Web Pages_old\proteomic_fractions_linear_files/Yang_linear_img/153945724.jpg","show blot")</f>
        <v>show blot</v>
      </c>
      <c r="G5034" t="s">
        <v>4828</v>
      </c>
      <c r="I5034" s="6">
        <v>3.651482366634256</v>
      </c>
      <c r="K5034" s="8"/>
    </row>
    <row r="5035" spans="1:11" ht="15" x14ac:dyDescent="0.25">
      <c r="A5035" s="3" t="str">
        <f>HYPERLINK("proteomic_fractions_linear_files/Yang_linear_img/94400773.jpg", "94400773")</f>
        <v>94400773</v>
      </c>
      <c r="C5035" s="3" t="str">
        <f>HYPERLINK("http://www.ncbi.nlm.nih.gov/protein/94400773","Nqo1")</f>
        <v>Nqo1</v>
      </c>
      <c r="E5035" t="str">
        <f>HYPERLINK("J:\Depot - mpkCCD Fractions\Main Web Page\Web Pages_old\proteomic_fractions_linear_files/Yang_linear_img/94400773.jpg","show blot")</f>
        <v>show blot</v>
      </c>
      <c r="G5035" t="s">
        <v>4829</v>
      </c>
      <c r="I5035" s="6">
        <v>5.9258459044777556</v>
      </c>
      <c r="K5035" s="8"/>
    </row>
    <row r="5036" spans="1:11" ht="15" x14ac:dyDescent="0.25">
      <c r="A5036" s="3" t="str">
        <f>HYPERLINK("proteomic_fractions_linear_files/Yang_linear_img/253795451.jpg", "253795451")</f>
        <v>253795451</v>
      </c>
      <c r="C5036" s="3" t="str">
        <f>HYPERLINK("http://www.ncbi.nlm.nih.gov/protein/253795451","Nqo2")</f>
        <v>Nqo2</v>
      </c>
      <c r="E5036" t="str">
        <f>HYPERLINK("J:\Depot - mpkCCD Fractions\Main Web Page\Web Pages_old\proteomic_fractions_linear_files/Yang_linear_img/253795451.jpg","show blot")</f>
        <v>show blot</v>
      </c>
      <c r="G5036" t="s">
        <v>4830</v>
      </c>
      <c r="I5036" s="6">
        <v>5.1872073637055927</v>
      </c>
      <c r="K5036" s="8"/>
    </row>
    <row r="5037" spans="1:11" ht="15" x14ac:dyDescent="0.25">
      <c r="A5037" s="3" t="str">
        <f>HYPERLINK("proteomic_fractions_linear_files/Yang_linear_img/253795453.jpg", "253795453")</f>
        <v>253795453</v>
      </c>
      <c r="C5037" s="3" t="str">
        <f>HYPERLINK("http://www.ncbi.nlm.nih.gov/protein/253795453","Nqo2")</f>
        <v>Nqo2</v>
      </c>
      <c r="E5037" t="str">
        <f>HYPERLINK("J:\Depot - mpkCCD Fractions\Main Web Page\Web Pages_old\proteomic_fractions_linear_files/Yang_linear_img/253795453.jpg","show blot")</f>
        <v>show blot</v>
      </c>
      <c r="G5037" t="s">
        <v>4831</v>
      </c>
      <c r="I5037" s="6">
        <v>5.1872073637055927</v>
      </c>
      <c r="K5037" s="8"/>
    </row>
    <row r="5038" spans="1:11" ht="15" x14ac:dyDescent="0.25">
      <c r="A5038" s="3" t="str">
        <f>HYPERLINK("proteomic_fractions_linear_files/Yang_linear_img/70980537.jpg", "70980537")</f>
        <v>70980537</v>
      </c>
      <c r="C5038" s="3" t="str">
        <f>HYPERLINK("http://www.ncbi.nlm.nih.gov/protein/70980537","Nr2c2ap")</f>
        <v>Nr2c2ap</v>
      </c>
      <c r="E5038" t="str">
        <f>HYPERLINK("J:\Depot - mpkCCD Fractions\Main Web Page\Web Pages_old\proteomic_fractions_linear_files/Yang_linear_img/70980537.jpg","show blot")</f>
        <v>show blot</v>
      </c>
      <c r="G5038" t="s">
        <v>4832</v>
      </c>
      <c r="I5038" s="6">
        <v>2.9763982693872539</v>
      </c>
      <c r="K5038" s="8"/>
    </row>
    <row r="5039" spans="1:11" ht="15" x14ac:dyDescent="0.25">
      <c r="A5039" s="3" t="str">
        <f>HYPERLINK("proteomic_fractions_linear_files/Yang_linear_img/121247453.jpg", "121247453")</f>
        <v>121247453</v>
      </c>
      <c r="C5039" s="3" t="str">
        <f>HYPERLINK("http://www.ncbi.nlm.nih.gov/protein/121247453","Nr3c1")</f>
        <v>Nr3c1</v>
      </c>
      <c r="E5039" t="str">
        <f>HYPERLINK("J:\Depot - mpkCCD Fractions\Main Web Page\Web Pages_old\proteomic_fractions_linear_files/Yang_linear_img/121247453.jpg","show blot")</f>
        <v>show blot</v>
      </c>
      <c r="G5039" t="s">
        <v>4833</v>
      </c>
      <c r="I5039" s="6">
        <v>3.8831359203906013</v>
      </c>
      <c r="K5039" s="8"/>
    </row>
    <row r="5040" spans="1:11" ht="15" x14ac:dyDescent="0.25">
      <c r="A5040" s="3" t="str">
        <f>HYPERLINK("proteomic_fractions_linear_files/Yang_linear_img/111154109.jpg", "111154109")</f>
        <v>111154109</v>
      </c>
      <c r="C5040" s="3" t="str">
        <f>HYPERLINK("http://www.ncbi.nlm.nih.gov/protein/111154109","Nras")</f>
        <v>Nras</v>
      </c>
      <c r="E5040" t="str">
        <f>HYPERLINK("J:\Depot - mpkCCD Fractions\Main Web Page\Web Pages_old\proteomic_fractions_linear_files/Yang_linear_img/111154109.jpg","show blot")</f>
        <v>show blot</v>
      </c>
      <c r="G5040" t="s">
        <v>4834</v>
      </c>
      <c r="I5040" s="6">
        <v>5.82516896969363</v>
      </c>
      <c r="K5040" s="8"/>
    </row>
    <row r="5041" spans="1:11" ht="15" x14ac:dyDescent="0.25">
      <c r="A5041" s="3" t="str">
        <f>HYPERLINK("proteomic_fractions_linear_files/Yang_linear_img/22219434.jpg", "22219434")</f>
        <v>22219434</v>
      </c>
      <c r="C5041" s="3" t="str">
        <f>HYPERLINK("http://www.ncbi.nlm.nih.gov/protein/22219434","Nrbp1")</f>
        <v>Nrbp1</v>
      </c>
      <c r="E5041" t="str">
        <f>HYPERLINK("J:\Depot - mpkCCD Fractions\Main Web Page\Web Pages_old\proteomic_fractions_linear_files/Yang_linear_img/22219434.jpg","show blot")</f>
        <v>show blot</v>
      </c>
      <c r="G5041" t="s">
        <v>4835</v>
      </c>
      <c r="I5041" s="6">
        <v>3.8475550453038529</v>
      </c>
      <c r="K5041" s="8"/>
    </row>
    <row r="5042" spans="1:11" ht="15" x14ac:dyDescent="0.25">
      <c r="A5042" s="3" t="str">
        <f>HYPERLINK("proteomic_fractions_linear_files/Yang_linear_img/21450055.jpg", "21450055")</f>
        <v>21450055</v>
      </c>
      <c r="C5042" s="3" t="str">
        <f>HYPERLINK("http://www.ncbi.nlm.nih.gov/protein/21450055","Nrbp2")</f>
        <v>Nrbp2</v>
      </c>
      <c r="E5042" t="str">
        <f>HYPERLINK("J:\Depot - mpkCCD Fractions\Main Web Page\Web Pages_old\proteomic_fractions_linear_files/Yang_linear_img/21450055.jpg","show blot")</f>
        <v>show blot</v>
      </c>
      <c r="G5042" t="s">
        <v>4836</v>
      </c>
      <c r="I5042" s="6">
        <v>3.9633839170137235</v>
      </c>
      <c r="K5042" s="8"/>
    </row>
    <row r="5043" spans="1:11" ht="15" x14ac:dyDescent="0.25">
      <c r="A5043" s="3" t="str">
        <f>HYPERLINK("proteomic_fractions_linear_files/Yang_linear_img/31559918.jpg", "31559918")</f>
        <v>31559918</v>
      </c>
      <c r="C5043" s="3" t="str">
        <f>HYPERLINK("http://www.ncbi.nlm.nih.gov/protein/31559918","Nrd1")</f>
        <v>Nrd1</v>
      </c>
      <c r="E5043" t="str">
        <f>HYPERLINK("J:\Depot - mpkCCD Fractions\Main Web Page\Web Pages_old\proteomic_fractions_linear_files/Yang_linear_img/31559918.jpg","show blot")</f>
        <v>show blot</v>
      </c>
      <c r="G5043" t="s">
        <v>4837</v>
      </c>
      <c r="I5043" s="6">
        <v>4.7143449961045745</v>
      </c>
      <c r="K5043" s="8"/>
    </row>
    <row r="5044" spans="1:11" ht="15" x14ac:dyDescent="0.25">
      <c r="A5044" s="3" t="str">
        <f>HYPERLINK("proteomic_fractions_linear_files/Yang_linear_img/6679132.jpg", "6679132")</f>
        <v>6679132</v>
      </c>
      <c r="C5044" s="3" t="str">
        <f>HYPERLINK("http://www.ncbi.nlm.nih.gov/protein/6679132","Nrl")</f>
        <v>Nrl</v>
      </c>
      <c r="E5044" t="str">
        <f>HYPERLINK("J:\Depot - mpkCCD Fractions\Main Web Page\Web Pages_old\proteomic_fractions_linear_files/Yang_linear_img/6679132.jpg","show blot")</f>
        <v>show blot</v>
      </c>
      <c r="G5044" t="s">
        <v>4838</v>
      </c>
      <c r="I5044" s="6">
        <v>4.7548105505300731</v>
      </c>
      <c r="K5044" s="8"/>
    </row>
    <row r="5045" spans="1:11" ht="15" x14ac:dyDescent="0.25">
      <c r="A5045" s="3" t="str">
        <f>HYPERLINK("proteomic_fractions_linear_files/Yang_linear_img/19527352.jpg", "19527352")</f>
        <v>19527352</v>
      </c>
      <c r="C5045" s="3" t="str">
        <f>HYPERLINK("http://www.ncbi.nlm.nih.gov/protein/19527352","Nrm")</f>
        <v>Nrm</v>
      </c>
      <c r="E5045" t="str">
        <f>HYPERLINK("J:\Depot - mpkCCD Fractions\Main Web Page\Web Pages_old\proteomic_fractions_linear_files/Yang_linear_img/19527352.jpg","show blot")</f>
        <v>show blot</v>
      </c>
      <c r="G5045" t="s">
        <v>4839</v>
      </c>
      <c r="I5045" s="6">
        <v>4.7377050990395571</v>
      </c>
      <c r="K5045" s="8"/>
    </row>
    <row r="5046" spans="1:11" ht="15" x14ac:dyDescent="0.25">
      <c r="A5046" s="3" t="str">
        <f>HYPERLINK("proteomic_fractions_linear_files/Yang_linear_img/244792700.jpg", "244792700")</f>
        <v>244792700</v>
      </c>
      <c r="C5046" s="3" t="str">
        <f>HYPERLINK("http://www.ncbi.nlm.nih.gov/protein/244792700","Nrp1")</f>
        <v>Nrp1</v>
      </c>
      <c r="E5046" t="str">
        <f>HYPERLINK("J:\Depot - mpkCCD Fractions\Main Web Page\Web Pages_old\proteomic_fractions_linear_files/Yang_linear_img/244792700.jpg","show blot")</f>
        <v>show blot</v>
      </c>
      <c r="G5046" t="s">
        <v>4840</v>
      </c>
      <c r="I5046" s="6">
        <v>2.3872803615031453</v>
      </c>
      <c r="K5046" s="8"/>
    </row>
    <row r="5047" spans="1:11" ht="15" x14ac:dyDescent="0.25">
      <c r="A5047" s="3" t="str">
        <f>HYPERLINK("proteomic_fractions_linear_files/Yang_linear_img/31982437.jpg", "31982437")</f>
        <v>31982437</v>
      </c>
      <c r="C5047" s="3" t="str">
        <f>HYPERLINK("http://www.ncbi.nlm.nih.gov/protein/31982437","Nsdhl")</f>
        <v>Nsdhl</v>
      </c>
      <c r="E5047" t="str">
        <f>HYPERLINK("J:\Depot - mpkCCD Fractions\Main Web Page\Web Pages_old\proteomic_fractions_linear_files/Yang_linear_img/31982437.jpg","show blot")</f>
        <v>show blot</v>
      </c>
      <c r="G5047" t="s">
        <v>4841</v>
      </c>
      <c r="I5047" s="6">
        <v>4.807303392730276</v>
      </c>
      <c r="K5047" s="8"/>
    </row>
    <row r="5048" spans="1:11" ht="15" x14ac:dyDescent="0.25">
      <c r="A5048" s="3" t="str">
        <f>HYPERLINK("proteomic_fractions_linear_files/Yang_linear_img/31543349.jpg", "31543349")</f>
        <v>31543349</v>
      </c>
      <c r="C5048" s="3" t="str">
        <f>HYPERLINK("http://www.ncbi.nlm.nih.gov/protein/31543349","Nsf")</f>
        <v>Nsf</v>
      </c>
      <c r="E5048" t="str">
        <f>HYPERLINK("J:\Depot - mpkCCD Fractions\Main Web Page\Web Pages_old\proteomic_fractions_linear_files/Yang_linear_img/31543349.jpg","show blot")</f>
        <v>show blot</v>
      </c>
      <c r="G5048" t="s">
        <v>4842</v>
      </c>
      <c r="I5048" s="6">
        <v>5.2668334033228597</v>
      </c>
      <c r="K5048" s="8"/>
    </row>
    <row r="5049" spans="1:11" ht="15" x14ac:dyDescent="0.25">
      <c r="A5049" s="3" t="str">
        <f>HYPERLINK("proteomic_fractions_linear_files/Yang_linear_img/38198665.jpg", "38198665")</f>
        <v>38198665</v>
      </c>
      <c r="C5049" s="3" t="str">
        <f>HYPERLINK("http://www.ncbi.nlm.nih.gov/protein/38198665","Nsfl1c")</f>
        <v>Nsfl1c</v>
      </c>
      <c r="E5049" t="str">
        <f>HYPERLINK("J:\Depot - mpkCCD Fractions\Main Web Page\Web Pages_old\proteomic_fractions_linear_files/Yang_linear_img/38198665.jpg","show blot")</f>
        <v>show blot</v>
      </c>
      <c r="G5049" t="s">
        <v>4843</v>
      </c>
      <c r="I5049" s="6">
        <v>6.0094953041488024</v>
      </c>
      <c r="K5049" s="8"/>
    </row>
    <row r="5050" spans="1:11" ht="15" x14ac:dyDescent="0.25">
      <c r="A5050" s="3" t="str">
        <f>HYPERLINK("proteomic_fractions_linear_files/Yang_linear_img/257196205.jpg", "257196205")</f>
        <v>257196205</v>
      </c>
      <c r="C5050" s="3" t="str">
        <f>HYPERLINK("http://www.ncbi.nlm.nih.gov/protein/257196205","Nsmce2")</f>
        <v>Nsmce2</v>
      </c>
      <c r="E5050" t="str">
        <f>HYPERLINK("J:\Depot - mpkCCD Fractions\Main Web Page\Web Pages_old\proteomic_fractions_linear_files/Yang_linear_img/257196205.jpg","show blot")</f>
        <v>show blot</v>
      </c>
      <c r="G5050" t="s">
        <v>4844</v>
      </c>
      <c r="I5050" s="6">
        <v>3.8188590497891388</v>
      </c>
      <c r="K5050" s="8"/>
    </row>
    <row r="5051" spans="1:11" ht="15" x14ac:dyDescent="0.25">
      <c r="A5051" s="3" t="str">
        <f>HYPERLINK("proteomic_fractions_linear_files/Yang_linear_img/257196207.jpg", "257196207")</f>
        <v>257196207</v>
      </c>
      <c r="C5051" s="3" t="str">
        <f>HYPERLINK("http://www.ncbi.nlm.nih.gov/protein/257196207","Nsmce2")</f>
        <v>Nsmce2</v>
      </c>
      <c r="E5051" t="str">
        <f>HYPERLINK("J:\Depot - mpkCCD Fractions\Main Web Page\Web Pages_old\proteomic_fractions_linear_files/Yang_linear_img/257196207.jpg","show blot")</f>
        <v>show blot</v>
      </c>
      <c r="G5051" t="s">
        <v>4845</v>
      </c>
      <c r="I5051" s="6">
        <v>3.8188590497891388</v>
      </c>
      <c r="K5051" s="8"/>
    </row>
    <row r="5052" spans="1:11" ht="15" x14ac:dyDescent="0.25">
      <c r="A5052" s="3" t="str">
        <f>HYPERLINK("proteomic_fractions_linear_files/Yang_linear_img/242246981.jpg", "242246981")</f>
        <v>242246981</v>
      </c>
      <c r="C5052" s="3" t="str">
        <f>HYPERLINK("http://www.ncbi.nlm.nih.gov/protein/242246981","Nsmce4a")</f>
        <v>Nsmce4a</v>
      </c>
      <c r="E5052" t="str">
        <f>HYPERLINK("J:\Depot - mpkCCD Fractions\Main Web Page\Web Pages_old\proteomic_fractions_linear_files/Yang_linear_img/242246981.jpg","show blot")</f>
        <v>show blot</v>
      </c>
      <c r="G5052" t="s">
        <v>4846</v>
      </c>
      <c r="I5052" s="6">
        <v>3.5344283159446195</v>
      </c>
      <c r="K5052" s="8"/>
    </row>
    <row r="5053" spans="1:11" ht="15" x14ac:dyDescent="0.25">
      <c r="A5053" s="3" t="str">
        <f>HYPERLINK("proteomic_fractions_linear_files/Yang_linear_img/295054316.jpg", "295054316")</f>
        <v>295054316</v>
      </c>
      <c r="C5053" s="3" t="str">
        <f>HYPERLINK("http://www.ncbi.nlm.nih.gov/protein/295054316","Nsun2")</f>
        <v>Nsun2</v>
      </c>
      <c r="E5053" t="str">
        <f>HYPERLINK("J:\Depot - mpkCCD Fractions\Main Web Page\Web Pages_old\proteomic_fractions_linear_files/Yang_linear_img/295054316.jpg","show blot")</f>
        <v>show blot</v>
      </c>
      <c r="G5053" t="s">
        <v>4847</v>
      </c>
      <c r="I5053" s="6">
        <v>5.201049930864138</v>
      </c>
      <c r="K5053" s="8"/>
    </row>
    <row r="5054" spans="1:11" ht="15" x14ac:dyDescent="0.25">
      <c r="A5054" s="3" t="str">
        <f>HYPERLINK("proteomic_fractions_linear_files/Yang_linear_img/154146245.jpg", "154146245")</f>
        <v>154146245</v>
      </c>
      <c r="C5054" s="3" t="str">
        <f>HYPERLINK("http://www.ncbi.nlm.nih.gov/protein/154146245","Nsun5")</f>
        <v>Nsun5</v>
      </c>
      <c r="E5054" t="str">
        <f>HYPERLINK("J:\Depot - mpkCCD Fractions\Main Web Page\Web Pages_old\proteomic_fractions_linear_files/Yang_linear_img/154146245.jpg","show blot")</f>
        <v>show blot</v>
      </c>
      <c r="G5054" t="s">
        <v>4848</v>
      </c>
      <c r="I5054" s="6">
        <v>2.7963021847606773</v>
      </c>
      <c r="K5054" s="8"/>
    </row>
    <row r="5055" spans="1:11" ht="15" x14ac:dyDescent="0.25">
      <c r="A5055" s="3" t="str">
        <f>HYPERLINK("proteomic_fractions_linear_files/Yang_linear_img/260099658.jpg", "260099658")</f>
        <v>260099658</v>
      </c>
      <c r="C5055" s="3" t="str">
        <f>HYPERLINK("http://www.ncbi.nlm.nih.gov/protein/260099658","Nsun6")</f>
        <v>Nsun6</v>
      </c>
      <c r="E5055" t="str">
        <f>HYPERLINK("J:\Depot - mpkCCD Fractions\Main Web Page\Web Pages_old\proteomic_fractions_linear_files/Yang_linear_img/260099658.jpg","show blot")</f>
        <v>show blot</v>
      </c>
      <c r="G5055" t="s">
        <v>4849</v>
      </c>
      <c r="I5055" s="6">
        <v>4.3749110288717121</v>
      </c>
      <c r="K5055" s="8"/>
    </row>
    <row r="5056" spans="1:11" ht="15" x14ac:dyDescent="0.25">
      <c r="A5056" s="3" t="str">
        <f>HYPERLINK("proteomic_fractions_linear_files/Yang_linear_img/260099662.jpg", "260099662")</f>
        <v>260099662</v>
      </c>
      <c r="C5056" s="3" t="str">
        <f>HYPERLINK("http://www.ncbi.nlm.nih.gov/protein/260099662","Nsun6")</f>
        <v>Nsun6</v>
      </c>
      <c r="E5056" t="str">
        <f>HYPERLINK("J:\Depot - mpkCCD Fractions\Main Web Page\Web Pages_old\proteomic_fractions_linear_files/Yang_linear_img/260099662.jpg","show blot")</f>
        <v>show blot</v>
      </c>
      <c r="G5056" t="s">
        <v>4850</v>
      </c>
      <c r="I5056" s="6">
        <v>4.3749110288717121</v>
      </c>
      <c r="K5056" s="8"/>
    </row>
    <row r="5057" spans="1:11" ht="15" x14ac:dyDescent="0.25">
      <c r="A5057" s="3" t="str">
        <f>HYPERLINK("proteomic_fractions_linear_files/Yang_linear_img/260099664.jpg", "260099664")</f>
        <v>260099664</v>
      </c>
      <c r="C5057" s="3" t="str">
        <f>HYPERLINK("http://www.ncbi.nlm.nih.gov/protein/260099664","Nsun6")</f>
        <v>Nsun6</v>
      </c>
      <c r="E5057" t="str">
        <f>HYPERLINK("J:\Depot - mpkCCD Fractions\Main Web Page\Web Pages_old\proteomic_fractions_linear_files/Yang_linear_img/260099664.jpg","show blot")</f>
        <v>show blot</v>
      </c>
      <c r="G5057" t="s">
        <v>4851</v>
      </c>
      <c r="I5057" s="6">
        <v>4.3749110288717121</v>
      </c>
      <c r="K5057" s="8"/>
    </row>
    <row r="5058" spans="1:11" ht="15" x14ac:dyDescent="0.25">
      <c r="A5058" s="3" t="str">
        <f>HYPERLINK("proteomic_fractions_linear_files/Yang_linear_img/7657031.jpg", "7657031")</f>
        <v>7657031</v>
      </c>
      <c r="C5058" s="3" t="str">
        <f>HYPERLINK("http://www.ncbi.nlm.nih.gov/protein/7657031","Nt5c")</f>
        <v>Nt5c</v>
      </c>
      <c r="E5058" t="str">
        <f>HYPERLINK("J:\Depot - mpkCCD Fractions\Main Web Page\Web Pages_old\proteomic_fractions_linear_files/Yang_linear_img/7657031.jpg","show blot")</f>
        <v>show blot</v>
      </c>
      <c r="G5058" t="s">
        <v>4852</v>
      </c>
      <c r="I5058" s="6">
        <v>4.7355976216123068</v>
      </c>
      <c r="K5058" s="8"/>
    </row>
    <row r="5059" spans="1:11" ht="15" x14ac:dyDescent="0.25">
      <c r="A5059" s="3" t="str">
        <f>HYPERLINK("proteomic_fractions_linear_files/Yang_linear_img/256665234.jpg", "256665234")</f>
        <v>256665234</v>
      </c>
      <c r="C5059" s="3" t="str">
        <f>HYPERLINK("http://www.ncbi.nlm.nih.gov/protein/256665234","Nt5c2")</f>
        <v>Nt5c2</v>
      </c>
      <c r="E5059" t="str">
        <f>HYPERLINK("J:\Depot - mpkCCD Fractions\Main Web Page\Web Pages_old\proteomic_fractions_linear_files/Yang_linear_img/256665234.jpg","show blot")</f>
        <v>show blot</v>
      </c>
      <c r="G5059" t="s">
        <v>4853</v>
      </c>
      <c r="I5059" s="6">
        <v>5.7390640634217682</v>
      </c>
      <c r="K5059" s="8"/>
    </row>
    <row r="5060" spans="1:11" ht="15" x14ac:dyDescent="0.25">
      <c r="A5060" s="3" t="str">
        <f>HYPERLINK("proteomic_fractions_linear_files/Yang_linear_img/256665236.jpg", "256665236")</f>
        <v>256665236</v>
      </c>
      <c r="C5060" s="3" t="str">
        <f>HYPERLINK("http://www.ncbi.nlm.nih.gov/protein/256665236","Nt5c2")</f>
        <v>Nt5c2</v>
      </c>
      <c r="E5060" t="str">
        <f>HYPERLINK("J:\Depot - mpkCCD Fractions\Main Web Page\Web Pages_old\proteomic_fractions_linear_files/Yang_linear_img/256665236.jpg","show blot")</f>
        <v>show blot</v>
      </c>
      <c r="G5060" t="s">
        <v>4854</v>
      </c>
      <c r="I5060" s="6">
        <v>5.7390640634217682</v>
      </c>
      <c r="K5060" s="8"/>
    </row>
    <row r="5061" spans="1:11" ht="15" x14ac:dyDescent="0.25">
      <c r="A5061" s="3" t="str">
        <f>HYPERLINK("proteomic_fractions_linear_files/Yang_linear_img/256665238.jpg", "256665238")</f>
        <v>256665238</v>
      </c>
      <c r="C5061" s="3" t="str">
        <f>HYPERLINK("http://www.ncbi.nlm.nih.gov/protein/256665238","Nt5c2")</f>
        <v>Nt5c2</v>
      </c>
      <c r="E5061" t="str">
        <f>HYPERLINK("J:\Depot - mpkCCD Fractions\Main Web Page\Web Pages_old\proteomic_fractions_linear_files/Yang_linear_img/256665238.jpg","show blot")</f>
        <v>show blot</v>
      </c>
      <c r="G5061" t="s">
        <v>4855</v>
      </c>
      <c r="I5061" s="6">
        <v>5.7390640634217682</v>
      </c>
      <c r="K5061" s="8"/>
    </row>
    <row r="5062" spans="1:11" ht="15" x14ac:dyDescent="0.25">
      <c r="A5062" s="3" t="str">
        <f>HYPERLINK("proteomic_fractions_linear_files/Yang_linear_img/172072627.jpg", "172072627")</f>
        <v>172072627</v>
      </c>
      <c r="C5062" s="3" t="str">
        <f>HYPERLINK("http://www.ncbi.nlm.nih.gov/protein/172072627","Nt5c3")</f>
        <v>Nt5c3</v>
      </c>
      <c r="E5062" t="str">
        <f>HYPERLINK("J:\Depot - mpkCCD Fractions\Main Web Page\Web Pages_old\proteomic_fractions_linear_files/Yang_linear_img/172072627.jpg","show blot")</f>
        <v>show blot</v>
      </c>
      <c r="G5062" t="s">
        <v>4856</v>
      </c>
      <c r="I5062" s="6">
        <v>4.5076771971659948</v>
      </c>
      <c r="K5062" s="8"/>
    </row>
    <row r="5063" spans="1:11" ht="15" x14ac:dyDescent="0.25">
      <c r="A5063" s="3" t="str">
        <f>HYPERLINK("proteomic_fractions_linear_files/Yang_linear_img/356991161.jpg", "356991161")</f>
        <v>356991161</v>
      </c>
      <c r="C5063" s="3" t="str">
        <f>HYPERLINK("http://www.ncbi.nlm.nih.gov/protein/356991161","Nt5c3")</f>
        <v>Nt5c3</v>
      </c>
      <c r="E5063" t="str">
        <f>HYPERLINK("J:\Depot - mpkCCD Fractions\Main Web Page\Web Pages_old\proteomic_fractions_linear_files/Yang_linear_img/356991161.jpg","show blot")</f>
        <v>show blot</v>
      </c>
      <c r="G5063" t="s">
        <v>4857</v>
      </c>
      <c r="I5063" s="6">
        <v>4.5076771971659948</v>
      </c>
      <c r="K5063" s="8"/>
    </row>
    <row r="5064" spans="1:11" ht="15" x14ac:dyDescent="0.25">
      <c r="A5064" s="3" t="str">
        <f>HYPERLINK("proteomic_fractions_linear_files/Yang_linear_img/156627551.jpg", "156627551")</f>
        <v>156627551</v>
      </c>
      <c r="C5064" s="3" t="str">
        <f>HYPERLINK("http://www.ncbi.nlm.nih.gov/protein/156627551","Nt5c3b")</f>
        <v>Nt5c3b</v>
      </c>
      <c r="E5064" t="str">
        <f>HYPERLINK("J:\Depot - mpkCCD Fractions\Main Web Page\Web Pages_old\proteomic_fractions_linear_files/Yang_linear_img/156627551.jpg","show blot")</f>
        <v>show blot</v>
      </c>
      <c r="G5064" t="s">
        <v>4858</v>
      </c>
      <c r="I5064" s="6">
        <v>5.0097605095721729</v>
      </c>
      <c r="K5064" s="8"/>
    </row>
    <row r="5065" spans="1:11" ht="15" x14ac:dyDescent="0.25">
      <c r="A5065" s="3" t="str">
        <f>HYPERLINK("proteomic_fractions_linear_files/Yang_linear_img/156627553.jpg", "156627553")</f>
        <v>156627553</v>
      </c>
      <c r="C5065" s="3" t="str">
        <f>HYPERLINK("http://www.ncbi.nlm.nih.gov/protein/156627553","Nt5c3b")</f>
        <v>Nt5c3b</v>
      </c>
      <c r="E5065" t="str">
        <f>HYPERLINK("J:\Depot - mpkCCD Fractions\Main Web Page\Web Pages_old\proteomic_fractions_linear_files/Yang_linear_img/156627553.jpg","show blot")</f>
        <v>show blot</v>
      </c>
      <c r="G5065" t="s">
        <v>4859</v>
      </c>
      <c r="I5065" s="6">
        <v>5.0097605095721729</v>
      </c>
      <c r="K5065" s="8"/>
    </row>
    <row r="5066" spans="1:11" ht="15" x14ac:dyDescent="0.25">
      <c r="A5066" s="3" t="str">
        <f>HYPERLINK("proteomic_fractions_linear_files/Yang_linear_img/110626010.jpg", "110626010")</f>
        <v>110626010</v>
      </c>
      <c r="C5066" s="3" t="str">
        <f>HYPERLINK("http://www.ncbi.nlm.nih.gov/protein/110626010","Nt5dc1")</f>
        <v>Nt5dc1</v>
      </c>
      <c r="E5066" t="str">
        <f>HYPERLINK("J:\Depot - mpkCCD Fractions\Main Web Page\Web Pages_old\proteomic_fractions_linear_files/Yang_linear_img/110626010.jpg","show blot")</f>
        <v>show blot</v>
      </c>
      <c r="G5066" t="s">
        <v>4860</v>
      </c>
      <c r="I5066" s="6">
        <v>5.368347916975627</v>
      </c>
      <c r="K5066" s="8"/>
    </row>
    <row r="5067" spans="1:11" ht="15" x14ac:dyDescent="0.25">
      <c r="A5067" s="3" t="str">
        <f>HYPERLINK("proteomic_fractions_linear_files/Yang_linear_img/110625755.jpg", "110625755")</f>
        <v>110625755</v>
      </c>
      <c r="C5067" s="3" t="str">
        <f>HYPERLINK("http://www.ncbi.nlm.nih.gov/protein/110625755","Nt5dc2")</f>
        <v>Nt5dc2</v>
      </c>
      <c r="E5067" t="str">
        <f>HYPERLINK("J:\Depot - mpkCCD Fractions\Main Web Page\Web Pages_old\proteomic_fractions_linear_files/Yang_linear_img/110625755.jpg","show blot")</f>
        <v>show blot</v>
      </c>
      <c r="G5067" t="s">
        <v>4861</v>
      </c>
      <c r="I5067" s="6">
        <v>3.3261246095056047</v>
      </c>
      <c r="K5067" s="8"/>
    </row>
    <row r="5068" spans="1:11" ht="15" x14ac:dyDescent="0.25">
      <c r="A5068" s="3" t="str">
        <f>HYPERLINK("proteomic_fractions_linear_files/Yang_linear_img/111494223.jpg", "111494223")</f>
        <v>111494223</v>
      </c>
      <c r="C5068" s="3" t="str">
        <f>HYPERLINK("http://www.ncbi.nlm.nih.gov/protein/111494223","Nt5dc3")</f>
        <v>Nt5dc3</v>
      </c>
      <c r="E5068" t="str">
        <f>HYPERLINK("J:\Depot - mpkCCD Fractions\Main Web Page\Web Pages_old\proteomic_fractions_linear_files/Yang_linear_img/111494223.jpg","show blot")</f>
        <v>show blot</v>
      </c>
      <c r="G5068" t="s">
        <v>4862</v>
      </c>
      <c r="I5068" s="6">
        <v>3.2600272959050498</v>
      </c>
      <c r="K5068" s="8"/>
    </row>
    <row r="5069" spans="1:11" ht="15" x14ac:dyDescent="0.25">
      <c r="A5069" s="3" t="str">
        <f>HYPERLINK("proteomic_fractions_linear_files/Yang_linear_img/6754902.jpg", "6754902")</f>
        <v>6754902</v>
      </c>
      <c r="C5069" s="3" t="str">
        <f>HYPERLINK("http://www.ncbi.nlm.nih.gov/protein/6754902","Ntan1")</f>
        <v>Ntan1</v>
      </c>
      <c r="E5069" t="str">
        <f>HYPERLINK("J:\Depot - mpkCCD Fractions\Main Web Page\Web Pages_old\proteomic_fractions_linear_files/Yang_linear_img/6754902.jpg","show blot")</f>
        <v>show blot</v>
      </c>
      <c r="G5069" t="s">
        <v>4863</v>
      </c>
      <c r="I5069" s="6">
        <v>4.7565687548878781</v>
      </c>
      <c r="K5069" s="8"/>
    </row>
    <row r="5070" spans="1:11" ht="15" x14ac:dyDescent="0.25">
      <c r="A5070" s="3" t="str">
        <f>HYPERLINK("proteomic_fractions_linear_files/Yang_linear_img/24528555.jpg", "24528555")</f>
        <v>24528555</v>
      </c>
      <c r="C5070" s="3" t="str">
        <f>HYPERLINK("http://www.ncbi.nlm.nih.gov/protein/24528555","Ntmt1")</f>
        <v>Ntmt1</v>
      </c>
      <c r="E5070" t="str">
        <f>HYPERLINK("J:\Depot - mpkCCD Fractions\Main Web Page\Web Pages_old\proteomic_fractions_linear_files/Yang_linear_img/24528555.jpg","show blot")</f>
        <v>show blot</v>
      </c>
      <c r="G5070" t="s">
        <v>4864</v>
      </c>
      <c r="I5070" s="6">
        <v>4.7226381983279406</v>
      </c>
      <c r="K5070" s="8"/>
    </row>
    <row r="5071" spans="1:11" ht="15" x14ac:dyDescent="0.25">
      <c r="A5071" s="3" t="str">
        <f>HYPERLINK("proteomic_fractions_linear_files/Yang_linear_img/13385098.jpg", "13385098")</f>
        <v>13385098</v>
      </c>
      <c r="C5071" s="3" t="str">
        <f>HYPERLINK("http://www.ncbi.nlm.nih.gov/protein/13385098","Ntpcr")</f>
        <v>Ntpcr</v>
      </c>
      <c r="E5071" t="str">
        <f>HYPERLINK("J:\Depot - mpkCCD Fractions\Main Web Page\Web Pages_old\proteomic_fractions_linear_files/Yang_linear_img/13385098.jpg","show blot")</f>
        <v>show blot</v>
      </c>
      <c r="G5071" t="s">
        <v>4865</v>
      </c>
      <c r="I5071" s="6">
        <v>3.9596813853923054</v>
      </c>
      <c r="K5071" s="8"/>
    </row>
    <row r="5072" spans="1:11" ht="15" x14ac:dyDescent="0.25">
      <c r="A5072" s="3" t="str">
        <f>HYPERLINK("proteomic_fractions_linear_files/Yang_linear_img/119360354.jpg", "119360354")</f>
        <v>119360354</v>
      </c>
      <c r="C5072" s="3" t="str">
        <f>HYPERLINK("http://www.ncbi.nlm.nih.gov/protein/119360354","Nub1")</f>
        <v>Nub1</v>
      </c>
      <c r="E5072" t="str">
        <f>HYPERLINK("J:\Depot - mpkCCD Fractions\Main Web Page\Web Pages_old\proteomic_fractions_linear_files/Yang_linear_img/119360354.jpg","show blot")</f>
        <v>show blot</v>
      </c>
      <c r="G5072" t="s">
        <v>4866</v>
      </c>
      <c r="I5072" s="6">
        <v>4.9333033068723191</v>
      </c>
      <c r="K5072" s="8"/>
    </row>
    <row r="5073" spans="1:11" ht="15" x14ac:dyDescent="0.25">
      <c r="A5073" s="3" t="str">
        <f>HYPERLINK("proteomic_fractions_linear_files/Yang_linear_img/6754906.jpg", "6754906")</f>
        <v>6754906</v>
      </c>
      <c r="C5073" s="3" t="str">
        <f>HYPERLINK("http://www.ncbi.nlm.nih.gov/protein/6754906","Nubp1")</f>
        <v>Nubp1</v>
      </c>
      <c r="E5073" t="str">
        <f>HYPERLINK("J:\Depot - mpkCCD Fractions\Main Web Page\Web Pages_old\proteomic_fractions_linear_files/Yang_linear_img/6754906.jpg","show blot")</f>
        <v>show blot</v>
      </c>
      <c r="G5073" t="s">
        <v>4867</v>
      </c>
      <c r="I5073" s="6">
        <v>4.8098523022660693</v>
      </c>
      <c r="K5073" s="8"/>
    </row>
    <row r="5074" spans="1:11" ht="15" x14ac:dyDescent="0.25">
      <c r="A5074" s="3" t="str">
        <f>HYPERLINK("proteomic_fractions_linear_files/Yang_linear_img/6754908.jpg", "6754908")</f>
        <v>6754908</v>
      </c>
      <c r="C5074" s="3" t="str">
        <f>HYPERLINK("http://www.ncbi.nlm.nih.gov/protein/6754908","Nubp2")</f>
        <v>Nubp2</v>
      </c>
      <c r="E5074" t="str">
        <f>HYPERLINK("J:\Depot - mpkCCD Fractions\Main Web Page\Web Pages_old\proteomic_fractions_linear_files/Yang_linear_img/6754908.jpg","show blot")</f>
        <v>show blot</v>
      </c>
      <c r="G5074" t="s">
        <v>4868</v>
      </c>
      <c r="I5074" s="6">
        <v>4.9084539916056835</v>
      </c>
      <c r="K5074" s="8"/>
    </row>
    <row r="5075" spans="1:11" ht="15" x14ac:dyDescent="0.25">
      <c r="A5075" s="3" t="str">
        <f>HYPERLINK("proteomic_fractions_linear_files/Yang_linear_img/167234411.jpg", "167234411")</f>
        <v>167234411</v>
      </c>
      <c r="C5075" s="3" t="str">
        <f>HYPERLINK("http://www.ncbi.nlm.nih.gov/protein/167234411","Nubpl")</f>
        <v>Nubpl</v>
      </c>
      <c r="E5075" t="str">
        <f>HYPERLINK("J:\Depot - mpkCCD Fractions\Main Web Page\Web Pages_old\proteomic_fractions_linear_files/Yang_linear_img/167234411.jpg","show blot")</f>
        <v>show blot</v>
      </c>
      <c r="G5075" t="s">
        <v>4869</v>
      </c>
      <c r="I5075" s="6">
        <v>2.5870990934333813</v>
      </c>
      <c r="K5075" s="8"/>
    </row>
    <row r="5076" spans="1:11" ht="15" x14ac:dyDescent="0.25">
      <c r="A5076" s="3" t="str">
        <f>HYPERLINK("proteomic_fractions_linear_files/Yang_linear_img/254750698.jpg", "254750698")</f>
        <v>254750698</v>
      </c>
      <c r="C5076" s="3" t="str">
        <f>HYPERLINK("http://www.ncbi.nlm.nih.gov/protein/254750698","Nucb1")</f>
        <v>Nucb1</v>
      </c>
      <c r="E5076" t="str">
        <f>HYPERLINK("J:\Depot - mpkCCD Fractions\Main Web Page\Web Pages_old\proteomic_fractions_linear_files/Yang_linear_img/254750698.jpg","show blot")</f>
        <v>show blot</v>
      </c>
      <c r="G5076" t="s">
        <v>4870</v>
      </c>
      <c r="I5076" s="6">
        <v>4.9422115873023476</v>
      </c>
      <c r="K5076" s="8"/>
    </row>
    <row r="5077" spans="1:11" ht="15" x14ac:dyDescent="0.25">
      <c r="A5077" s="3" t="str">
        <f>HYPERLINK("proteomic_fractions_linear_files/Yang_linear_img/6679158.jpg", "6679158")</f>
        <v>6679158</v>
      </c>
      <c r="C5077" s="3" t="str">
        <f>HYPERLINK("http://www.ncbi.nlm.nih.gov/protein/6679158","Nucb1")</f>
        <v>Nucb1</v>
      </c>
      <c r="E5077" t="str">
        <f>HYPERLINK("J:\Depot - mpkCCD Fractions\Main Web Page\Web Pages_old\proteomic_fractions_linear_files/Yang_linear_img/6679158.jpg","show blot")</f>
        <v>show blot</v>
      </c>
      <c r="G5077" t="s">
        <v>4871</v>
      </c>
      <c r="I5077" s="6">
        <v>4.9422115873023476</v>
      </c>
      <c r="K5077" s="8"/>
    </row>
    <row r="5078" spans="1:11" ht="15" x14ac:dyDescent="0.25">
      <c r="A5078" s="3" t="str">
        <f>HYPERLINK("proteomic_fractions_linear_files/Yang_linear_img/194440700.jpg", "194440700")</f>
        <v>194440700</v>
      </c>
      <c r="C5078" s="3" t="str">
        <f>HYPERLINK("http://www.ncbi.nlm.nih.gov/protein/194440700","Nucb2")</f>
        <v>Nucb2</v>
      </c>
      <c r="E5078" t="str">
        <f>HYPERLINK("J:\Depot - mpkCCD Fractions\Main Web Page\Web Pages_old\proteomic_fractions_linear_files/Yang_linear_img/194440700.jpg","show blot")</f>
        <v>show blot</v>
      </c>
      <c r="G5078" t="s">
        <v>4872</v>
      </c>
      <c r="I5078" s="6">
        <v>4.2184263521650012</v>
      </c>
      <c r="K5078" s="8"/>
    </row>
    <row r="5079" spans="1:11" ht="15" x14ac:dyDescent="0.25">
      <c r="A5079" s="3" t="str">
        <f>HYPERLINK("proteomic_fractions_linear_files/Yang_linear_img/224809559.jpg", "224809559")</f>
        <v>224809559</v>
      </c>
      <c r="C5079" s="3" t="str">
        <f>HYPERLINK("http://www.ncbi.nlm.nih.gov/protein/224809559","Nucks1")</f>
        <v>Nucks1</v>
      </c>
      <c r="E5079" t="str">
        <f>HYPERLINK("J:\Depot - mpkCCD Fractions\Main Web Page\Web Pages_old\proteomic_fractions_linear_files/Yang_linear_img/224809559.jpg","show blot")</f>
        <v>show blot</v>
      </c>
      <c r="G5079" t="s">
        <v>4873</v>
      </c>
      <c r="I5079" s="6">
        <v>2.8311131836173549</v>
      </c>
      <c r="K5079" s="8"/>
    </row>
    <row r="5080" spans="1:11" ht="15" x14ac:dyDescent="0.25">
      <c r="A5080" s="3" t="str">
        <f>HYPERLINK("proteomic_fractions_linear_files/Yang_linear_img/224809563.jpg", "224809563")</f>
        <v>224809563</v>
      </c>
      <c r="C5080" s="3" t="str">
        <f>HYPERLINK("http://www.ncbi.nlm.nih.gov/protein/224809563","Nucks1")</f>
        <v>Nucks1</v>
      </c>
      <c r="E5080" t="str">
        <f>HYPERLINK("J:\Depot - mpkCCD Fractions\Main Web Page\Web Pages_old\proteomic_fractions_linear_files/Yang_linear_img/224809563.jpg","show blot")</f>
        <v>show blot</v>
      </c>
      <c r="G5080" t="s">
        <v>4874</v>
      </c>
      <c r="I5080" s="6">
        <v>2.8311131836173549</v>
      </c>
      <c r="K5080" s="8"/>
    </row>
    <row r="5081" spans="1:11" ht="15" x14ac:dyDescent="0.25">
      <c r="A5081" s="3" t="str">
        <f>HYPERLINK("proteomic_fractions_linear_files/Yang_linear_img/6754910.jpg", "6754910")</f>
        <v>6754910</v>
      </c>
      <c r="C5081" s="3" t="str">
        <f>HYPERLINK("http://www.ncbi.nlm.nih.gov/protein/6754910","Nudc")</f>
        <v>Nudc</v>
      </c>
      <c r="E5081" t="str">
        <f>HYPERLINK("J:\Depot - mpkCCD Fractions\Main Web Page\Web Pages_old\proteomic_fractions_linear_files/Yang_linear_img/6754910.jpg","show blot")</f>
        <v>show blot</v>
      </c>
      <c r="G5081" t="s">
        <v>4875</v>
      </c>
      <c r="I5081" s="6">
        <v>5.8928972087583702</v>
      </c>
      <c r="K5081" s="8"/>
    </row>
    <row r="5082" spans="1:11" ht="15" x14ac:dyDescent="0.25">
      <c r="A5082" s="3" t="str">
        <f>HYPERLINK("proteomic_fractions_linear_files/Yang_linear_img/165905633.jpg", "165905633")</f>
        <v>165905633</v>
      </c>
      <c r="C5082" s="3" t="str">
        <f>HYPERLINK("http://www.ncbi.nlm.nih.gov/protein/165905633","Nudcd1")</f>
        <v>Nudcd1</v>
      </c>
      <c r="E5082" t="str">
        <f>HYPERLINK("J:\Depot - mpkCCD Fractions\Main Web Page\Web Pages_old\proteomic_fractions_linear_files/Yang_linear_img/165905633.jpg","show blot")</f>
        <v>show blot</v>
      </c>
      <c r="G5082" t="s">
        <v>4876</v>
      </c>
      <c r="I5082" s="6">
        <v>5.148840466114792</v>
      </c>
      <c r="K5082" s="8"/>
    </row>
    <row r="5083" spans="1:11" ht="15" x14ac:dyDescent="0.25">
      <c r="A5083" s="3" t="str">
        <f>HYPERLINK("proteomic_fractions_linear_files/Yang_linear_img/165905635.jpg", "165905635")</f>
        <v>165905635</v>
      </c>
      <c r="C5083" s="3" t="str">
        <f>HYPERLINK("http://www.ncbi.nlm.nih.gov/protein/165905635","Nudcd1")</f>
        <v>Nudcd1</v>
      </c>
      <c r="E5083" t="str">
        <f>HYPERLINK("J:\Depot - mpkCCD Fractions\Main Web Page\Web Pages_old\proteomic_fractions_linear_files/Yang_linear_img/165905635.jpg","show blot")</f>
        <v>show blot</v>
      </c>
      <c r="G5083" t="s">
        <v>4877</v>
      </c>
      <c r="I5083" s="6">
        <v>5.148840466114792</v>
      </c>
      <c r="K5083" s="8"/>
    </row>
    <row r="5084" spans="1:11" ht="15" x14ac:dyDescent="0.25">
      <c r="A5084" s="3" t="str">
        <f>HYPERLINK("proteomic_fractions_linear_files/Yang_linear_img/133922575.jpg", "133922575")</f>
        <v>133922575</v>
      </c>
      <c r="C5084" s="3" t="str">
        <f>HYPERLINK("http://www.ncbi.nlm.nih.gov/protein/133922575","Nudcd2")</f>
        <v>Nudcd2</v>
      </c>
      <c r="E5084" t="str">
        <f>HYPERLINK("J:\Depot - mpkCCD Fractions\Main Web Page\Web Pages_old\proteomic_fractions_linear_files/Yang_linear_img/133922575.jpg","show blot")</f>
        <v>show blot</v>
      </c>
      <c r="G5084" t="s">
        <v>4878</v>
      </c>
      <c r="I5084" s="6">
        <v>5.3211881934028673</v>
      </c>
      <c r="K5084" s="8"/>
    </row>
    <row r="5085" spans="1:11" ht="15" x14ac:dyDescent="0.25">
      <c r="A5085" s="3" t="str">
        <f>HYPERLINK("proteomic_fractions_linear_files/Yang_linear_img/30424587.jpg", "30424587")</f>
        <v>30424587</v>
      </c>
      <c r="C5085" s="3" t="str">
        <f>HYPERLINK("http://www.ncbi.nlm.nih.gov/protein/30424587","Nudcd3")</f>
        <v>Nudcd3</v>
      </c>
      <c r="E5085" t="str">
        <f>HYPERLINK("J:\Depot - mpkCCD Fractions\Main Web Page\Web Pages_old\proteomic_fractions_linear_files/Yang_linear_img/30424587.jpg","show blot")</f>
        <v>show blot</v>
      </c>
      <c r="G5085" t="s">
        <v>4879</v>
      </c>
      <c r="I5085" s="6">
        <v>4.103249739417091</v>
      </c>
      <c r="K5085" s="8"/>
    </row>
    <row r="5086" spans="1:11" ht="15" x14ac:dyDescent="0.25">
      <c r="A5086" s="3" t="str">
        <f>HYPERLINK("proteomic_fractions_linear_files/Yang_linear_img/6678950.jpg", "6678950")</f>
        <v>6678950</v>
      </c>
      <c r="C5086" s="3" t="str">
        <f>HYPERLINK("http://www.ncbi.nlm.nih.gov/protein/6678950","Nudt1")</f>
        <v>Nudt1</v>
      </c>
      <c r="E5086" t="str">
        <f>HYPERLINK("J:\Depot - mpkCCD Fractions\Main Web Page\Web Pages_old\proteomic_fractions_linear_files/Yang_linear_img/6678950.jpg","show blot")</f>
        <v>show blot</v>
      </c>
      <c r="G5086" t="s">
        <v>4880</v>
      </c>
      <c r="I5086" s="6">
        <v>3.5954921091487035</v>
      </c>
      <c r="K5086" s="8"/>
    </row>
    <row r="5087" spans="1:11" ht="15" x14ac:dyDescent="0.25">
      <c r="A5087" s="3" t="str">
        <f>HYPERLINK("proteomic_fractions_linear_files/Yang_linear_img/72384357.jpg", "72384357")</f>
        <v>72384357</v>
      </c>
      <c r="C5087" s="3" t="str">
        <f>HYPERLINK("http://www.ncbi.nlm.nih.gov/protein/72384357","Nudt10")</f>
        <v>Nudt10</v>
      </c>
      <c r="E5087" t="str">
        <f>HYPERLINK("J:\Depot - mpkCCD Fractions\Main Web Page\Web Pages_old\proteomic_fractions_linear_files/Yang_linear_img/72384357.jpg","show blot")</f>
        <v>show blot</v>
      </c>
      <c r="G5087" t="s">
        <v>4881</v>
      </c>
      <c r="I5087" s="6">
        <v>4.8335792346666526</v>
      </c>
      <c r="K5087" s="8"/>
    </row>
    <row r="5088" spans="1:11" ht="15" x14ac:dyDescent="0.25">
      <c r="A5088" s="3" t="str">
        <f>HYPERLINK("proteomic_fractions_linear_files/Yang_linear_img/21312664.jpg", "21312664")</f>
        <v>21312664</v>
      </c>
      <c r="C5088" s="3" t="str">
        <f>HYPERLINK("http://www.ncbi.nlm.nih.gov/protein/21312664","Nudt12")</f>
        <v>Nudt12</v>
      </c>
      <c r="E5088" t="str">
        <f>HYPERLINK("J:\Depot - mpkCCD Fractions\Main Web Page\Web Pages_old\proteomic_fractions_linear_files/Yang_linear_img/21312664.jpg","show blot")</f>
        <v>show blot</v>
      </c>
      <c r="G5088" t="s">
        <v>4882</v>
      </c>
      <c r="I5088" s="6">
        <v>4.2862501110536231</v>
      </c>
      <c r="K5088" s="8"/>
    </row>
    <row r="5089" spans="1:11" ht="15" x14ac:dyDescent="0.25">
      <c r="A5089" s="3" t="str">
        <f>HYPERLINK("proteomic_fractions_linear_files/Yang_linear_img/23956126.jpg", "23956126")</f>
        <v>23956126</v>
      </c>
      <c r="C5089" s="3" t="str">
        <f>HYPERLINK("http://www.ncbi.nlm.nih.gov/protein/23956126","Nudt14")</f>
        <v>Nudt14</v>
      </c>
      <c r="E5089" t="str">
        <f>HYPERLINK("J:\Depot - mpkCCD Fractions\Main Web Page\Web Pages_old\proteomic_fractions_linear_files/Yang_linear_img/23956126.jpg","show blot")</f>
        <v>show blot</v>
      </c>
      <c r="G5089" t="s">
        <v>4883</v>
      </c>
      <c r="I5089" s="6">
        <v>5.5486740726934016</v>
      </c>
      <c r="K5089" s="8"/>
    </row>
    <row r="5090" spans="1:11" ht="15" x14ac:dyDescent="0.25">
      <c r="A5090" s="3" t="str">
        <f>HYPERLINK("proteomic_fractions_linear_files/Yang_linear_img/125656157.jpg", "125656157")</f>
        <v>125656157</v>
      </c>
      <c r="C5090" s="3" t="str">
        <f>HYPERLINK("http://www.ncbi.nlm.nih.gov/protein/125656157","Nudt16")</f>
        <v>Nudt16</v>
      </c>
      <c r="E5090" t="str">
        <f>HYPERLINK("J:\Depot - mpkCCD Fractions\Main Web Page\Web Pages_old\proteomic_fractions_linear_files/Yang_linear_img/125656157.jpg","show blot")</f>
        <v>show blot</v>
      </c>
      <c r="G5090" t="s">
        <v>4884</v>
      </c>
      <c r="I5090" s="6">
        <v>2.2500871670784739</v>
      </c>
      <c r="K5090" s="8"/>
    </row>
    <row r="5091" spans="1:11" ht="15" x14ac:dyDescent="0.25">
      <c r="A5091" s="3" t="str">
        <f>HYPERLINK("proteomic_fractions_linear_files/Yang_linear_img/13385314.jpg", "13385314")</f>
        <v>13385314</v>
      </c>
      <c r="C5091" s="3" t="str">
        <f>HYPERLINK("http://www.ncbi.nlm.nih.gov/protein/13385314","Nudt16l1")</f>
        <v>Nudt16l1</v>
      </c>
      <c r="E5091" t="str">
        <f>HYPERLINK("J:\Depot - mpkCCD Fractions\Main Web Page\Web Pages_old\proteomic_fractions_linear_files/Yang_linear_img/13385314.jpg","show blot")</f>
        <v>show blot</v>
      </c>
      <c r="G5091" t="s">
        <v>4885</v>
      </c>
      <c r="I5091" s="6">
        <v>5.2410684078032439</v>
      </c>
      <c r="K5091" s="8"/>
    </row>
    <row r="5092" spans="1:11" ht="15" x14ac:dyDescent="0.25">
      <c r="A5092" s="3" t="str">
        <f>HYPERLINK("proteomic_fractions_linear_files/Yang_linear_img/86198335.jpg", "86198335")</f>
        <v>86198335</v>
      </c>
      <c r="C5092" s="3" t="str">
        <f>HYPERLINK("http://www.ncbi.nlm.nih.gov/protein/86198335","Nudt2")</f>
        <v>Nudt2</v>
      </c>
      <c r="E5092" t="str">
        <f>HYPERLINK("J:\Depot - mpkCCD Fractions\Main Web Page\Web Pages_old\proteomic_fractions_linear_files/Yang_linear_img/86198335.jpg","show blot")</f>
        <v>show blot</v>
      </c>
      <c r="G5092" t="s">
        <v>4886</v>
      </c>
      <c r="I5092" s="6">
        <v>4.8472035437587531</v>
      </c>
      <c r="K5092" s="8"/>
    </row>
    <row r="5093" spans="1:11" ht="15" x14ac:dyDescent="0.25">
      <c r="A5093" s="3" t="str">
        <f>HYPERLINK("proteomic_fractions_linear_files/Yang_linear_img/13386106.jpg", "13386106")</f>
        <v>13386106</v>
      </c>
      <c r="C5093" s="3" t="str">
        <f>HYPERLINK("http://www.ncbi.nlm.nih.gov/protein/13386106","Nudt21")</f>
        <v>Nudt21</v>
      </c>
      <c r="E5093" t="str">
        <f>HYPERLINK("J:\Depot - mpkCCD Fractions\Main Web Page\Web Pages_old\proteomic_fractions_linear_files/Yang_linear_img/13386106.jpg","show blot")</f>
        <v>show blot</v>
      </c>
      <c r="G5093" t="s">
        <v>4887</v>
      </c>
      <c r="I5093" s="6">
        <v>6.0498864211487904</v>
      </c>
      <c r="K5093" s="8"/>
    </row>
    <row r="5094" spans="1:11" ht="15" x14ac:dyDescent="0.25">
      <c r="A5094" s="3" t="str">
        <f>HYPERLINK("proteomic_fractions_linear_files/Yang_linear_img/9789933.jpg", "9789933")</f>
        <v>9789933</v>
      </c>
      <c r="C5094" s="3" t="str">
        <f>HYPERLINK("http://www.ncbi.nlm.nih.gov/protein/9789933","Nudt3")</f>
        <v>Nudt3</v>
      </c>
      <c r="E5094" t="str">
        <f>HYPERLINK("J:\Depot - mpkCCD Fractions\Main Web Page\Web Pages_old\proteomic_fractions_linear_files/Yang_linear_img/9789933.jpg","show blot")</f>
        <v>show blot</v>
      </c>
      <c r="G5094" t="s">
        <v>4888</v>
      </c>
      <c r="I5094" s="6">
        <v>5.4824881531528238</v>
      </c>
      <c r="K5094" s="8"/>
    </row>
    <row r="5095" spans="1:11" ht="15" x14ac:dyDescent="0.25">
      <c r="A5095" s="3" t="str">
        <f>HYPERLINK("proteomic_fractions_linear_files/Yang_linear_img/169808397.jpg", "169808397")</f>
        <v>169808397</v>
      </c>
      <c r="C5095" s="3" t="str">
        <f>HYPERLINK("http://www.ncbi.nlm.nih.gov/protein/169808397","Nudt4")</f>
        <v>Nudt4</v>
      </c>
      <c r="E5095" t="str">
        <f>HYPERLINK("J:\Depot - mpkCCD Fractions\Main Web Page\Web Pages_old\proteomic_fractions_linear_files/Yang_linear_img/169808397.jpg","show blot")</f>
        <v>show blot</v>
      </c>
      <c r="G5095" t="s">
        <v>4889</v>
      </c>
      <c r="I5095" s="6">
        <v>5.2009318093156587</v>
      </c>
      <c r="K5095" s="8"/>
    </row>
    <row r="5096" spans="1:11" ht="15" x14ac:dyDescent="0.25">
      <c r="A5096" s="3" t="str">
        <f>HYPERLINK("proteomic_fractions_linear_files/Yang_linear_img/8393853.jpg", "8393853")</f>
        <v>8393853</v>
      </c>
      <c r="C5096" s="3" t="str">
        <f>HYPERLINK("http://www.ncbi.nlm.nih.gov/protein/8393853","Nudt5")</f>
        <v>Nudt5</v>
      </c>
      <c r="E5096" t="str">
        <f>HYPERLINK("J:\Depot - mpkCCD Fractions\Main Web Page\Web Pages_old\proteomic_fractions_linear_files/Yang_linear_img/8393853.jpg","show blot")</f>
        <v>show blot</v>
      </c>
      <c r="G5096" t="s">
        <v>4890</v>
      </c>
      <c r="I5096" s="6">
        <v>5.7683909643043929</v>
      </c>
      <c r="K5096" s="8"/>
    </row>
    <row r="5097" spans="1:11" ht="15" x14ac:dyDescent="0.25">
      <c r="A5097" s="3" t="str">
        <f>HYPERLINK("proteomic_fractions_linear_files/Yang_linear_img/13384950.jpg", "13384950")</f>
        <v>13384950</v>
      </c>
      <c r="C5097" s="3" t="str">
        <f>HYPERLINK("http://www.ncbi.nlm.nih.gov/protein/13384950","Nudt8")</f>
        <v>Nudt8</v>
      </c>
      <c r="E5097" t="str">
        <f>HYPERLINK("J:\Depot - mpkCCD Fractions\Main Web Page\Web Pages_old\proteomic_fractions_linear_files/Yang_linear_img/13384950.jpg","show blot")</f>
        <v>show blot</v>
      </c>
      <c r="G5097" t="s">
        <v>4891</v>
      </c>
      <c r="I5097" s="6">
        <v>3.9758074251083988</v>
      </c>
      <c r="K5097" s="8"/>
    </row>
    <row r="5098" spans="1:11" ht="15" x14ac:dyDescent="0.25">
      <c r="A5098" s="3" t="str">
        <f>HYPERLINK("proteomic_fractions_linear_files/Yang_linear_img/27753998.jpg", "27753998")</f>
        <v>27753998</v>
      </c>
      <c r="C5098" s="3" t="str">
        <f>HYPERLINK("http://www.ncbi.nlm.nih.gov/protein/27753998","Nudt9")</f>
        <v>Nudt9</v>
      </c>
      <c r="E5098" t="str">
        <f>HYPERLINK("J:\Depot - mpkCCD Fractions\Main Web Page\Web Pages_old\proteomic_fractions_linear_files/Yang_linear_img/27753998.jpg","show blot")</f>
        <v>show blot</v>
      </c>
      <c r="G5098" t="s">
        <v>4892</v>
      </c>
      <c r="I5098" s="6">
        <v>4.6094772712911709</v>
      </c>
      <c r="K5098" s="8"/>
    </row>
    <row r="5099" spans="1:11" ht="15" x14ac:dyDescent="0.25">
      <c r="A5099" s="3" t="str">
        <f>HYPERLINK("proteomic_fractions_linear_files/Yang_linear_img/110625714.jpg", "110625714")</f>
        <v>110625714</v>
      </c>
      <c r="C5099" s="3" t="str">
        <f>HYPERLINK("http://www.ncbi.nlm.nih.gov/protein/110625714","Nuf2")</f>
        <v>Nuf2</v>
      </c>
      <c r="E5099" t="str">
        <f>HYPERLINK("J:\Depot - mpkCCD Fractions\Main Web Page\Web Pages_old\proteomic_fractions_linear_files/Yang_linear_img/110625714.jpg","show blot")</f>
        <v>show blot</v>
      </c>
      <c r="G5099" t="s">
        <v>4893</v>
      </c>
      <c r="I5099" s="6">
        <v>1.047202731434856</v>
      </c>
      <c r="K5099" s="8"/>
    </row>
    <row r="5100" spans="1:11" ht="15" x14ac:dyDescent="0.25">
      <c r="A5100" s="3" t="str">
        <f>HYPERLINK("proteomic_fractions_linear_files/Yang_linear_img/66730553.jpg", "66730553")</f>
        <v>66730553</v>
      </c>
      <c r="C5100" s="3" t="str">
        <f>HYPERLINK("http://www.ncbi.nlm.nih.gov/protein/66730553","Nufip2")</f>
        <v>Nufip2</v>
      </c>
      <c r="E5100" t="str">
        <f>HYPERLINK("J:\Depot - mpkCCD Fractions\Main Web Page\Web Pages_old\proteomic_fractions_linear_files/Yang_linear_img/66730553.jpg","show blot")</f>
        <v>show blot</v>
      </c>
      <c r="G5100" t="s">
        <v>4894</v>
      </c>
      <c r="I5100" s="6">
        <v>4.2507246916707047</v>
      </c>
      <c r="K5100" s="8"/>
    </row>
    <row r="5101" spans="1:11" ht="15" x14ac:dyDescent="0.25">
      <c r="A5101" s="3" t="str">
        <f>HYPERLINK("proteomic_fractions_linear_files/Yang_linear_img/254675300.jpg", "254675300")</f>
        <v>254675300</v>
      </c>
      <c r="C5101" s="3" t="str">
        <f>HYPERLINK("http://www.ncbi.nlm.nih.gov/protein/254675300","Numa1")</f>
        <v>Numa1</v>
      </c>
      <c r="E5101" t="str">
        <f>HYPERLINK("J:\Depot - mpkCCD Fractions\Main Web Page\Web Pages_old\proteomic_fractions_linear_files/Yang_linear_img/254675300.jpg","show blot")</f>
        <v>show blot</v>
      </c>
      <c r="G5101" t="s">
        <v>4895</v>
      </c>
      <c r="I5101" s="6">
        <v>5.0643205008249943</v>
      </c>
      <c r="K5101" s="8"/>
    </row>
    <row r="5102" spans="1:11" ht="15" x14ac:dyDescent="0.25">
      <c r="A5102" s="3" t="str">
        <f>HYPERLINK("proteomic_fractions_linear_files/Yang_linear_img/209862959.jpg", "209862959")</f>
        <v>209862959</v>
      </c>
      <c r="C5102" s="3" t="str">
        <f>HYPERLINK("http://www.ncbi.nlm.nih.gov/protein/209862959","Numb")</f>
        <v>Numb</v>
      </c>
      <c r="E5102" t="str">
        <f>HYPERLINK("J:\Depot - mpkCCD Fractions\Main Web Page\Web Pages_old\proteomic_fractions_linear_files/Yang_linear_img/209862959.jpg","show blot")</f>
        <v>show blot</v>
      </c>
      <c r="G5102" t="s">
        <v>4896</v>
      </c>
      <c r="I5102" s="6">
        <v>3.0378745065008559</v>
      </c>
      <c r="K5102" s="8"/>
    </row>
    <row r="5103" spans="1:11" ht="15" x14ac:dyDescent="0.25">
      <c r="A5103" s="3" t="str">
        <f>HYPERLINK("proteomic_fractions_linear_files/Yang_linear_img/440546408.jpg", "440546408")</f>
        <v>440546408</v>
      </c>
      <c r="C5103" s="3" t="str">
        <f>HYPERLINK("http://www.ncbi.nlm.nih.gov/protein/440546408","Numb")</f>
        <v>Numb</v>
      </c>
      <c r="E5103" t="str">
        <f>HYPERLINK("J:\Depot - mpkCCD Fractions\Main Web Page\Web Pages_old\proteomic_fractions_linear_files/Yang_linear_img/440546408.jpg","show blot")</f>
        <v>show blot</v>
      </c>
      <c r="G5103" t="s">
        <v>4897</v>
      </c>
      <c r="I5103" s="6">
        <v>3.0378745065008559</v>
      </c>
      <c r="K5103" s="8"/>
    </row>
    <row r="5104" spans="1:11" ht="15" x14ac:dyDescent="0.25">
      <c r="A5104" s="3" t="str">
        <f>HYPERLINK("proteomic_fractions_linear_files/Yang_linear_img/440546411.jpg", "440546411")</f>
        <v>440546411</v>
      </c>
      <c r="C5104" s="3" t="str">
        <f>HYPERLINK("http://www.ncbi.nlm.nih.gov/protein/440546411","Numb")</f>
        <v>Numb</v>
      </c>
      <c r="E5104" t="str">
        <f>HYPERLINK("J:\Depot - mpkCCD Fractions\Main Web Page\Web Pages_old\proteomic_fractions_linear_files/Yang_linear_img/440546411.jpg","show blot")</f>
        <v>show blot</v>
      </c>
      <c r="G5104" t="s">
        <v>4898</v>
      </c>
      <c r="I5104" s="6">
        <v>3.0378745065008559</v>
      </c>
      <c r="K5104" s="8"/>
    </row>
    <row r="5105" spans="1:11" ht="15" x14ac:dyDescent="0.25">
      <c r="A5105" s="3" t="str">
        <f>HYPERLINK("proteomic_fractions_linear_files/Yang_linear_img/6754912.jpg", "6754912")</f>
        <v>6754912</v>
      </c>
      <c r="C5105" s="3" t="str">
        <f>HYPERLINK("http://www.ncbi.nlm.nih.gov/protein/6754912","Numb")</f>
        <v>Numb</v>
      </c>
      <c r="E5105" t="str">
        <f>HYPERLINK("J:\Depot - mpkCCD Fractions\Main Web Page\Web Pages_old\proteomic_fractions_linear_files/Yang_linear_img/6754912.jpg","show blot")</f>
        <v>show blot</v>
      </c>
      <c r="G5105" t="s">
        <v>4899</v>
      </c>
      <c r="I5105" s="6">
        <v>3.0378745065008559</v>
      </c>
      <c r="K5105" s="8"/>
    </row>
    <row r="5106" spans="1:11" ht="15" x14ac:dyDescent="0.25">
      <c r="A5106" s="3" t="str">
        <f>HYPERLINK("proteomic_fractions_linear_files/Yang_linear_img/29789351.jpg", "29789351")</f>
        <v>29789351</v>
      </c>
      <c r="C5106" s="3" t="str">
        <f>HYPERLINK("http://www.ncbi.nlm.nih.gov/protein/29789351","Nup107")</f>
        <v>Nup107</v>
      </c>
      <c r="E5106" t="str">
        <f>HYPERLINK("J:\Depot - mpkCCD Fractions\Main Web Page\Web Pages_old\proteomic_fractions_linear_files/Yang_linear_img/29789351.jpg","show blot")</f>
        <v>show blot</v>
      </c>
      <c r="G5106" t="s">
        <v>4900</v>
      </c>
      <c r="I5106" s="6">
        <v>3.3526171974015222</v>
      </c>
      <c r="K5106" s="8"/>
    </row>
    <row r="5107" spans="1:11" ht="15" x14ac:dyDescent="0.25">
      <c r="A5107" s="3" t="str">
        <f>HYPERLINK("proteomic_fractions_linear_files/Yang_linear_img/283806543.jpg", "283806543")</f>
        <v>283806543</v>
      </c>
      <c r="C5107" s="3" t="str">
        <f>HYPERLINK("http://www.ncbi.nlm.nih.gov/protein/283806543","Nup133")</f>
        <v>Nup133</v>
      </c>
      <c r="E5107" t="str">
        <f>HYPERLINK("J:\Depot - mpkCCD Fractions\Main Web Page\Web Pages_old\proteomic_fractions_linear_files/Yang_linear_img/283806543.jpg","show blot")</f>
        <v>show blot</v>
      </c>
      <c r="G5107" t="s">
        <v>4901</v>
      </c>
      <c r="I5107" s="6">
        <v>3.9435761148750021</v>
      </c>
      <c r="K5107" s="8"/>
    </row>
    <row r="5108" spans="1:11" ht="15" x14ac:dyDescent="0.25">
      <c r="A5108" s="3" t="str">
        <f>HYPERLINK("proteomic_fractions_linear_files/Yang_linear_img/165932389.jpg", "165932389")</f>
        <v>165932389</v>
      </c>
      <c r="C5108" s="3" t="str">
        <f>HYPERLINK("http://www.ncbi.nlm.nih.gov/protein/165932389","Nup155")</f>
        <v>Nup155</v>
      </c>
      <c r="E5108" t="str">
        <f>HYPERLINK("J:\Depot - mpkCCD Fractions\Main Web Page\Web Pages_old\proteomic_fractions_linear_files/Yang_linear_img/165932389.jpg","show blot")</f>
        <v>show blot</v>
      </c>
      <c r="G5108" t="s">
        <v>4902</v>
      </c>
      <c r="I5108" s="6">
        <v>4.4053987399423589</v>
      </c>
      <c r="K5108" s="8"/>
    </row>
    <row r="5109" spans="1:11" ht="15" x14ac:dyDescent="0.25">
      <c r="A5109" s="3" t="str">
        <f>HYPERLINK("proteomic_fractions_linear_files/Yang_linear_img/10946932.jpg", "10946932")</f>
        <v>10946932</v>
      </c>
      <c r="C5109" s="3" t="str">
        <f>HYPERLINK("http://www.ncbi.nlm.nih.gov/protein/10946932","Nup160")</f>
        <v>Nup160</v>
      </c>
      <c r="E5109" t="str">
        <f>HYPERLINK("J:\Depot - mpkCCD Fractions\Main Web Page\Web Pages_old\proteomic_fractions_linear_files/Yang_linear_img/10946932.jpg","show blot")</f>
        <v>show blot</v>
      </c>
      <c r="G5109" t="s">
        <v>4903</v>
      </c>
      <c r="I5109" s="6">
        <v>4.1215808115976937</v>
      </c>
      <c r="K5109" s="8"/>
    </row>
    <row r="5110" spans="1:11" ht="15" x14ac:dyDescent="0.25">
      <c r="A5110" s="3" t="str">
        <f>HYPERLINK("proteomic_fractions_linear_files/Yang_linear_img/38678526.jpg", "38678526")</f>
        <v>38678526</v>
      </c>
      <c r="C5110" s="3" t="str">
        <f>HYPERLINK("http://www.ncbi.nlm.nih.gov/protein/38678526","Nup188")</f>
        <v>Nup188</v>
      </c>
      <c r="E5110" t="str">
        <f>HYPERLINK("J:\Depot - mpkCCD Fractions\Main Web Page\Web Pages_old\proteomic_fractions_linear_files/Yang_linear_img/38678526.jpg","show blot")</f>
        <v>show blot</v>
      </c>
      <c r="G5110" t="s">
        <v>4904</v>
      </c>
      <c r="I5110" s="6">
        <v>3.0003343196025889</v>
      </c>
      <c r="K5110" s="8"/>
    </row>
    <row r="5111" spans="1:11" ht="15" x14ac:dyDescent="0.25">
      <c r="A5111" s="3" t="str">
        <f>HYPERLINK("proteomic_fractions_linear_files/Yang_linear_img/226437676.jpg", "226437676")</f>
        <v>226437676</v>
      </c>
      <c r="C5111" s="3" t="str">
        <f>HYPERLINK("http://www.ncbi.nlm.nih.gov/protein/226437676","Nup205")</f>
        <v>Nup205</v>
      </c>
      <c r="E5111" t="str">
        <f>HYPERLINK("J:\Depot - mpkCCD Fractions\Main Web Page\Web Pages_old\proteomic_fractions_linear_files/Yang_linear_img/226437676.jpg","show blot")</f>
        <v>show blot</v>
      </c>
      <c r="G5111" t="s">
        <v>4905</v>
      </c>
      <c r="I5111" s="6">
        <v>3.8564626634571222</v>
      </c>
      <c r="K5111" s="8"/>
    </row>
    <row r="5112" spans="1:11" ht="15" x14ac:dyDescent="0.25">
      <c r="A5112" s="3" t="str">
        <f>HYPERLINK("proteomic_fractions_linear_files/Yang_linear_img/172073152.jpg", "172073152")</f>
        <v>172073152</v>
      </c>
      <c r="C5112" s="3" t="str">
        <f>HYPERLINK("http://www.ncbi.nlm.nih.gov/protein/172073152","Nup210")</f>
        <v>Nup210</v>
      </c>
      <c r="E5112" t="str">
        <f>HYPERLINK("J:\Depot - mpkCCD Fractions\Main Web Page\Web Pages_old\proteomic_fractions_linear_files/Yang_linear_img/172073152.jpg","show blot")</f>
        <v>show blot</v>
      </c>
      <c r="G5112" t="s">
        <v>4906</v>
      </c>
      <c r="I5112" s="6">
        <v>3.8716356300666637</v>
      </c>
      <c r="K5112" s="8"/>
    </row>
    <row r="5113" spans="1:11" ht="15" x14ac:dyDescent="0.25">
      <c r="A5113" s="3" t="str">
        <f>HYPERLINK("proteomic_fractions_linear_files/Yang_linear_img/124378033.jpg", "124378033")</f>
        <v>124378033</v>
      </c>
      <c r="C5113" s="3" t="str">
        <f>HYPERLINK("http://www.ncbi.nlm.nih.gov/protein/124378033","Nup214")</f>
        <v>Nup214</v>
      </c>
      <c r="E5113" t="str">
        <f>HYPERLINK("J:\Depot - mpkCCD Fractions\Main Web Page\Web Pages_old\proteomic_fractions_linear_files/Yang_linear_img/124378033.jpg","show blot")</f>
        <v>show blot</v>
      </c>
      <c r="G5113" t="s">
        <v>4907</v>
      </c>
      <c r="I5113" s="6">
        <v>3.2808651531510566</v>
      </c>
      <c r="K5113" s="8"/>
    </row>
    <row r="5114" spans="1:11" ht="15" x14ac:dyDescent="0.25">
      <c r="A5114" s="3" t="str">
        <f>HYPERLINK("proteomic_fractions_linear_files/Yang_linear_img/298231198.jpg", "298231198")</f>
        <v>298231198</v>
      </c>
      <c r="C5114" s="3" t="str">
        <f>HYPERLINK("http://www.ncbi.nlm.nih.gov/protein/298231198","Nup35")</f>
        <v>Nup35</v>
      </c>
      <c r="E5114" t="str">
        <f>HYPERLINK("J:\Depot - mpkCCD Fractions\Main Web Page\Web Pages_old\proteomic_fractions_linear_files/Yang_linear_img/298231198.jpg","show blot")</f>
        <v>show blot</v>
      </c>
      <c r="G5114" t="s">
        <v>4908</v>
      </c>
      <c r="I5114" s="6">
        <v>5.0701106284769013</v>
      </c>
      <c r="K5114" s="8"/>
    </row>
    <row r="5115" spans="1:11" ht="15" x14ac:dyDescent="0.25">
      <c r="A5115" s="3" t="str">
        <f>HYPERLINK("proteomic_fractions_linear_files/Yang_linear_img/58037163.jpg", "58037163")</f>
        <v>58037163</v>
      </c>
      <c r="C5115" s="3" t="str">
        <f>HYPERLINK("http://www.ncbi.nlm.nih.gov/protein/58037163","Nup35")</f>
        <v>Nup35</v>
      </c>
      <c r="E5115" t="str">
        <f>HYPERLINK("J:\Depot - mpkCCD Fractions\Main Web Page\Web Pages_old\proteomic_fractions_linear_files/Yang_linear_img/58037163.jpg","show blot")</f>
        <v>show blot</v>
      </c>
      <c r="G5115" t="s">
        <v>4909</v>
      </c>
      <c r="I5115" s="6">
        <v>5.0701106284769013</v>
      </c>
      <c r="K5115" s="8"/>
    </row>
    <row r="5116" spans="1:11" ht="15" x14ac:dyDescent="0.25">
      <c r="A5116" s="3" t="str">
        <f>HYPERLINK("proteomic_fractions_linear_files/Yang_linear_img/210032861.jpg", "210032861")</f>
        <v>210032861</v>
      </c>
      <c r="C5116" s="3" t="str">
        <f>HYPERLINK("http://www.ncbi.nlm.nih.gov/protein/210032861","Nup37")</f>
        <v>Nup37</v>
      </c>
      <c r="E5116" t="str">
        <f>HYPERLINK("J:\Depot - mpkCCD Fractions\Main Web Page\Web Pages_old\proteomic_fractions_linear_files/Yang_linear_img/210032861.jpg","show blot")</f>
        <v>show blot</v>
      </c>
      <c r="G5116" t="s">
        <v>4910</v>
      </c>
      <c r="I5116" s="6">
        <v>4.0032942008028973</v>
      </c>
      <c r="K5116" s="8"/>
    </row>
    <row r="5117" spans="1:11" ht="15" x14ac:dyDescent="0.25">
      <c r="A5117" s="3" t="str">
        <f>HYPERLINK("proteomic_fractions_linear_files/Yang_linear_img/166295220.jpg", "166295220")</f>
        <v>166295220</v>
      </c>
      <c r="C5117" s="3" t="str">
        <f>HYPERLINK("http://www.ncbi.nlm.nih.gov/protein/166295220","Nup43")</f>
        <v>Nup43</v>
      </c>
      <c r="E5117" t="str">
        <f>HYPERLINK("J:\Depot - mpkCCD Fractions\Main Web Page\Web Pages_old\proteomic_fractions_linear_files/Yang_linear_img/166295220.jpg","show blot")</f>
        <v>show blot</v>
      </c>
      <c r="G5117" t="s">
        <v>4911</v>
      </c>
      <c r="I5117" s="6">
        <v>4.3029460281669518</v>
      </c>
      <c r="K5117" s="8"/>
    </row>
    <row r="5118" spans="1:11" ht="15" x14ac:dyDescent="0.25">
      <c r="A5118" s="3" t="str">
        <f>HYPERLINK("proteomic_fractions_linear_files/Yang_linear_img/38016154.jpg", "38016154")</f>
        <v>38016154</v>
      </c>
      <c r="C5118" s="3" t="str">
        <f>HYPERLINK("http://www.ncbi.nlm.nih.gov/protein/38016154","Nup50")</f>
        <v>Nup50</v>
      </c>
      <c r="E5118" t="str">
        <f>HYPERLINK("J:\Depot - mpkCCD Fractions\Main Web Page\Web Pages_old\proteomic_fractions_linear_files/Yang_linear_img/38016154.jpg","show blot")</f>
        <v>show blot</v>
      </c>
      <c r="G5118" t="s">
        <v>4912</v>
      </c>
      <c r="I5118" s="6">
        <v>4.4981424018944409</v>
      </c>
      <c r="K5118" s="8"/>
    </row>
    <row r="5119" spans="1:11" ht="15" x14ac:dyDescent="0.25">
      <c r="A5119" s="3" t="str">
        <f>HYPERLINK("proteomic_fractions_linear_files/Yang_linear_img/39930543.jpg", "39930543")</f>
        <v>39930543</v>
      </c>
      <c r="C5119" s="3" t="str">
        <f>HYPERLINK("http://www.ncbi.nlm.nih.gov/protein/39930543","Nup54")</f>
        <v>Nup54</v>
      </c>
      <c r="E5119" t="str">
        <f>HYPERLINK("J:\Depot - mpkCCD Fractions\Main Web Page\Web Pages_old\proteomic_fractions_linear_files/Yang_linear_img/39930543.jpg","show blot")</f>
        <v>show blot</v>
      </c>
      <c r="G5119" t="s">
        <v>4913</v>
      </c>
      <c r="I5119" s="6">
        <v>3.4487038437589845</v>
      </c>
      <c r="K5119" s="8"/>
    </row>
    <row r="5120" spans="1:11" ht="15" x14ac:dyDescent="0.25">
      <c r="A5120" s="3" t="str">
        <f>HYPERLINK("proteomic_fractions_linear_files/Yang_linear_img/108773813.jpg", "108773813")</f>
        <v>108773813</v>
      </c>
      <c r="C5120" s="3" t="str">
        <f>HYPERLINK("http://www.ncbi.nlm.nih.gov/protein/108773813","Nup85")</f>
        <v>Nup85</v>
      </c>
      <c r="E5120" t="str">
        <f>HYPERLINK("J:\Depot - mpkCCD Fractions\Main Web Page\Web Pages_old\proteomic_fractions_linear_files/Yang_linear_img/108773813.jpg","show blot")</f>
        <v>show blot</v>
      </c>
      <c r="G5120" t="s">
        <v>4914</v>
      </c>
      <c r="I5120" s="6">
        <v>3.5615810104375329</v>
      </c>
      <c r="K5120" s="8"/>
    </row>
    <row r="5121" spans="1:11" ht="15" x14ac:dyDescent="0.25">
      <c r="A5121" s="3" t="str">
        <f>HYPERLINK("proteomic_fractions_linear_files/Yang_linear_img/27369533.jpg", "27369533")</f>
        <v>27369533</v>
      </c>
      <c r="C5121" s="3" t="str">
        <f>HYPERLINK("http://www.ncbi.nlm.nih.gov/protein/27369533","Nup93")</f>
        <v>Nup93</v>
      </c>
      <c r="E5121" t="str">
        <f>HYPERLINK("J:\Depot - mpkCCD Fractions\Main Web Page\Web Pages_old\proteomic_fractions_linear_files/Yang_linear_img/27369533.jpg","show blot")</f>
        <v>show blot</v>
      </c>
      <c r="G5121" t="s">
        <v>4915</v>
      </c>
      <c r="I5121" s="6">
        <v>5.0989620926869801</v>
      </c>
      <c r="K5121" s="8"/>
    </row>
    <row r="5122" spans="1:11" ht="15" x14ac:dyDescent="0.25">
      <c r="A5122" s="3" t="str">
        <f>HYPERLINK("proteomic_fractions_linear_files/Yang_linear_img/13384840.jpg", "13384840")</f>
        <v>13384840</v>
      </c>
      <c r="C5122" s="3" t="str">
        <f>HYPERLINK("http://www.ncbi.nlm.nih.gov/protein/13384840","Nus1")</f>
        <v>Nus1</v>
      </c>
      <c r="E5122" t="str">
        <f>HYPERLINK("J:\Depot - mpkCCD Fractions\Main Web Page\Web Pages_old\proteomic_fractions_linear_files/Yang_linear_img/13384840.jpg","show blot")</f>
        <v>show blot</v>
      </c>
      <c r="G5122" t="s">
        <v>4916</v>
      </c>
      <c r="I5122" s="6">
        <v>2.6038928880587395</v>
      </c>
      <c r="K5122" s="8"/>
    </row>
    <row r="5123" spans="1:11" ht="15" x14ac:dyDescent="0.25">
      <c r="A5123" s="3" t="str">
        <f>HYPERLINK("proteomic_fractions_linear_files/Yang_linear_img/111118996.jpg", "111118996")</f>
        <v>111118996</v>
      </c>
      <c r="C5123" s="3" t="str">
        <f>HYPERLINK("http://www.ncbi.nlm.nih.gov/protein/111118996","Nusap1")</f>
        <v>Nusap1</v>
      </c>
      <c r="E5123" t="str">
        <f>HYPERLINK("J:\Depot - mpkCCD Fractions\Main Web Page\Web Pages_old\proteomic_fractions_linear_files/Yang_linear_img/111118996.jpg","show blot")</f>
        <v>show blot</v>
      </c>
      <c r="G5123" t="s">
        <v>4917</v>
      </c>
      <c r="I5123" s="6">
        <v>3.5755786736514072</v>
      </c>
      <c r="K5123" s="8"/>
    </row>
    <row r="5124" spans="1:11" ht="15" x14ac:dyDescent="0.25">
      <c r="A5124" s="3" t="str">
        <f>HYPERLINK("proteomic_fractions_linear_files/Yang_linear_img/19527068.jpg", "19527068")</f>
        <v>19527068</v>
      </c>
      <c r="C5124" s="3" t="str">
        <f>HYPERLINK("http://www.ncbi.nlm.nih.gov/protein/19527068","Nusap1")</f>
        <v>Nusap1</v>
      </c>
      <c r="E5124" t="str">
        <f>HYPERLINK("J:\Depot - mpkCCD Fractions\Main Web Page\Web Pages_old\proteomic_fractions_linear_files/Yang_linear_img/19527068.jpg","show blot")</f>
        <v>show blot</v>
      </c>
      <c r="G5124" t="s">
        <v>4918</v>
      </c>
      <c r="I5124" s="6">
        <v>3.5755786736514072</v>
      </c>
      <c r="K5124" s="8"/>
    </row>
    <row r="5125" spans="1:11" ht="15" x14ac:dyDescent="0.25">
      <c r="A5125" s="3" t="str">
        <f>HYPERLINK("proteomic_fractions_linear_files/Yang_linear_img/33468981.jpg", "33468981")</f>
        <v>33468981</v>
      </c>
      <c r="C5125" s="3" t="str">
        <f>HYPERLINK("http://www.ncbi.nlm.nih.gov/protein/33468981","Nvl")</f>
        <v>Nvl</v>
      </c>
      <c r="E5125" t="str">
        <f>HYPERLINK("J:\Depot - mpkCCD Fractions\Main Web Page\Web Pages_old\proteomic_fractions_linear_files/Yang_linear_img/33468981.jpg","show blot")</f>
        <v>show blot</v>
      </c>
      <c r="G5125" t="s">
        <v>4919</v>
      </c>
      <c r="I5125" s="6">
        <v>4.0302240913153673</v>
      </c>
      <c r="K5125" s="8"/>
    </row>
    <row r="5126" spans="1:11" ht="15" x14ac:dyDescent="0.25">
      <c r="A5126" s="3" t="str">
        <f>HYPERLINK("proteomic_fractions_linear_files/Yang_linear_img/452401033.jpg", "452401033")</f>
        <v>452401033</v>
      </c>
      <c r="C5126" s="3" t="str">
        <f>HYPERLINK("http://www.ncbi.nlm.nih.gov/protein/452401033","Nxf1")</f>
        <v>Nxf1</v>
      </c>
      <c r="E5126" t="str">
        <f>HYPERLINK("J:\Depot - mpkCCD Fractions\Main Web Page\Web Pages_old\proteomic_fractions_linear_files/Yang_linear_img/452401033.jpg","show blot")</f>
        <v>show blot</v>
      </c>
      <c r="G5126" t="s">
        <v>4920</v>
      </c>
      <c r="I5126" s="6">
        <v>4.7518435937674024</v>
      </c>
      <c r="K5126" s="8"/>
    </row>
    <row r="5127" spans="1:11" ht="15" x14ac:dyDescent="0.25">
      <c r="A5127" s="3" t="str">
        <f>HYPERLINK("proteomic_fractions_linear_files/Yang_linear_img/31980798.jpg", "31980798")</f>
        <v>31980798</v>
      </c>
      <c r="C5127" s="3" t="str">
        <f>HYPERLINK("http://www.ncbi.nlm.nih.gov/protein/31980798","Nxf1")</f>
        <v>Nxf1</v>
      </c>
      <c r="E5127" t="str">
        <f>HYPERLINK("J:\Depot - mpkCCD Fractions\Main Web Page\Web Pages_old\proteomic_fractions_linear_files/Yang_linear_img/31980798.jpg","show blot")</f>
        <v>show blot</v>
      </c>
      <c r="G5127" t="s">
        <v>4921</v>
      </c>
      <c r="I5127" s="6">
        <v>4.7518435937674024</v>
      </c>
      <c r="K5127" s="8"/>
    </row>
    <row r="5128" spans="1:11" ht="15" x14ac:dyDescent="0.25">
      <c r="A5128" s="3" t="str">
        <f>HYPERLINK("proteomic_fractions_linear_files/Yang_linear_img/6679160.jpg", "6679160")</f>
        <v>6679160</v>
      </c>
      <c r="C5128" s="3" t="str">
        <f>HYPERLINK("http://www.ncbi.nlm.nih.gov/protein/6679160","Nxn")</f>
        <v>Nxn</v>
      </c>
      <c r="E5128" t="str">
        <f>HYPERLINK("J:\Depot - mpkCCD Fractions\Main Web Page\Web Pages_old\proteomic_fractions_linear_files/Yang_linear_img/6679160.jpg","show blot")</f>
        <v>show blot</v>
      </c>
      <c r="G5128" t="s">
        <v>4922</v>
      </c>
      <c r="I5128" s="6">
        <v>3.9684989389351166</v>
      </c>
      <c r="K5128" s="8"/>
    </row>
    <row r="5129" spans="1:11" ht="15" x14ac:dyDescent="0.25">
      <c r="A5129" s="3" t="str">
        <f>HYPERLINK("proteomic_fractions_linear_files/Yang_linear_img/158749549.jpg", "158749549")</f>
        <v>158749549</v>
      </c>
      <c r="C5129" s="3" t="str">
        <f>HYPERLINK("http://www.ncbi.nlm.nih.gov/protein/158749549","Nxt1")</f>
        <v>Nxt1</v>
      </c>
      <c r="E5129" t="str">
        <f>HYPERLINK("J:\Depot - mpkCCD Fractions\Main Web Page\Web Pages_old\proteomic_fractions_linear_files/Yang_linear_img/158749549.jpg","show blot")</f>
        <v>show blot</v>
      </c>
      <c r="G5129" t="s">
        <v>4923</v>
      </c>
      <c r="I5129" s="6">
        <v>3.4761144876616292</v>
      </c>
      <c r="K5129" s="8"/>
    </row>
    <row r="5130" spans="1:11" ht="15" x14ac:dyDescent="0.25">
      <c r="A5130" s="3" t="str">
        <f>HYPERLINK("proteomic_fractions_linear_files/Yang_linear_img/238637332;238637330.jpg", "238637332;238637330")</f>
        <v>238637332;238637330</v>
      </c>
      <c r="C5130" s="3" t="str">
        <f>HYPERLINK("http://www.ncbi.nlm.nih.gov/protein/238637332;238637330","Nxt2")</f>
        <v>Nxt2</v>
      </c>
      <c r="E5130" t="str">
        <f>HYPERLINK("J:\Depot - mpkCCD Fractions\Main Web Page\Web Pages_old\proteomic_fractions_linear_files/Yang_linear_img/238637332;238637330.jpg","show blot")</f>
        <v>show blot</v>
      </c>
      <c r="G5130" t="s">
        <v>4924</v>
      </c>
      <c r="I5130" s="6">
        <v>3.4761144876616292</v>
      </c>
      <c r="K5130" s="8"/>
    </row>
    <row r="5131" spans="1:11" ht="15" x14ac:dyDescent="0.25">
      <c r="A5131" s="3" t="str">
        <f>HYPERLINK("proteomic_fractions_linear_files/Yang_linear_img/256220954.jpg", "256220954")</f>
        <v>256220954</v>
      </c>
      <c r="C5131" s="3" t="str">
        <f>HYPERLINK("http://www.ncbi.nlm.nih.gov/protein/256220954","Nynrin")</f>
        <v>Nynrin</v>
      </c>
      <c r="E5131" t="str">
        <f>HYPERLINK("J:\Depot - mpkCCD Fractions\Main Web Page\Web Pages_old\proteomic_fractions_linear_files/Yang_linear_img/256220954.jpg","show blot")</f>
        <v>show blot</v>
      </c>
      <c r="G5131" t="s">
        <v>4925</v>
      </c>
      <c r="I5131" s="6">
        <v>3.0529018031093997</v>
      </c>
      <c r="K5131" s="8"/>
    </row>
    <row r="5132" spans="1:11" ht="15" x14ac:dyDescent="0.25">
      <c r="A5132" s="3" t="str">
        <f>HYPERLINK("proteomic_fractions_linear_files/Yang_linear_img/110625732.jpg", "110625732")</f>
        <v>110625732</v>
      </c>
      <c r="C5132" s="3" t="str">
        <f>HYPERLINK("http://www.ncbi.nlm.nih.gov/protein/110625732","Oard1")</f>
        <v>Oard1</v>
      </c>
      <c r="E5132" t="str">
        <f>HYPERLINK("J:\Depot - mpkCCD Fractions\Main Web Page\Web Pages_old\proteomic_fractions_linear_files/Yang_linear_img/110625732.jpg","show blot")</f>
        <v>show blot</v>
      </c>
      <c r="G5132" t="s">
        <v>4926</v>
      </c>
      <c r="I5132" s="6">
        <v>5.4602742068357157</v>
      </c>
      <c r="K5132" s="8"/>
    </row>
    <row r="5133" spans="1:11" ht="15" x14ac:dyDescent="0.25">
      <c r="A5133" s="3" t="str">
        <f>HYPERLINK("proteomic_fractions_linear_files/Yang_linear_img/281332108.jpg", "281332108")</f>
        <v>281332108</v>
      </c>
      <c r="C5133" s="3" t="str">
        <f>HYPERLINK("http://www.ncbi.nlm.nih.gov/protein/281332108","Oas1a")</f>
        <v>Oas1a</v>
      </c>
      <c r="E5133" t="str">
        <f>HYPERLINK("J:\Depot - mpkCCD Fractions\Main Web Page\Web Pages_old\proteomic_fractions_linear_files/Yang_linear_img/281332108.jpg","show blot")</f>
        <v>show blot</v>
      </c>
      <c r="G5133" t="s">
        <v>4927</v>
      </c>
      <c r="I5133" s="6">
        <v>3.6849130326172137</v>
      </c>
      <c r="K5133" s="8"/>
    </row>
    <row r="5134" spans="1:11" ht="15" x14ac:dyDescent="0.25">
      <c r="A5134" s="3" t="str">
        <f>HYPERLINK("proteomic_fractions_linear_files/Yang_linear_img/31560524.jpg", "31560524")</f>
        <v>31560524</v>
      </c>
      <c r="C5134" s="3" t="str">
        <f>HYPERLINK("http://www.ncbi.nlm.nih.gov/protein/31560524","Oas1g")</f>
        <v>Oas1g</v>
      </c>
      <c r="E5134" t="str">
        <f>HYPERLINK("J:\Depot - mpkCCD Fractions\Main Web Page\Web Pages_old\proteomic_fractions_linear_files/Yang_linear_img/31560524.jpg","show blot")</f>
        <v>show blot</v>
      </c>
      <c r="G5134" t="s">
        <v>4928</v>
      </c>
      <c r="I5134" s="6">
        <v>3.6849130326172137</v>
      </c>
      <c r="K5134" s="8"/>
    </row>
    <row r="5135" spans="1:11" ht="15" x14ac:dyDescent="0.25">
      <c r="A5135" s="3" t="str">
        <f>HYPERLINK("proteomic_fractions_linear_files/Yang_linear_img/28827826.jpg", "28827826")</f>
        <v>28827826</v>
      </c>
      <c r="C5135" s="3" t="str">
        <f>HYPERLINK("http://www.ncbi.nlm.nih.gov/protein/28827826","Obfc1")</f>
        <v>Obfc1</v>
      </c>
      <c r="E5135" t="str">
        <f>HYPERLINK("J:\Depot - mpkCCD Fractions\Main Web Page\Web Pages_old\proteomic_fractions_linear_files/Yang_linear_img/28827826.jpg","show blot")</f>
        <v>show blot</v>
      </c>
      <c r="G5135" t="s">
        <v>4929</v>
      </c>
      <c r="I5135" s="6">
        <v>5.2084983011574151</v>
      </c>
      <c r="K5135" s="8"/>
    </row>
    <row r="5136" spans="1:11" ht="15" x14ac:dyDescent="0.25">
      <c r="A5136" s="3" t="str">
        <f>HYPERLINK("proteomic_fractions_linear_files/Yang_linear_img/170763522.jpg", "170763522")</f>
        <v>170763522</v>
      </c>
      <c r="C5136" s="3" t="str">
        <f>HYPERLINK("http://www.ncbi.nlm.nih.gov/protein/170763522","Obsl1")</f>
        <v>Obsl1</v>
      </c>
      <c r="E5136" t="str">
        <f>HYPERLINK("J:\Depot - mpkCCD Fractions\Main Web Page\Web Pages_old\proteomic_fractions_linear_files/Yang_linear_img/170763522.jpg","show blot")</f>
        <v>show blot</v>
      </c>
      <c r="G5136" t="s">
        <v>4930</v>
      </c>
      <c r="I5136" s="6">
        <v>4.1295399463609703</v>
      </c>
      <c r="K5136" s="8"/>
    </row>
    <row r="5137" spans="1:11" ht="15" x14ac:dyDescent="0.25">
      <c r="A5137" s="3" t="str">
        <f>HYPERLINK("proteomic_fractions_linear_files/Yang_linear_img/12963675.jpg", "12963675")</f>
        <v>12963675</v>
      </c>
      <c r="C5137" s="3" t="str">
        <f>HYPERLINK("http://www.ncbi.nlm.nih.gov/protein/12963675","Ociad1")</f>
        <v>Ociad1</v>
      </c>
      <c r="E5137" t="str">
        <f>HYPERLINK("J:\Depot - mpkCCD Fractions\Main Web Page\Web Pages_old\proteomic_fractions_linear_files/Yang_linear_img/12963675.jpg","show blot")</f>
        <v>show blot</v>
      </c>
      <c r="G5137" t="s">
        <v>4931</v>
      </c>
      <c r="I5137" s="6">
        <v>4.8739215128729132</v>
      </c>
      <c r="K5137" s="8"/>
    </row>
    <row r="5138" spans="1:11" ht="15" x14ac:dyDescent="0.25">
      <c r="A5138" s="3" t="str">
        <f>HYPERLINK("proteomic_fractions_linear_files/Yang_linear_img/229577356.jpg", "229577356")</f>
        <v>229577356</v>
      </c>
      <c r="C5138" s="3" t="str">
        <f>HYPERLINK("http://www.ncbi.nlm.nih.gov/protein/229577356","Ociad1")</f>
        <v>Ociad1</v>
      </c>
      <c r="E5138" t="str">
        <f>HYPERLINK("J:\Depot - mpkCCD Fractions\Main Web Page\Web Pages_old\proteomic_fractions_linear_files/Yang_linear_img/229577356.jpg","show blot")</f>
        <v>show blot</v>
      </c>
      <c r="G5138" t="s">
        <v>4932</v>
      </c>
      <c r="I5138" s="6">
        <v>4.8739215128729132</v>
      </c>
      <c r="K5138" s="8"/>
    </row>
    <row r="5139" spans="1:11" ht="15" x14ac:dyDescent="0.25">
      <c r="A5139" s="3" t="str">
        <f>HYPERLINK("proteomic_fractions_linear_files/Yang_linear_img/229577358.jpg", "229577358")</f>
        <v>229577358</v>
      </c>
      <c r="C5139" s="3" t="str">
        <f>HYPERLINK("http://www.ncbi.nlm.nih.gov/protein/229577358","Ociad1")</f>
        <v>Ociad1</v>
      </c>
      <c r="E5139" t="str">
        <f>HYPERLINK("J:\Depot - mpkCCD Fractions\Main Web Page\Web Pages_old\proteomic_fractions_linear_files/Yang_linear_img/229577358.jpg","show blot")</f>
        <v>show blot</v>
      </c>
      <c r="G5139" t="s">
        <v>4933</v>
      </c>
      <c r="I5139" s="6">
        <v>4.8739215128729132</v>
      </c>
      <c r="K5139" s="8"/>
    </row>
    <row r="5140" spans="1:11" ht="15" x14ac:dyDescent="0.25">
      <c r="A5140" s="3" t="str">
        <f>HYPERLINK("proteomic_fractions_linear_files/Yang_linear_img/38348576.jpg", "38348576")</f>
        <v>38348576</v>
      </c>
      <c r="C5140" s="3" t="str">
        <f>HYPERLINK("http://www.ncbi.nlm.nih.gov/protein/38348576","Odf3l1")</f>
        <v>Odf3l1</v>
      </c>
      <c r="E5140" t="str">
        <f>HYPERLINK("J:\Depot - mpkCCD Fractions\Main Web Page\Web Pages_old\proteomic_fractions_linear_files/Yang_linear_img/38348576.jpg","show blot")</f>
        <v>show blot</v>
      </c>
      <c r="G5140" t="s">
        <v>4934</v>
      </c>
      <c r="I5140" s="6">
        <v>4.6851718050783671</v>
      </c>
      <c r="K5140" s="8"/>
    </row>
    <row r="5141" spans="1:11" ht="15" x14ac:dyDescent="0.25">
      <c r="A5141" s="3" t="str">
        <f>HYPERLINK("proteomic_fractions_linear_files/Yang_linear_img/225007605.jpg", "225007605")</f>
        <v>225007605</v>
      </c>
      <c r="C5141" s="3" t="str">
        <f>HYPERLINK("http://www.ncbi.nlm.nih.gov/protein/225007605","Ofd1")</f>
        <v>Ofd1</v>
      </c>
      <c r="E5141" t="str">
        <f>HYPERLINK("J:\Depot - mpkCCD Fractions\Main Web Page\Web Pages_old\proteomic_fractions_linear_files/Yang_linear_img/225007605.jpg","show blot")</f>
        <v>show blot</v>
      </c>
      <c r="G5141" t="s">
        <v>4935</v>
      </c>
      <c r="I5141" s="6">
        <v>3.7554143766368897</v>
      </c>
      <c r="K5141" s="8"/>
    </row>
    <row r="5142" spans="1:11" ht="15" x14ac:dyDescent="0.25">
      <c r="A5142" s="3" t="str">
        <f>HYPERLINK("proteomic_fractions_linear_files/Yang_linear_img/85861164;356582489.jpg", "85861164;356582489")</f>
        <v>85861164;356582489</v>
      </c>
      <c r="C5142" s="3" t="str">
        <f>HYPERLINK("http://www.ncbi.nlm.nih.gov/protein/85861164;356582489","Ogdh")</f>
        <v>Ogdh</v>
      </c>
      <c r="E5142" t="str">
        <f>HYPERLINK("J:\Depot - mpkCCD Fractions\Main Web Page\Web Pages_old\proteomic_fractions_linear_files/Yang_linear_img/85861164;356582489.jpg","show blot")</f>
        <v>show blot</v>
      </c>
      <c r="G5142" t="s">
        <v>4936</v>
      </c>
      <c r="I5142" s="6">
        <v>5.5020470417364287</v>
      </c>
      <c r="K5142" s="8"/>
    </row>
    <row r="5143" spans="1:11" ht="15" x14ac:dyDescent="0.25">
      <c r="A5143" s="3" t="str">
        <f>HYPERLINK("proteomic_fractions_linear_files/Yang_linear_img/85861164.jpg", "85861164")</f>
        <v>85861164</v>
      </c>
      <c r="C5143" s="3" t="str">
        <f>HYPERLINK("http://www.ncbi.nlm.nih.gov/protein/85861164","Ogdh")</f>
        <v>Ogdh</v>
      </c>
      <c r="E5143" t="str">
        <f>HYPERLINK("J:\Depot - mpkCCD Fractions\Main Web Page\Web Pages_old\proteomic_fractions_linear_files/Yang_linear_img/85861164.jpg","show blot")</f>
        <v>show blot</v>
      </c>
      <c r="G5143" t="s">
        <v>4937</v>
      </c>
      <c r="I5143" s="6">
        <v>5.5020470417364287</v>
      </c>
      <c r="K5143" s="8"/>
    </row>
    <row r="5144" spans="1:11" ht="15" x14ac:dyDescent="0.25">
      <c r="A5144" s="3" t="str">
        <f>HYPERLINK("proteomic_fractions_linear_files/Yang_linear_img/356582477.jpg", "356582477")</f>
        <v>356582477</v>
      </c>
      <c r="C5144" s="3" t="str">
        <f>HYPERLINK("http://www.ncbi.nlm.nih.gov/protein/356582477","Ogdh")</f>
        <v>Ogdh</v>
      </c>
      <c r="E5144" t="str">
        <f>HYPERLINK("J:\Depot - mpkCCD Fractions\Main Web Page\Web Pages_old\proteomic_fractions_linear_files/Yang_linear_img/356582477.jpg","show blot")</f>
        <v>show blot</v>
      </c>
      <c r="G5144" t="s">
        <v>4938</v>
      </c>
      <c r="I5144" s="6">
        <v>5.5020470417364287</v>
      </c>
      <c r="K5144" s="8"/>
    </row>
    <row r="5145" spans="1:11" ht="15" x14ac:dyDescent="0.25">
      <c r="A5145" s="3" t="str">
        <f>HYPERLINK("proteomic_fractions_linear_files/Yang_linear_img/356582479.jpg", "356582479")</f>
        <v>356582479</v>
      </c>
      <c r="C5145" s="3" t="str">
        <f>HYPERLINK("http://www.ncbi.nlm.nih.gov/protein/356582479","Ogdh")</f>
        <v>Ogdh</v>
      </c>
      <c r="E5145" t="str">
        <f>HYPERLINK("J:\Depot - mpkCCD Fractions\Main Web Page\Web Pages_old\proteomic_fractions_linear_files/Yang_linear_img/356582479.jpg","show blot")</f>
        <v>show blot</v>
      </c>
      <c r="G5145" t="s">
        <v>4939</v>
      </c>
      <c r="I5145" s="6">
        <v>5.5020470417364287</v>
      </c>
      <c r="K5145" s="8"/>
    </row>
    <row r="5146" spans="1:11" ht="15" x14ac:dyDescent="0.25">
      <c r="A5146" s="3" t="str">
        <f>HYPERLINK("proteomic_fractions_linear_files/Yang_linear_img/356582492.jpg", "356582492")</f>
        <v>356582492</v>
      </c>
      <c r="C5146" s="3" t="str">
        <f>HYPERLINK("http://www.ncbi.nlm.nih.gov/protein/356582492","Ogdh")</f>
        <v>Ogdh</v>
      </c>
      <c r="E5146" t="str">
        <f>HYPERLINK("J:\Depot - mpkCCD Fractions\Main Web Page\Web Pages_old\proteomic_fractions_linear_files/Yang_linear_img/356582492.jpg","show blot")</f>
        <v>show blot</v>
      </c>
      <c r="G5146" t="s">
        <v>4940</v>
      </c>
      <c r="I5146" s="6">
        <v>5.5020470417364287</v>
      </c>
      <c r="K5146" s="8"/>
    </row>
    <row r="5147" spans="1:11" ht="15" x14ac:dyDescent="0.25">
      <c r="A5147" s="3" t="str">
        <f>HYPERLINK("proteomic_fractions_linear_files/Yang_linear_img/124487483.jpg", "124487483")</f>
        <v>124487483</v>
      </c>
      <c r="C5147" s="3" t="str">
        <f>HYPERLINK("http://www.ncbi.nlm.nih.gov/protein/124487483","Ogdhl")</f>
        <v>Ogdhl</v>
      </c>
      <c r="E5147" t="str">
        <f>HYPERLINK("J:\Depot - mpkCCD Fractions\Main Web Page\Web Pages_old\proteomic_fractions_linear_files/Yang_linear_img/124487483.jpg","show blot")</f>
        <v>show blot</v>
      </c>
      <c r="G5147" t="s">
        <v>4941</v>
      </c>
      <c r="I5147" s="6">
        <v>4.8178375577779882</v>
      </c>
      <c r="K5147" s="8"/>
    </row>
    <row r="5148" spans="1:11" ht="15" x14ac:dyDescent="0.25">
      <c r="A5148" s="3" t="str">
        <f>HYPERLINK("proteomic_fractions_linear_files/Yang_linear_img/147901538.jpg", "147901538")</f>
        <v>147901538</v>
      </c>
      <c r="C5148" s="3" t="str">
        <f>HYPERLINK("http://www.ncbi.nlm.nih.gov/protein/147901538","Ogfod1")</f>
        <v>Ogfod1</v>
      </c>
      <c r="E5148" t="str">
        <f>HYPERLINK("J:\Depot - mpkCCD Fractions\Main Web Page\Web Pages_old\proteomic_fractions_linear_files/Yang_linear_img/147901538.jpg","show blot")</f>
        <v>show blot</v>
      </c>
      <c r="G5148" t="s">
        <v>4942</v>
      </c>
      <c r="I5148" s="6">
        <v>3.0238506423067162</v>
      </c>
      <c r="K5148" s="8"/>
    </row>
    <row r="5149" spans="1:11" ht="15" x14ac:dyDescent="0.25">
      <c r="A5149" s="3" t="str">
        <f>HYPERLINK("proteomic_fractions_linear_files/Yang_linear_img/148224284.jpg", "148224284")</f>
        <v>148224284</v>
      </c>
      <c r="C5149" s="3" t="str">
        <f>HYPERLINK("http://www.ncbi.nlm.nih.gov/protein/148224284","Ogfod1")</f>
        <v>Ogfod1</v>
      </c>
      <c r="E5149" t="str">
        <f>HYPERLINK("J:\Depot - mpkCCD Fractions\Main Web Page\Web Pages_old\proteomic_fractions_linear_files/Yang_linear_img/148224284.jpg","show blot")</f>
        <v>show blot</v>
      </c>
      <c r="G5149" t="s">
        <v>4943</v>
      </c>
      <c r="I5149" s="6">
        <v>3.0238506423067162</v>
      </c>
      <c r="K5149" s="8"/>
    </row>
    <row r="5150" spans="1:11" ht="15" x14ac:dyDescent="0.25">
      <c r="A5150" s="3" t="str">
        <f>HYPERLINK("proteomic_fractions_linear_files/Yang_linear_img/258679484.jpg", "258679484")</f>
        <v>258679484</v>
      </c>
      <c r="C5150" s="3" t="str">
        <f>HYPERLINK("http://www.ncbi.nlm.nih.gov/protein/258679484","Ogfr")</f>
        <v>Ogfr</v>
      </c>
      <c r="E5150" t="str">
        <f>HYPERLINK("J:\Depot - mpkCCD Fractions\Main Web Page\Web Pages_old\proteomic_fractions_linear_files/Yang_linear_img/258679484.jpg","show blot")</f>
        <v>show blot</v>
      </c>
      <c r="G5150" t="s">
        <v>4944</v>
      </c>
      <c r="I5150" s="6">
        <v>4.8022190873398296</v>
      </c>
      <c r="K5150" s="8"/>
    </row>
    <row r="5151" spans="1:11" ht="15" x14ac:dyDescent="0.25">
      <c r="A5151" s="3" t="str">
        <f>HYPERLINK("proteomic_fractions_linear_files/Yang_linear_img/46909607.jpg", "46909607")</f>
        <v>46909607</v>
      </c>
      <c r="C5151" s="3" t="str">
        <f>HYPERLINK("http://www.ncbi.nlm.nih.gov/protein/46909607","Ogt")</f>
        <v>Ogt</v>
      </c>
      <c r="E5151" t="str">
        <f>HYPERLINK("J:\Depot - mpkCCD Fractions\Main Web Page\Web Pages_old\proteomic_fractions_linear_files/Yang_linear_img/46909607.jpg","show blot")</f>
        <v>show blot</v>
      </c>
      <c r="G5151" t="s">
        <v>4945</v>
      </c>
      <c r="I5151" s="6">
        <v>4.2905329675570174</v>
      </c>
      <c r="K5151" s="8"/>
    </row>
    <row r="5152" spans="1:11" ht="15" x14ac:dyDescent="0.25">
      <c r="A5152" s="3" t="str">
        <f>HYPERLINK("proteomic_fractions_linear_files/Yang_linear_img/22164770.jpg", "22164770")</f>
        <v>22164770</v>
      </c>
      <c r="C5152" s="3" t="str">
        <f>HYPERLINK("http://www.ncbi.nlm.nih.gov/protein/22164770","Oit1")</f>
        <v>Oit1</v>
      </c>
      <c r="E5152" t="str">
        <f>HYPERLINK("J:\Depot - mpkCCD Fractions\Main Web Page\Web Pages_old\proteomic_fractions_linear_files/Yang_linear_img/22164770.jpg","show blot")</f>
        <v>show blot</v>
      </c>
      <c r="G5152" t="s">
        <v>4946</v>
      </c>
      <c r="I5152" s="6">
        <v>3.7265965502126059</v>
      </c>
      <c r="K5152" s="8"/>
    </row>
    <row r="5153" spans="1:11" ht="15" x14ac:dyDescent="0.25">
      <c r="A5153" s="3" t="str">
        <f>HYPERLINK("proteomic_fractions_linear_files/Yang_linear_img/21313144.jpg", "21313144")</f>
        <v>21313144</v>
      </c>
      <c r="C5153" s="3" t="str">
        <f>HYPERLINK("http://www.ncbi.nlm.nih.gov/protein/21313144","Ola1")</f>
        <v>Ola1</v>
      </c>
      <c r="E5153" t="str">
        <f>HYPERLINK("J:\Depot - mpkCCD Fractions\Main Web Page\Web Pages_old\proteomic_fractions_linear_files/Yang_linear_img/21313144.jpg","show blot")</f>
        <v>show blot</v>
      </c>
      <c r="G5153" t="s">
        <v>4947</v>
      </c>
      <c r="I5153" s="6">
        <v>6.0836136296492649</v>
      </c>
      <c r="K5153" s="8"/>
    </row>
    <row r="5154" spans="1:11" ht="15" x14ac:dyDescent="0.25">
      <c r="A5154" s="3" t="str">
        <f>HYPERLINK("proteomic_fractions_linear_files/Yang_linear_img/76677915.jpg", "76677915")</f>
        <v>76677915</v>
      </c>
      <c r="C5154" s="3" t="str">
        <f>HYPERLINK("http://www.ncbi.nlm.nih.gov/protein/76677915","Ola1")</f>
        <v>Ola1</v>
      </c>
      <c r="E5154" t="str">
        <f>HYPERLINK("J:\Depot - mpkCCD Fractions\Main Web Page\Web Pages_old\proteomic_fractions_linear_files/Yang_linear_img/76677915.jpg","show blot")</f>
        <v>show blot</v>
      </c>
      <c r="G5154" t="s">
        <v>4948</v>
      </c>
      <c r="I5154" s="6">
        <v>6.0836136296492649</v>
      </c>
      <c r="K5154" s="8"/>
    </row>
    <row r="5155" spans="1:11" ht="15" x14ac:dyDescent="0.25">
      <c r="A5155" s="3" t="str">
        <f>HYPERLINK("proteomic_fractions_linear_files/Yang_linear_img/121583683.jpg", "121583683")</f>
        <v>121583683</v>
      </c>
      <c r="C5155" s="3" t="str">
        <f>HYPERLINK("http://www.ncbi.nlm.nih.gov/protein/121583683","Olfr1126")</f>
        <v>Olfr1126</v>
      </c>
      <c r="E5155" t="str">
        <f>HYPERLINK("J:\Depot - mpkCCD Fractions\Main Web Page\Web Pages_old\proteomic_fractions_linear_files/Yang_linear_img/121583683.jpg","show blot")</f>
        <v>show blot</v>
      </c>
      <c r="G5155" t="s">
        <v>4949</v>
      </c>
      <c r="I5155" s="6">
        <v>4.1968685089179916</v>
      </c>
      <c r="K5155" s="8"/>
    </row>
    <row r="5156" spans="1:11" ht="15" x14ac:dyDescent="0.25">
      <c r="A5156" s="3" t="str">
        <f>HYPERLINK("proteomic_fractions_linear_files/Yang_linear_img/22129387.jpg", "22129387")</f>
        <v>22129387</v>
      </c>
      <c r="C5156" s="3" t="str">
        <f>HYPERLINK("http://www.ncbi.nlm.nih.gov/protein/22129387","Olfr516")</f>
        <v>Olfr516</v>
      </c>
      <c r="E5156" t="str">
        <f>HYPERLINK("J:\Depot - mpkCCD Fractions\Main Web Page\Web Pages_old\proteomic_fractions_linear_files/Yang_linear_img/22129387.jpg","show blot")</f>
        <v>show blot</v>
      </c>
      <c r="G5156" t="s">
        <v>4950</v>
      </c>
      <c r="I5156" s="6">
        <v>3.426802101560932</v>
      </c>
      <c r="K5156" s="8"/>
    </row>
    <row r="5157" spans="1:11" ht="15" x14ac:dyDescent="0.25">
      <c r="A5157" s="3" t="str">
        <f>HYPERLINK("proteomic_fractions_linear_files/Yang_linear_img/22129679.jpg", "22129679")</f>
        <v>22129679</v>
      </c>
      <c r="C5157" s="3" t="str">
        <f>HYPERLINK("http://www.ncbi.nlm.nih.gov/protein/22129679","Olfr518")</f>
        <v>Olfr518</v>
      </c>
      <c r="E5157" t="str">
        <f>HYPERLINK("J:\Depot - mpkCCD Fractions\Main Web Page\Web Pages_old\proteomic_fractions_linear_files/Yang_linear_img/22129679.jpg","show blot")</f>
        <v>show blot</v>
      </c>
      <c r="G5157" t="s">
        <v>4951</v>
      </c>
      <c r="I5157" s="6">
        <v>3.4149028782612243</v>
      </c>
      <c r="K5157" s="8"/>
    </row>
    <row r="5158" spans="1:11" ht="15" x14ac:dyDescent="0.25">
      <c r="A5158" s="3" t="str">
        <f>HYPERLINK("proteomic_fractions_linear_files/Yang_linear_img/121247462.jpg", "121247462")</f>
        <v>121247462</v>
      </c>
      <c r="C5158" s="3" t="str">
        <f>HYPERLINK("http://www.ncbi.nlm.nih.gov/protein/121247462","Olfr554")</f>
        <v>Olfr554</v>
      </c>
      <c r="E5158" t="str">
        <f>HYPERLINK("J:\Depot - mpkCCD Fractions\Main Web Page\Web Pages_old\proteomic_fractions_linear_files/Yang_linear_img/121247462.jpg","show blot")</f>
        <v>show blot</v>
      </c>
      <c r="G5158" t="s">
        <v>4952</v>
      </c>
      <c r="I5158" s="6">
        <v>4.565776510583083</v>
      </c>
      <c r="K5158" s="8"/>
    </row>
    <row r="5159" spans="1:11" ht="15" x14ac:dyDescent="0.25">
      <c r="A5159" s="3" t="str">
        <f>HYPERLINK("proteomic_fractions_linear_files/Yang_linear_img/22128813.jpg", "22128813")</f>
        <v>22128813</v>
      </c>
      <c r="C5159" s="3" t="str">
        <f>HYPERLINK("http://www.ncbi.nlm.nih.gov/protein/22128813","Olfr643")</f>
        <v>Olfr643</v>
      </c>
      <c r="E5159" t="str">
        <f>HYPERLINK("J:\Depot - mpkCCD Fractions\Main Web Page\Web Pages_old\proteomic_fractions_linear_files/Yang_linear_img/22128813.jpg","show blot")</f>
        <v>show blot</v>
      </c>
      <c r="G5159" t="s">
        <v>4953</v>
      </c>
      <c r="I5159" s="6">
        <v>4.1827438662263852</v>
      </c>
      <c r="K5159" s="8"/>
    </row>
    <row r="5160" spans="1:11" ht="15" x14ac:dyDescent="0.25">
      <c r="A5160" s="3" t="str">
        <f>HYPERLINK("proteomic_fractions_linear_files/Yang_linear_img/120407031.jpg", "120407031")</f>
        <v>120407031</v>
      </c>
      <c r="C5160" s="3" t="str">
        <f>HYPERLINK("http://www.ncbi.nlm.nih.gov/protein/120407031","Olfr67")</f>
        <v>Olfr67</v>
      </c>
      <c r="E5160" t="str">
        <f>HYPERLINK("J:\Depot - mpkCCD Fractions\Main Web Page\Web Pages_old\proteomic_fractions_linear_files/Yang_linear_img/120407031.jpg","show blot")</f>
        <v>show blot</v>
      </c>
      <c r="G5160" t="s">
        <v>4954</v>
      </c>
      <c r="I5160" s="6">
        <v>3.4108147113270002</v>
      </c>
      <c r="K5160" s="8"/>
    </row>
    <row r="5161" spans="1:11" ht="15" x14ac:dyDescent="0.25">
      <c r="A5161" s="3" t="str">
        <f>HYPERLINK("proteomic_fractions_linear_files/Yang_linear_img/33239332.jpg", "33239332")</f>
        <v>33239332</v>
      </c>
      <c r="C5161" s="3" t="str">
        <f>HYPERLINK("http://www.ncbi.nlm.nih.gov/protein/33239332","Olfr810")</f>
        <v>Olfr810</v>
      </c>
      <c r="E5161" t="str">
        <f>HYPERLINK("J:\Depot - mpkCCD Fractions\Main Web Page\Web Pages_old\proteomic_fractions_linear_files/Yang_linear_img/33239332.jpg","show blot")</f>
        <v>show blot</v>
      </c>
      <c r="G5161" t="s">
        <v>4955</v>
      </c>
      <c r="I5161" s="6">
        <v>3.5842583352567208</v>
      </c>
      <c r="K5161" s="8"/>
    </row>
    <row r="5162" spans="1:11" ht="15" x14ac:dyDescent="0.25">
      <c r="A5162" s="3" t="str">
        <f>HYPERLINK("proteomic_fractions_linear_files/Yang_linear_img/33239334.jpg", "33239334")</f>
        <v>33239334</v>
      </c>
      <c r="C5162" s="3" t="str">
        <f>HYPERLINK("http://www.ncbi.nlm.nih.gov/protein/33239334","Olfr816")</f>
        <v>Olfr816</v>
      </c>
      <c r="E5162" t="str">
        <f>HYPERLINK("J:\Depot - mpkCCD Fractions\Main Web Page\Web Pages_old\proteomic_fractions_linear_files/Yang_linear_img/33239334.jpg","show blot")</f>
        <v>show blot</v>
      </c>
      <c r="G5162" t="s">
        <v>4956</v>
      </c>
      <c r="I5162" s="6">
        <v>3.5842583352567208</v>
      </c>
      <c r="K5162" s="8"/>
    </row>
    <row r="5163" spans="1:11" ht="15" x14ac:dyDescent="0.25">
      <c r="A5163" s="3" t="str">
        <f>HYPERLINK("proteomic_fractions_linear_files/Yang_linear_img/33239336.jpg", "33239336")</f>
        <v>33239336</v>
      </c>
      <c r="C5163" s="3" t="str">
        <f>HYPERLINK("http://www.ncbi.nlm.nih.gov/protein/33239336","Olfr822")</f>
        <v>Olfr822</v>
      </c>
      <c r="E5163" t="str">
        <f>HYPERLINK("J:\Depot - mpkCCD Fractions\Main Web Page\Web Pages_old\proteomic_fractions_linear_files/Yang_linear_img/33239336.jpg","show blot")</f>
        <v>show blot</v>
      </c>
      <c r="G5163" t="s">
        <v>4957</v>
      </c>
      <c r="I5163" s="6">
        <v>3.5842583352567208</v>
      </c>
      <c r="K5163" s="8"/>
    </row>
    <row r="5164" spans="1:11" ht="15" x14ac:dyDescent="0.25">
      <c r="A5164" s="3" t="str">
        <f>HYPERLINK("proteomic_fractions_linear_files/Yang_linear_img/22380661.jpg", "22380661")</f>
        <v>22380661</v>
      </c>
      <c r="C5164" s="3" t="str">
        <f>HYPERLINK("http://www.ncbi.nlm.nih.gov/protein/22380661","Olfr870")</f>
        <v>Olfr870</v>
      </c>
      <c r="E5164" t="str">
        <f>HYPERLINK("J:\Depot - mpkCCD Fractions\Main Web Page\Web Pages_old\proteomic_fractions_linear_files/Yang_linear_img/22380661.jpg","show blot")</f>
        <v>show blot</v>
      </c>
      <c r="G5164" t="s">
        <v>4958</v>
      </c>
      <c r="I5164" s="6">
        <v>2.256717745977487</v>
      </c>
      <c r="K5164" s="8"/>
    </row>
    <row r="5165" spans="1:11" ht="15" x14ac:dyDescent="0.25">
      <c r="A5165" s="3" t="str">
        <f>HYPERLINK("proteomic_fractions_linear_files/Yang_linear_img/257196219.jpg", "257196219")</f>
        <v>257196219</v>
      </c>
      <c r="C5165" s="3" t="str">
        <f>HYPERLINK("http://www.ncbi.nlm.nih.gov/protein/257196219","Olfr871")</f>
        <v>Olfr871</v>
      </c>
      <c r="E5165" t="str">
        <f>HYPERLINK("J:\Depot - mpkCCD Fractions\Main Web Page\Web Pages_old\proteomic_fractions_linear_files/Yang_linear_img/257196219.jpg","show blot")</f>
        <v>show blot</v>
      </c>
      <c r="G5165" t="s">
        <v>4959</v>
      </c>
      <c r="I5165" s="6">
        <v>2.256717745977487</v>
      </c>
      <c r="K5165" s="8"/>
    </row>
    <row r="5166" spans="1:11" ht="15" x14ac:dyDescent="0.25">
      <c r="A5166" s="3" t="str">
        <f>HYPERLINK("proteomic_fractions_linear_files/Yang_linear_img/289629197.jpg", "289629197")</f>
        <v>289629197</v>
      </c>
      <c r="C5166" s="3" t="str">
        <f>HYPERLINK("http://www.ncbi.nlm.nih.gov/protein/289629197","Olfr923")</f>
        <v>Olfr923</v>
      </c>
      <c r="E5166" t="str">
        <f>HYPERLINK("J:\Depot - mpkCCD Fractions\Main Web Page\Web Pages_old\proteomic_fractions_linear_files/Yang_linear_img/289629197.jpg","show blot")</f>
        <v>show blot</v>
      </c>
      <c r="G5166" t="s">
        <v>4960</v>
      </c>
      <c r="I5166" s="6">
        <v>3.4457699406369118</v>
      </c>
      <c r="K5166" s="8"/>
    </row>
    <row r="5167" spans="1:11" ht="15" x14ac:dyDescent="0.25">
      <c r="A5167" s="3" t="str">
        <f>HYPERLINK("proteomic_fractions_linear_files/Yang_linear_img/19526960.jpg", "19526960")</f>
        <v>19526960</v>
      </c>
      <c r="C5167" s="3" t="str">
        <f>HYPERLINK("http://www.ncbi.nlm.nih.gov/protein/19526960","Opa1")</f>
        <v>Opa1</v>
      </c>
      <c r="E5167" t="str">
        <f>HYPERLINK("J:\Depot - mpkCCD Fractions\Main Web Page\Web Pages_old\proteomic_fractions_linear_files/Yang_linear_img/19526960.jpg","show blot")</f>
        <v>show blot</v>
      </c>
      <c r="G5167" t="s">
        <v>4961</v>
      </c>
      <c r="I5167" s="6">
        <v>3.8258157683370331</v>
      </c>
      <c r="K5167" s="8"/>
    </row>
    <row r="5168" spans="1:11" ht="15" x14ac:dyDescent="0.25">
      <c r="A5168" s="3" t="str">
        <f>HYPERLINK("proteomic_fractions_linear_files/Yang_linear_img/312836758.jpg", "312836758")</f>
        <v>312836758</v>
      </c>
      <c r="C5168" s="3" t="str">
        <f>HYPERLINK("http://www.ncbi.nlm.nih.gov/protein/312836758","Opa1")</f>
        <v>Opa1</v>
      </c>
      <c r="E5168" t="str">
        <f>HYPERLINK("J:\Depot - mpkCCD Fractions\Main Web Page\Web Pages_old\proteomic_fractions_linear_files/Yang_linear_img/312836758.jpg","show blot")</f>
        <v>show blot</v>
      </c>
      <c r="G5168" t="s">
        <v>4962</v>
      </c>
      <c r="I5168" s="6">
        <v>3.8258157683370331</v>
      </c>
      <c r="K5168" s="8"/>
    </row>
    <row r="5169" spans="1:11" ht="15" x14ac:dyDescent="0.25">
      <c r="A5169" s="3" t="str">
        <f>HYPERLINK("proteomic_fractions_linear_files/Yang_linear_img/110625722.jpg", "110625722")</f>
        <v>110625722</v>
      </c>
      <c r="C5169" s="3" t="str">
        <f>HYPERLINK("http://www.ncbi.nlm.nih.gov/protein/110625722","Opa3")</f>
        <v>Opa3</v>
      </c>
      <c r="E5169" t="str">
        <f>HYPERLINK("J:\Depot - mpkCCD Fractions\Main Web Page\Web Pages_old\proteomic_fractions_linear_files/Yang_linear_img/110625722.jpg","show blot")</f>
        <v>show blot</v>
      </c>
      <c r="G5169" t="s">
        <v>4963</v>
      </c>
      <c r="I5169" s="6">
        <v>3.8808298503558629</v>
      </c>
      <c r="K5169" s="8"/>
    </row>
    <row r="5170" spans="1:11" ht="15" x14ac:dyDescent="0.25">
      <c r="A5170" s="3" t="str">
        <f>HYPERLINK("proteomic_fractions_linear_files/Yang_linear_img/32469491.jpg", "32469491")</f>
        <v>32469491</v>
      </c>
      <c r="C5170" s="3" t="str">
        <f>HYPERLINK("http://www.ncbi.nlm.nih.gov/protein/32469491","Optn")</f>
        <v>Optn</v>
      </c>
      <c r="E5170" t="str">
        <f>HYPERLINK("J:\Depot - mpkCCD Fractions\Main Web Page\Web Pages_old\proteomic_fractions_linear_files/Yang_linear_img/32469491.jpg","show blot")</f>
        <v>show blot</v>
      </c>
      <c r="G5170" t="s">
        <v>4964</v>
      </c>
      <c r="I5170" s="6">
        <v>4.3203788575438171</v>
      </c>
      <c r="K5170" s="8"/>
    </row>
    <row r="5171" spans="1:11" ht="15" x14ac:dyDescent="0.25">
      <c r="A5171" s="3" t="str">
        <f>HYPERLINK("proteomic_fractions_linear_files/Yang_linear_img/21313282.jpg", "21313282")</f>
        <v>21313282</v>
      </c>
      <c r="C5171" s="3" t="str">
        <f>HYPERLINK("http://www.ncbi.nlm.nih.gov/protein/21313282","Ormdl2")</f>
        <v>Ormdl2</v>
      </c>
      <c r="E5171" t="str">
        <f>HYPERLINK("J:\Depot - mpkCCD Fractions\Main Web Page\Web Pages_old\proteomic_fractions_linear_files/Yang_linear_img/21313282.jpg","show blot")</f>
        <v>show blot</v>
      </c>
      <c r="G5171" t="s">
        <v>4965</v>
      </c>
      <c r="I5171" s="6">
        <v>4.191612090121672</v>
      </c>
      <c r="K5171" s="8"/>
    </row>
    <row r="5172" spans="1:11" ht="15" x14ac:dyDescent="0.25">
      <c r="A5172" s="3" t="str">
        <f>HYPERLINK("proteomic_fractions_linear_files/Yang_linear_img/13385128.jpg", "13385128")</f>
        <v>13385128</v>
      </c>
      <c r="C5172" s="3" t="str">
        <f>HYPERLINK("http://www.ncbi.nlm.nih.gov/protein/13385128","Ormdl3")</f>
        <v>Ormdl3</v>
      </c>
      <c r="E5172" t="str">
        <f>HYPERLINK("J:\Depot - mpkCCD Fractions\Main Web Page\Web Pages_old\proteomic_fractions_linear_files/Yang_linear_img/13385128.jpg","show blot")</f>
        <v>show blot</v>
      </c>
      <c r="G5172" t="s">
        <v>4966</v>
      </c>
      <c r="I5172" s="6">
        <v>4.191612090121672</v>
      </c>
      <c r="K5172" s="8"/>
    </row>
    <row r="5173" spans="1:11" ht="15" x14ac:dyDescent="0.25">
      <c r="A5173" s="3" t="str">
        <f>HYPERLINK("proteomic_fractions_linear_files/Yang_linear_img/283837907.jpg", "283837907")</f>
        <v>283837907</v>
      </c>
      <c r="C5173" s="3" t="str">
        <f>HYPERLINK("http://www.ncbi.nlm.nih.gov/protein/283837907","Os9")</f>
        <v>Os9</v>
      </c>
      <c r="E5173" t="str">
        <f>HYPERLINK("J:\Depot - mpkCCD Fractions\Main Web Page\Web Pages_old\proteomic_fractions_linear_files/Yang_linear_img/283837907.jpg","show blot")</f>
        <v>show blot</v>
      </c>
      <c r="G5173" t="s">
        <v>4967</v>
      </c>
      <c r="I5173" s="6">
        <v>4.1472138580164648</v>
      </c>
      <c r="K5173" s="8"/>
    </row>
    <row r="5174" spans="1:11" ht="15" x14ac:dyDescent="0.25">
      <c r="A5174" s="3" t="str">
        <f>HYPERLINK("proteomic_fractions_linear_files/Yang_linear_img/283837911.jpg", "283837911")</f>
        <v>283837911</v>
      </c>
      <c r="C5174" s="3" t="str">
        <f>HYPERLINK("http://www.ncbi.nlm.nih.gov/protein/283837911","Os9")</f>
        <v>Os9</v>
      </c>
      <c r="E5174" t="str">
        <f>HYPERLINK("J:\Depot - mpkCCD Fractions\Main Web Page\Web Pages_old\proteomic_fractions_linear_files/Yang_linear_img/283837911.jpg","show blot")</f>
        <v>show blot</v>
      </c>
      <c r="G5174" t="s">
        <v>4968</v>
      </c>
      <c r="I5174" s="6">
        <v>4.1472138580164648</v>
      </c>
      <c r="K5174" s="8"/>
    </row>
    <row r="5175" spans="1:11" ht="15" x14ac:dyDescent="0.25">
      <c r="A5175" s="3" t="str">
        <f>HYPERLINK("proteomic_fractions_linear_files/Yang_linear_img/133504509.jpg", "133504509")</f>
        <v>133504509</v>
      </c>
      <c r="C5175" s="3" t="str">
        <f>HYPERLINK("http://www.ncbi.nlm.nih.gov/protein/133504509","Osbp")</f>
        <v>Osbp</v>
      </c>
      <c r="E5175" t="str">
        <f>HYPERLINK("J:\Depot - mpkCCD Fractions\Main Web Page\Web Pages_old\proteomic_fractions_linear_files/Yang_linear_img/133504509.jpg","show blot")</f>
        <v>show blot</v>
      </c>
      <c r="G5175" t="s">
        <v>4969</v>
      </c>
      <c r="I5175" s="6">
        <v>5.1495685088904928</v>
      </c>
      <c r="K5175" s="8"/>
    </row>
    <row r="5176" spans="1:11" ht="15" x14ac:dyDescent="0.25">
      <c r="A5176" s="3" t="str">
        <f>HYPERLINK("proteomic_fractions_linear_files/Yang_linear_img/61744458.jpg", "61744458")</f>
        <v>61744458</v>
      </c>
      <c r="C5176" s="3" t="str">
        <f>HYPERLINK("http://www.ncbi.nlm.nih.gov/protein/61744458","Osbp2")</f>
        <v>Osbp2</v>
      </c>
      <c r="E5176" t="str">
        <f>HYPERLINK("J:\Depot - mpkCCD Fractions\Main Web Page\Web Pages_old\proteomic_fractions_linear_files/Yang_linear_img/61744458.jpg","show blot")</f>
        <v>show blot</v>
      </c>
      <c r="G5176" t="s">
        <v>4970</v>
      </c>
      <c r="I5176" s="6">
        <v>4.7645563920391991</v>
      </c>
      <c r="K5176" s="8"/>
    </row>
    <row r="5177" spans="1:11" ht="15" x14ac:dyDescent="0.25">
      <c r="A5177" s="3" t="str">
        <f>HYPERLINK("proteomic_fractions_linear_files/Yang_linear_img/22507367.jpg", "22507367")</f>
        <v>22507367</v>
      </c>
      <c r="C5177" s="3" t="str">
        <f>HYPERLINK("http://www.ncbi.nlm.nih.gov/protein/22507367","Osbpl10")</f>
        <v>Osbpl10</v>
      </c>
      <c r="E5177" t="str">
        <f>HYPERLINK("J:\Depot - mpkCCD Fractions\Main Web Page\Web Pages_old\proteomic_fractions_linear_files/Yang_linear_img/22507367.jpg","show blot")</f>
        <v>show blot</v>
      </c>
      <c r="G5177" t="s">
        <v>4971</v>
      </c>
      <c r="I5177" s="6">
        <v>3.3776964273364083</v>
      </c>
      <c r="K5177" s="8"/>
    </row>
    <row r="5178" spans="1:11" ht="15" x14ac:dyDescent="0.25">
      <c r="A5178" s="3" t="str">
        <f>HYPERLINK("proteomic_fractions_linear_files/Yang_linear_img/257196261.jpg", "257196261")</f>
        <v>257196261</v>
      </c>
      <c r="C5178" s="3" t="str">
        <f>HYPERLINK("http://www.ncbi.nlm.nih.gov/protein/257196261","Osbpl11")</f>
        <v>Osbpl11</v>
      </c>
      <c r="E5178" t="str">
        <f>HYPERLINK("J:\Depot - mpkCCD Fractions\Main Web Page\Web Pages_old\proteomic_fractions_linear_files/Yang_linear_img/257196261.jpg","show blot")</f>
        <v>show blot</v>
      </c>
      <c r="G5178" t="s">
        <v>4972</v>
      </c>
      <c r="I5178" s="6">
        <v>3.2803681080189535</v>
      </c>
      <c r="K5178" s="8"/>
    </row>
    <row r="5179" spans="1:11" ht="15" x14ac:dyDescent="0.25">
      <c r="A5179" s="3" t="str">
        <f>HYPERLINK("proteomic_fractions_linear_files/Yang_linear_img/110625879.jpg", "110625879")</f>
        <v>110625879</v>
      </c>
      <c r="C5179" s="3" t="str">
        <f>HYPERLINK("http://www.ncbi.nlm.nih.gov/protein/110625879","Osbpl2")</f>
        <v>Osbpl2</v>
      </c>
      <c r="E5179" t="str">
        <f>HYPERLINK("J:\Depot - mpkCCD Fractions\Main Web Page\Web Pages_old\proteomic_fractions_linear_files/Yang_linear_img/110625879.jpg","show blot")</f>
        <v>show blot</v>
      </c>
      <c r="G5179" t="s">
        <v>4973</v>
      </c>
      <c r="I5179" s="6">
        <v>3.3780076558000904</v>
      </c>
      <c r="K5179" s="8"/>
    </row>
    <row r="5180" spans="1:11" ht="15" x14ac:dyDescent="0.25">
      <c r="A5180" s="3" t="str">
        <f>HYPERLINK("proteomic_fractions_linear_files/Yang_linear_img/254692962.jpg", "254692962")</f>
        <v>254692962</v>
      </c>
      <c r="C5180" s="3" t="str">
        <f>HYPERLINK("http://www.ncbi.nlm.nih.gov/protein/254692962","Osbpl3")</f>
        <v>Osbpl3</v>
      </c>
      <c r="E5180" t="str">
        <f>HYPERLINK("J:\Depot - mpkCCD Fractions\Main Web Page\Web Pages_old\proteomic_fractions_linear_files/Yang_linear_img/254692962.jpg","show blot")</f>
        <v>show blot</v>
      </c>
      <c r="G5180" t="s">
        <v>4974</v>
      </c>
      <c r="I5180" s="6">
        <v>4.7587758657527912</v>
      </c>
      <c r="K5180" s="8"/>
    </row>
    <row r="5181" spans="1:11" ht="15" x14ac:dyDescent="0.25">
      <c r="A5181" s="3" t="str">
        <f>HYPERLINK("proteomic_fractions_linear_files/Yang_linear_img/254692964.jpg", "254692964")</f>
        <v>254692964</v>
      </c>
      <c r="C5181" s="3" t="str">
        <f>HYPERLINK("http://www.ncbi.nlm.nih.gov/protein/254692964","Osbpl3")</f>
        <v>Osbpl3</v>
      </c>
      <c r="E5181" t="str">
        <f>HYPERLINK("J:\Depot - mpkCCD Fractions\Main Web Page\Web Pages_old\proteomic_fractions_linear_files/Yang_linear_img/254692964.jpg","show blot")</f>
        <v>show blot</v>
      </c>
      <c r="G5181" t="s">
        <v>4975</v>
      </c>
      <c r="I5181" s="6">
        <v>4.7587758657527912</v>
      </c>
      <c r="K5181" s="8"/>
    </row>
    <row r="5182" spans="1:11" ht="15" x14ac:dyDescent="0.25">
      <c r="A5182" s="3" t="str">
        <f>HYPERLINK("proteomic_fractions_linear_files/Yang_linear_img/51243034.jpg", "51243034")</f>
        <v>51243034</v>
      </c>
      <c r="C5182" s="3" t="str">
        <f>HYPERLINK("http://www.ncbi.nlm.nih.gov/protein/51243034","Osbpl8")</f>
        <v>Osbpl8</v>
      </c>
      <c r="E5182" t="str">
        <f>HYPERLINK("J:\Depot - mpkCCD Fractions\Main Web Page\Web Pages_old\proteomic_fractions_linear_files/Yang_linear_img/51243034.jpg","show blot")</f>
        <v>show blot</v>
      </c>
      <c r="G5182" t="s">
        <v>4976</v>
      </c>
      <c r="I5182" s="6">
        <v>3.3814749161149829</v>
      </c>
      <c r="K5182" s="8"/>
    </row>
    <row r="5183" spans="1:11" ht="15" x14ac:dyDescent="0.25">
      <c r="A5183" s="3" t="str">
        <f>HYPERLINK("proteomic_fractions_linear_files/Yang_linear_img/51243036.jpg", "51243036")</f>
        <v>51243036</v>
      </c>
      <c r="C5183" s="3" t="str">
        <f>HYPERLINK("http://www.ncbi.nlm.nih.gov/protein/51243036","Osbpl8")</f>
        <v>Osbpl8</v>
      </c>
      <c r="E5183" t="str">
        <f>HYPERLINK("J:\Depot - mpkCCD Fractions\Main Web Page\Web Pages_old\proteomic_fractions_linear_files/Yang_linear_img/51243036.jpg","show blot")</f>
        <v>show blot</v>
      </c>
      <c r="G5183" t="s">
        <v>4977</v>
      </c>
      <c r="I5183" s="6">
        <v>3.3814749161149829</v>
      </c>
      <c r="K5183" s="8"/>
    </row>
    <row r="5184" spans="1:11" ht="15" x14ac:dyDescent="0.25">
      <c r="A5184" s="3" t="str">
        <f>HYPERLINK("proteomic_fractions_linear_files/Yang_linear_img/198278439.jpg", "198278439")</f>
        <v>198278439</v>
      </c>
      <c r="C5184" s="3" t="str">
        <f>HYPERLINK("http://www.ncbi.nlm.nih.gov/protein/198278439","Osbpl9")</f>
        <v>Osbpl9</v>
      </c>
      <c r="E5184" t="str">
        <f>HYPERLINK("J:\Depot - mpkCCD Fractions\Main Web Page\Web Pages_old\proteomic_fractions_linear_files/Yang_linear_img/198278439.jpg","show blot")</f>
        <v>show blot</v>
      </c>
      <c r="G5184" t="s">
        <v>4978</v>
      </c>
      <c r="I5184" s="6">
        <v>3.474799117914968</v>
      </c>
      <c r="K5184" s="8"/>
    </row>
    <row r="5185" spans="1:11" ht="15" x14ac:dyDescent="0.25">
      <c r="A5185" s="3" t="str">
        <f>HYPERLINK("proteomic_fractions_linear_files/Yang_linear_img/198278441.jpg", "198278441")</f>
        <v>198278441</v>
      </c>
      <c r="C5185" s="3" t="str">
        <f>HYPERLINK("http://www.ncbi.nlm.nih.gov/protein/198278441","Osbpl9")</f>
        <v>Osbpl9</v>
      </c>
      <c r="E5185" t="str">
        <f>HYPERLINK("J:\Depot - mpkCCD Fractions\Main Web Page\Web Pages_old\proteomic_fractions_linear_files/Yang_linear_img/198278441.jpg","show blot")</f>
        <v>show blot</v>
      </c>
      <c r="G5185" t="s">
        <v>4979</v>
      </c>
      <c r="I5185" s="6">
        <v>3.474799117914968</v>
      </c>
      <c r="K5185" s="8"/>
    </row>
    <row r="5186" spans="1:11" ht="15" x14ac:dyDescent="0.25">
      <c r="A5186" s="3" t="str">
        <f>HYPERLINK("proteomic_fractions_linear_files/Yang_linear_img/307938353.jpg", "307938353")</f>
        <v>307938353</v>
      </c>
      <c r="C5186" s="3" t="str">
        <f>HYPERLINK("http://www.ncbi.nlm.nih.gov/protein/307938353","Osbpl9")</f>
        <v>Osbpl9</v>
      </c>
      <c r="E5186" t="str">
        <f>HYPERLINK("J:\Depot - mpkCCD Fractions\Main Web Page\Web Pages_old\proteomic_fractions_linear_files/Yang_linear_img/307938353.jpg","show blot")</f>
        <v>show blot</v>
      </c>
      <c r="G5186" t="s">
        <v>4980</v>
      </c>
      <c r="I5186" s="6">
        <v>3.474799117914968</v>
      </c>
      <c r="K5186" s="8"/>
    </row>
    <row r="5187" spans="1:11" ht="15" x14ac:dyDescent="0.25">
      <c r="A5187" s="3" t="str">
        <f>HYPERLINK("proteomic_fractions_linear_files/Yang_linear_img/84662768.jpg", "84662768")</f>
        <v>84662768</v>
      </c>
      <c r="C5187" s="3" t="str">
        <f>HYPERLINK("http://www.ncbi.nlm.nih.gov/protein/84662768","Osgep")</f>
        <v>Osgep</v>
      </c>
      <c r="E5187" t="str">
        <f>HYPERLINK("J:\Depot - mpkCCD Fractions\Main Web Page\Web Pages_old\proteomic_fractions_linear_files/Yang_linear_img/84662768.jpg","show blot")</f>
        <v>show blot</v>
      </c>
      <c r="G5187" t="s">
        <v>4981</v>
      </c>
      <c r="I5187" s="6">
        <v>5.6680332353589167</v>
      </c>
      <c r="K5187" s="8"/>
    </row>
    <row r="5188" spans="1:11" ht="15" x14ac:dyDescent="0.25">
      <c r="A5188" s="3" t="str">
        <f>HYPERLINK("proteomic_fractions_linear_files/Yang_linear_img/13384930.jpg", "13384930")</f>
        <v>13384930</v>
      </c>
      <c r="C5188" s="3" t="str">
        <f>HYPERLINK("http://www.ncbi.nlm.nih.gov/protein/13384930","Ostc")</f>
        <v>Ostc</v>
      </c>
      <c r="E5188" t="str">
        <f>HYPERLINK("J:\Depot - mpkCCD Fractions\Main Web Page\Web Pages_old\proteomic_fractions_linear_files/Yang_linear_img/13384930.jpg","show blot")</f>
        <v>show blot</v>
      </c>
      <c r="G5188" t="s">
        <v>4982</v>
      </c>
      <c r="I5188" s="6">
        <v>5.6527237500692493</v>
      </c>
      <c r="K5188" s="8"/>
    </row>
    <row r="5189" spans="1:11" ht="15" x14ac:dyDescent="0.25">
      <c r="A5189" s="3" t="str">
        <f>HYPERLINK("proteomic_fractions_linear_files/Yang_linear_img/22267440.jpg", "22267440")</f>
        <v>22267440</v>
      </c>
      <c r="C5189" s="3" t="str">
        <f>HYPERLINK("http://www.ncbi.nlm.nih.gov/protein/22267440","Ostf1")</f>
        <v>Ostf1</v>
      </c>
      <c r="E5189" t="str">
        <f>HYPERLINK("J:\Depot - mpkCCD Fractions\Main Web Page\Web Pages_old\proteomic_fractions_linear_files/Yang_linear_img/22267440.jpg","show blot")</f>
        <v>show blot</v>
      </c>
      <c r="G5189" t="s">
        <v>4983</v>
      </c>
      <c r="I5189" s="6">
        <v>5.5612764650511579</v>
      </c>
      <c r="K5189" s="8"/>
    </row>
    <row r="5190" spans="1:11" ht="15" x14ac:dyDescent="0.25">
      <c r="A5190" s="3" t="str">
        <f>HYPERLINK("proteomic_fractions_linear_files/Yang_linear_img/19527388.jpg", "19527388")</f>
        <v>19527388</v>
      </c>
      <c r="C5190" s="3" t="str">
        <f>HYPERLINK("http://www.ncbi.nlm.nih.gov/protein/19527388","Otub1")</f>
        <v>Otub1</v>
      </c>
      <c r="E5190" t="str">
        <f>HYPERLINK("J:\Depot - mpkCCD Fractions\Main Web Page\Web Pages_old\proteomic_fractions_linear_files/Yang_linear_img/19527388.jpg","show blot")</f>
        <v>show blot</v>
      </c>
      <c r="G5190" t="s">
        <v>4984</v>
      </c>
      <c r="I5190" s="6">
        <v>6.2779835280450538</v>
      </c>
      <c r="K5190" s="8"/>
    </row>
    <row r="5191" spans="1:11" ht="15" x14ac:dyDescent="0.25">
      <c r="A5191" s="3" t="str">
        <f>HYPERLINK("proteomic_fractions_linear_files/Yang_linear_img/124487191.jpg", "124487191")</f>
        <v>124487191</v>
      </c>
      <c r="C5191" s="3" t="str">
        <f>HYPERLINK("http://www.ncbi.nlm.nih.gov/protein/124487191","Otud4")</f>
        <v>Otud4</v>
      </c>
      <c r="E5191" t="str">
        <f>HYPERLINK("J:\Depot - mpkCCD Fractions\Main Web Page\Web Pages_old\proteomic_fractions_linear_files/Yang_linear_img/124487191.jpg","show blot")</f>
        <v>show blot</v>
      </c>
      <c r="G5191" t="s">
        <v>4985</v>
      </c>
      <c r="I5191" s="6">
        <v>4.2704067851716854</v>
      </c>
      <c r="K5191" s="8"/>
    </row>
    <row r="5192" spans="1:11" ht="15" x14ac:dyDescent="0.25">
      <c r="A5192" s="3" t="str">
        <f>HYPERLINK("proteomic_fractions_linear_files/Yang_linear_img/365733608.jpg", "365733608")</f>
        <v>365733608</v>
      </c>
      <c r="C5192" s="3" t="str">
        <f>HYPERLINK("http://www.ncbi.nlm.nih.gov/protein/365733608","Otud4")</f>
        <v>Otud4</v>
      </c>
      <c r="E5192" t="str">
        <f>HYPERLINK("J:\Depot - mpkCCD Fractions\Main Web Page\Web Pages_old\proteomic_fractions_linear_files/Yang_linear_img/365733608.jpg","show blot")</f>
        <v>show blot</v>
      </c>
      <c r="G5192" t="s">
        <v>4986</v>
      </c>
      <c r="I5192" s="6">
        <v>4.2704067851716854</v>
      </c>
      <c r="K5192" s="8"/>
    </row>
    <row r="5193" spans="1:11" ht="15" x14ac:dyDescent="0.25">
      <c r="A5193" s="3" t="str">
        <f>HYPERLINK("proteomic_fractions_linear_files/Yang_linear_img/31560768.jpg", "31560768")</f>
        <v>31560768</v>
      </c>
      <c r="C5193" s="3" t="str">
        <f>HYPERLINK("http://www.ncbi.nlm.nih.gov/protein/31560768","Otud5")</f>
        <v>Otud5</v>
      </c>
      <c r="E5193" t="str">
        <f>HYPERLINK("J:\Depot - mpkCCD Fractions\Main Web Page\Web Pages_old\proteomic_fractions_linear_files/Yang_linear_img/31560768.jpg","show blot")</f>
        <v>show blot</v>
      </c>
      <c r="G5193" t="s">
        <v>4987</v>
      </c>
      <c r="I5193" s="6">
        <v>2.7952942155908596</v>
      </c>
      <c r="K5193" s="8"/>
    </row>
    <row r="5194" spans="1:11" ht="15" x14ac:dyDescent="0.25">
      <c r="A5194" s="3" t="str">
        <f>HYPERLINK("proteomic_fractions_linear_files/Yang_linear_img/157364966.jpg", "157364966")</f>
        <v>157364966</v>
      </c>
      <c r="C5194" s="3" t="str">
        <f>HYPERLINK("http://www.ncbi.nlm.nih.gov/protein/157364966","Otud6b")</f>
        <v>Otud6b</v>
      </c>
      <c r="E5194" t="str">
        <f>HYPERLINK("J:\Depot - mpkCCD Fractions\Main Web Page\Web Pages_old\proteomic_fractions_linear_files/Yang_linear_img/157364966.jpg","show blot")</f>
        <v>show blot</v>
      </c>
      <c r="G5194" t="s">
        <v>4988</v>
      </c>
      <c r="I5194" s="6">
        <v>4.1662756203708771</v>
      </c>
      <c r="K5194" s="8"/>
    </row>
    <row r="5195" spans="1:11" ht="15" x14ac:dyDescent="0.25">
      <c r="A5195" s="3" t="str">
        <f>HYPERLINK("proteomic_fractions_linear_files/Yang_linear_img/18700018.jpg", "18700018")</f>
        <v>18700018</v>
      </c>
      <c r="C5195" s="3" t="str">
        <f>HYPERLINK("http://www.ncbi.nlm.nih.gov/protein/18700018","Otud7a")</f>
        <v>Otud7a</v>
      </c>
      <c r="E5195" t="str">
        <f>HYPERLINK("J:\Depot - mpkCCD Fractions\Main Web Page\Web Pages_old\proteomic_fractions_linear_files/Yang_linear_img/18700018.jpg","show blot")</f>
        <v>show blot</v>
      </c>
      <c r="G5195" t="s">
        <v>4989</v>
      </c>
      <c r="I5195" s="6">
        <v>2.4332865141322944</v>
      </c>
      <c r="K5195" s="8"/>
    </row>
    <row r="5196" spans="1:11" ht="15" x14ac:dyDescent="0.25">
      <c r="A5196" s="3" t="str">
        <f>HYPERLINK("proteomic_fractions_linear_files/Yang_linear_img/71043959.jpg", "71043959")</f>
        <v>71043959</v>
      </c>
      <c r="C5196" s="3" t="str">
        <f>HYPERLINK("http://www.ncbi.nlm.nih.gov/protein/71043959","Otud7b")</f>
        <v>Otud7b</v>
      </c>
      <c r="E5196" t="str">
        <f>HYPERLINK("J:\Depot - mpkCCD Fractions\Main Web Page\Web Pages_old\proteomic_fractions_linear_files/Yang_linear_img/71043959.jpg","show blot")</f>
        <v>show blot</v>
      </c>
      <c r="G5196" t="s">
        <v>4990</v>
      </c>
      <c r="I5196" s="6">
        <v>2.6665949796813968</v>
      </c>
      <c r="K5196" s="8"/>
    </row>
    <row r="5197" spans="1:11" ht="15" x14ac:dyDescent="0.25">
      <c r="A5197" s="3" t="str">
        <f>HYPERLINK("proteomic_fractions_linear_files/Yang_linear_img/18158418.jpg", "18158418")</f>
        <v>18158418</v>
      </c>
      <c r="C5197" s="3" t="str">
        <f>HYPERLINK("http://www.ncbi.nlm.nih.gov/protein/18158418","Ovca2")</f>
        <v>Ovca2</v>
      </c>
      <c r="E5197" t="str">
        <f>HYPERLINK("J:\Depot - mpkCCD Fractions\Main Web Page\Web Pages_old\proteomic_fractions_linear_files/Yang_linear_img/18158418.jpg","show blot")</f>
        <v>show blot</v>
      </c>
      <c r="G5197" t="s">
        <v>4991</v>
      </c>
      <c r="I5197" s="6">
        <v>5.0708472054695353</v>
      </c>
      <c r="K5197" s="8"/>
    </row>
    <row r="5198" spans="1:11" ht="15" x14ac:dyDescent="0.25">
      <c r="A5198" s="3" t="str">
        <f>HYPERLINK("proteomic_fractions_linear_files/Yang_linear_img/23308705.jpg", "23308705")</f>
        <v>23308705</v>
      </c>
      <c r="C5198" s="3" t="str">
        <f>HYPERLINK("http://www.ncbi.nlm.nih.gov/protein/23308705","Ovol2")</f>
        <v>Ovol2</v>
      </c>
      <c r="E5198" t="str">
        <f>HYPERLINK("J:\Depot - mpkCCD Fractions\Main Web Page\Web Pages_old\proteomic_fractions_linear_files/Yang_linear_img/23308705.jpg","show blot")</f>
        <v>show blot</v>
      </c>
      <c r="G5198" t="s">
        <v>4992</v>
      </c>
      <c r="I5198" s="6">
        <v>2.9408354396133651</v>
      </c>
      <c r="K5198" s="8"/>
    </row>
    <row r="5199" spans="1:11" ht="15" x14ac:dyDescent="0.25">
      <c r="A5199" s="3" t="str">
        <f>HYPERLINK("proteomic_fractions_linear_files/Yang_linear_img/18266680.jpg", "18266680")</f>
        <v>18266680</v>
      </c>
      <c r="C5199" s="3" t="str">
        <f>HYPERLINK("http://www.ncbi.nlm.nih.gov/protein/18266680","Oxct1")</f>
        <v>Oxct1</v>
      </c>
      <c r="E5199" t="str">
        <f>HYPERLINK("J:\Depot - mpkCCD Fractions\Main Web Page\Web Pages_old\proteomic_fractions_linear_files/Yang_linear_img/18266680.jpg","show blot")</f>
        <v>show blot</v>
      </c>
      <c r="G5199" t="s">
        <v>4993</v>
      </c>
      <c r="I5199" s="6">
        <v>5.3212240204895034</v>
      </c>
      <c r="K5199" s="8"/>
    </row>
    <row r="5200" spans="1:11" ht="15" x14ac:dyDescent="0.25">
      <c r="A5200" s="3" t="str">
        <f>HYPERLINK("proteomic_fractions_linear_files/Yang_linear_img/170932556.jpg", "170932556")</f>
        <v>170932556</v>
      </c>
      <c r="C5200" s="3" t="str">
        <f>HYPERLINK("http://www.ncbi.nlm.nih.gov/protein/170932556","Oxnad1")</f>
        <v>Oxnad1</v>
      </c>
      <c r="E5200" t="str">
        <f>HYPERLINK("J:\Depot - mpkCCD Fractions\Main Web Page\Web Pages_old\proteomic_fractions_linear_files/Yang_linear_img/170932556.jpg","show blot")</f>
        <v>show blot</v>
      </c>
      <c r="G5200" t="s">
        <v>4994</v>
      </c>
      <c r="I5200" s="6">
        <v>2.561500675458388</v>
      </c>
      <c r="K5200" s="8"/>
    </row>
    <row r="5201" spans="1:11" ht="15" x14ac:dyDescent="0.25">
      <c r="A5201" s="3" t="str">
        <f>HYPERLINK("proteomic_fractions_linear_files/Yang_linear_img/194328704.jpg", "194328704")</f>
        <v>194328704</v>
      </c>
      <c r="C5201" s="3" t="str">
        <f>HYPERLINK("http://www.ncbi.nlm.nih.gov/protein/194328704","Oxr1")</f>
        <v>Oxr1</v>
      </c>
      <c r="E5201" t="str">
        <f>HYPERLINK("J:\Depot - mpkCCD Fractions\Main Web Page\Web Pages_old\proteomic_fractions_linear_files/Yang_linear_img/194328704.jpg","show blot")</f>
        <v>show blot</v>
      </c>
      <c r="G5201" t="s">
        <v>4995</v>
      </c>
      <c r="I5201" s="6">
        <v>5.9026181576203616</v>
      </c>
      <c r="K5201" s="8"/>
    </row>
    <row r="5202" spans="1:11" ht="15" x14ac:dyDescent="0.25">
      <c r="A5202" s="3" t="str">
        <f>HYPERLINK("proteomic_fractions_linear_files/Yang_linear_img/18700026.jpg", "18700026")</f>
        <v>18700026</v>
      </c>
      <c r="C5202" s="3" t="str">
        <f>HYPERLINK("http://www.ncbi.nlm.nih.gov/protein/18700026","Oxr1")</f>
        <v>Oxr1</v>
      </c>
      <c r="E5202" t="str">
        <f>HYPERLINK("J:\Depot - mpkCCD Fractions\Main Web Page\Web Pages_old\proteomic_fractions_linear_files/Yang_linear_img/18700026.jpg","show blot")</f>
        <v>show blot</v>
      </c>
      <c r="G5202" t="s">
        <v>4996</v>
      </c>
      <c r="I5202" s="6">
        <v>5.9026181576203616</v>
      </c>
      <c r="K5202" s="8"/>
    </row>
    <row r="5203" spans="1:11" ht="15" x14ac:dyDescent="0.25">
      <c r="A5203" s="3" t="str">
        <f>HYPERLINK("proteomic_fractions_linear_files/Yang_linear_img/194328702.jpg", "194328702")</f>
        <v>194328702</v>
      </c>
      <c r="C5203" s="3" t="str">
        <f>HYPERLINK("http://www.ncbi.nlm.nih.gov/protein/194328702","Oxr1")</f>
        <v>Oxr1</v>
      </c>
      <c r="E5203" t="str">
        <f>HYPERLINK("J:\Depot - mpkCCD Fractions\Main Web Page\Web Pages_old\proteomic_fractions_linear_files/Yang_linear_img/194328702.jpg","show blot")</f>
        <v>show blot</v>
      </c>
      <c r="G5203" t="s">
        <v>4997</v>
      </c>
      <c r="I5203" s="6">
        <v>5.9026181576203616</v>
      </c>
      <c r="K5203" s="8"/>
    </row>
    <row r="5204" spans="1:11" ht="15" x14ac:dyDescent="0.25">
      <c r="A5204" s="3" t="str">
        <f>HYPERLINK("proteomic_fractions_linear_files/Yang_linear_img/194328706.jpg", "194328706")</f>
        <v>194328706</v>
      </c>
      <c r="C5204" s="3" t="str">
        <f>HYPERLINK("http://www.ncbi.nlm.nih.gov/protein/194328706","Oxr1")</f>
        <v>Oxr1</v>
      </c>
      <c r="E5204" t="str">
        <f>HYPERLINK("J:\Depot - mpkCCD Fractions\Main Web Page\Web Pages_old\proteomic_fractions_linear_files/Yang_linear_img/194328706.jpg","show blot")</f>
        <v>show blot</v>
      </c>
      <c r="G5204" t="s">
        <v>4998</v>
      </c>
      <c r="I5204" s="6">
        <v>5.9026181576203616</v>
      </c>
      <c r="K5204" s="8"/>
    </row>
    <row r="5205" spans="1:11" ht="15" x14ac:dyDescent="0.25">
      <c r="A5205" s="3" t="str">
        <f>HYPERLINK("proteomic_fractions_linear_files/Yang_linear_img/194328708.jpg", "194328708")</f>
        <v>194328708</v>
      </c>
      <c r="C5205" s="3" t="str">
        <f>HYPERLINK("http://www.ncbi.nlm.nih.gov/protein/194328708","Oxr1")</f>
        <v>Oxr1</v>
      </c>
      <c r="E5205" t="str">
        <f>HYPERLINK("J:\Depot - mpkCCD Fractions\Main Web Page\Web Pages_old\proteomic_fractions_linear_files/Yang_linear_img/194328708.jpg","show blot")</f>
        <v>show blot</v>
      </c>
      <c r="G5205" t="s">
        <v>4999</v>
      </c>
      <c r="I5205" s="6">
        <v>5.9026181576203616</v>
      </c>
      <c r="K5205" s="8"/>
    </row>
    <row r="5206" spans="1:11" ht="15" x14ac:dyDescent="0.25">
      <c r="A5206" s="3" t="str">
        <f>HYPERLINK("proteomic_fractions_linear_files/Yang_linear_img/58037235.jpg", "58037235")</f>
        <v>58037235</v>
      </c>
      <c r="C5206" s="3" t="str">
        <f>HYPERLINK("http://www.ncbi.nlm.nih.gov/protein/58037235","Oxsm")</f>
        <v>Oxsm</v>
      </c>
      <c r="E5206" t="str">
        <f>HYPERLINK("J:\Depot - mpkCCD Fractions\Main Web Page\Web Pages_old\proteomic_fractions_linear_files/Yang_linear_img/58037235.jpg","show blot")</f>
        <v>show blot</v>
      </c>
      <c r="G5206" t="s">
        <v>5000</v>
      </c>
      <c r="I5206" s="6">
        <v>3.6045760224732137</v>
      </c>
      <c r="K5206" s="8"/>
    </row>
    <row r="5207" spans="1:11" ht="15" x14ac:dyDescent="0.25">
      <c r="A5207" s="3" t="str">
        <f>HYPERLINK("proteomic_fractions_linear_files/Yang_linear_img/365777424.jpg", "365777424")</f>
        <v>365777424</v>
      </c>
      <c r="C5207" s="3" t="str">
        <f>HYPERLINK("http://www.ncbi.nlm.nih.gov/protein/365777424","Oxsr1")</f>
        <v>Oxsr1</v>
      </c>
      <c r="E5207" t="str">
        <f>HYPERLINK("J:\Depot - mpkCCD Fractions\Main Web Page\Web Pages_old\proteomic_fractions_linear_files/Yang_linear_img/365777424.jpg","show blot")</f>
        <v>show blot</v>
      </c>
      <c r="G5207" t="s">
        <v>5001</v>
      </c>
      <c r="I5207" s="6">
        <v>4.7634065496640625</v>
      </c>
      <c r="K5207" s="8"/>
    </row>
    <row r="5208" spans="1:11" ht="15" x14ac:dyDescent="0.25">
      <c r="A5208" s="3" t="str">
        <f>HYPERLINK("proteomic_fractions_linear_files/Yang_linear_img/117676374.jpg", "117676374")</f>
        <v>117676374</v>
      </c>
      <c r="C5208" s="3" t="str">
        <f>HYPERLINK("http://www.ncbi.nlm.nih.gov/protein/117676374","P2rx4")</f>
        <v>P2rx4</v>
      </c>
      <c r="E5208" t="str">
        <f>HYPERLINK("J:\Depot - mpkCCD Fractions\Main Web Page\Web Pages_old\proteomic_fractions_linear_files/Yang_linear_img/117676374.jpg","show blot")</f>
        <v>show blot</v>
      </c>
      <c r="G5208" t="s">
        <v>5002</v>
      </c>
      <c r="I5208" s="6">
        <v>5.8311753585336419</v>
      </c>
      <c r="K5208" s="8"/>
    </row>
    <row r="5209" spans="1:11" ht="15" x14ac:dyDescent="0.25">
      <c r="A5209" s="3" t="str">
        <f>HYPERLINK("proteomic_fractions_linear_files/Yang_linear_img/238624118.jpg", "238624118")</f>
        <v>238624118</v>
      </c>
      <c r="C5209" s="3" t="str">
        <f>HYPERLINK("http://www.ncbi.nlm.nih.gov/protein/238624118","P2rx5")</f>
        <v>P2rx5</v>
      </c>
      <c r="E5209" t="str">
        <f>HYPERLINK("J:\Depot - mpkCCD Fractions\Main Web Page\Web Pages_old\proteomic_fractions_linear_files/Yang_linear_img/238624118.jpg","show blot")</f>
        <v>show blot</v>
      </c>
      <c r="G5209" t="s">
        <v>5003</v>
      </c>
      <c r="I5209" s="6">
        <v>3.9985845934999142</v>
      </c>
      <c r="K5209" s="8"/>
    </row>
    <row r="5210" spans="1:11" ht="15" x14ac:dyDescent="0.25">
      <c r="A5210" s="3" t="str">
        <f>HYPERLINK("proteomic_fractions_linear_files/Yang_linear_img/33859596.jpg", "33859596")</f>
        <v>33859596</v>
      </c>
      <c r="C5210" s="3" t="str">
        <f>HYPERLINK("http://www.ncbi.nlm.nih.gov/protein/33859596","P4ha1")</f>
        <v>P4ha1</v>
      </c>
      <c r="E5210" t="str">
        <f>HYPERLINK("J:\Depot - mpkCCD Fractions\Main Web Page\Web Pages_old\proteomic_fractions_linear_files/Yang_linear_img/33859596.jpg","show blot")</f>
        <v>show blot</v>
      </c>
      <c r="G5210" t="s">
        <v>5004</v>
      </c>
      <c r="I5210" s="6">
        <v>4.5008417514534758</v>
      </c>
      <c r="K5210" s="8"/>
    </row>
    <row r="5211" spans="1:11" ht="15" x14ac:dyDescent="0.25">
      <c r="A5211" s="3" t="str">
        <f>HYPERLINK("proteomic_fractions_linear_files/Yang_linear_img/42415475.jpg", "42415475")</f>
        <v>42415475</v>
      </c>
      <c r="C5211" s="3" t="str">
        <f>HYPERLINK("http://www.ncbi.nlm.nih.gov/protein/42415475","P4hb")</f>
        <v>P4hb</v>
      </c>
      <c r="E5211" t="str">
        <f>HYPERLINK("J:\Depot - mpkCCD Fractions\Main Web Page\Web Pages_old\proteomic_fractions_linear_files/Yang_linear_img/42415475.jpg","show blot")</f>
        <v>show blot</v>
      </c>
      <c r="G5211" t="s">
        <v>5005</v>
      </c>
      <c r="I5211" s="6">
        <v>6.7729075813233619</v>
      </c>
      <c r="K5211" s="8"/>
    </row>
    <row r="5212" spans="1:11" ht="15" x14ac:dyDescent="0.25">
      <c r="A5212" s="3" t="str">
        <f>HYPERLINK("proteomic_fractions_linear_files/Yang_linear_img/6755100.jpg", "6755100")</f>
        <v>6755100</v>
      </c>
      <c r="C5212" s="3" t="str">
        <f>HYPERLINK("http://www.ncbi.nlm.nih.gov/protein/6755100","Pa2g4")</f>
        <v>Pa2g4</v>
      </c>
      <c r="E5212" t="str">
        <f>HYPERLINK("J:\Depot - mpkCCD Fractions\Main Web Page\Web Pages_old\proteomic_fractions_linear_files/Yang_linear_img/6755100.jpg","show blot")</f>
        <v>show blot</v>
      </c>
      <c r="G5212" t="s">
        <v>5006</v>
      </c>
      <c r="I5212" s="6">
        <v>6.835776444092275</v>
      </c>
      <c r="K5212" s="8"/>
    </row>
    <row r="5213" spans="1:11" ht="15" x14ac:dyDescent="0.25">
      <c r="A5213" s="3" t="str">
        <f>HYPERLINK("proteomic_fractions_linear_files/Yang_linear_img/31560656.jpg", "31560656")</f>
        <v>31560656</v>
      </c>
      <c r="C5213" s="3" t="str">
        <f>HYPERLINK("http://www.ncbi.nlm.nih.gov/protein/31560656","Pabpc1")</f>
        <v>Pabpc1</v>
      </c>
      <c r="E5213" t="str">
        <f>HYPERLINK("J:\Depot - mpkCCD Fractions\Main Web Page\Web Pages_old\proteomic_fractions_linear_files/Yang_linear_img/31560656.jpg","show blot")</f>
        <v>show blot</v>
      </c>
      <c r="G5213" t="s">
        <v>5007</v>
      </c>
      <c r="I5213" s="6">
        <v>6.5446252204318283</v>
      </c>
      <c r="K5213" s="8"/>
    </row>
    <row r="5214" spans="1:11" ht="15" x14ac:dyDescent="0.25">
      <c r="A5214" s="3" t="str">
        <f>HYPERLINK("proteomic_fractions_linear_files/Yang_linear_img/166157896.jpg", "166157896")</f>
        <v>166157896</v>
      </c>
      <c r="C5214" s="3" t="str">
        <f>HYPERLINK("http://www.ncbi.nlm.nih.gov/protein/166157896","Pabpc1l")</f>
        <v>Pabpc1l</v>
      </c>
      <c r="E5214" t="str">
        <f>HYPERLINK("J:\Depot - mpkCCD Fractions\Main Web Page\Web Pages_old\proteomic_fractions_linear_files/Yang_linear_img/166157896.jpg","show blot")</f>
        <v>show blot</v>
      </c>
      <c r="G5214" t="s">
        <v>5008</v>
      </c>
      <c r="I5214" s="6">
        <v>5.3987077918847257</v>
      </c>
      <c r="K5214" s="8"/>
    </row>
    <row r="5215" spans="1:11" ht="15" x14ac:dyDescent="0.25">
      <c r="A5215" s="3" t="str">
        <f>HYPERLINK("proteomic_fractions_linear_files/Yang_linear_img/309271474.jpg", "309271474")</f>
        <v>309271474</v>
      </c>
      <c r="C5215" s="3" t="str">
        <f>HYPERLINK("http://www.ncbi.nlm.nih.gov/protein/309271474","Pabpc1l2b-ps")</f>
        <v>Pabpc1l2b-ps</v>
      </c>
      <c r="E5215" t="str">
        <f>HYPERLINK("J:\Depot - mpkCCD Fractions\Main Web Page\Web Pages_old\proteomic_fractions_linear_files/Yang_linear_img/309271474.jpg","show blot")</f>
        <v>show blot</v>
      </c>
      <c r="G5215" t="s">
        <v>5009</v>
      </c>
      <c r="I5215" s="6">
        <v>6.08540396826786</v>
      </c>
      <c r="K5215" s="8"/>
    </row>
    <row r="5216" spans="1:11" ht="15" x14ac:dyDescent="0.25">
      <c r="A5216" s="3" t="str">
        <f>HYPERLINK("proteomic_fractions_linear_files/Yang_linear_img/6754972.jpg", "6754972")</f>
        <v>6754972</v>
      </c>
      <c r="C5216" s="3" t="str">
        <f>HYPERLINK("http://www.ncbi.nlm.nih.gov/protein/6754972","Pabpc2")</f>
        <v>Pabpc2</v>
      </c>
      <c r="E5216" t="str">
        <f>HYPERLINK("J:\Depot - mpkCCD Fractions\Main Web Page\Web Pages_old\proteomic_fractions_linear_files/Yang_linear_img/6754972.jpg","show blot")</f>
        <v>show blot</v>
      </c>
      <c r="G5216" t="s">
        <v>5010</v>
      </c>
      <c r="I5216" s="6">
        <v>6.1041017973605509</v>
      </c>
      <c r="K5216" s="8"/>
    </row>
    <row r="5217" spans="1:11" ht="15" x14ac:dyDescent="0.25">
      <c r="A5217" s="3" t="str">
        <f>HYPERLINK("proteomic_fractions_linear_files/Yang_linear_img/22507391.jpg", "22507391")</f>
        <v>22507391</v>
      </c>
      <c r="C5217" s="3" t="str">
        <f>HYPERLINK("http://www.ncbi.nlm.nih.gov/protein/22507391","Pabpc4")</f>
        <v>Pabpc4</v>
      </c>
      <c r="E5217" t="str">
        <f>HYPERLINK("J:\Depot - mpkCCD Fractions\Main Web Page\Web Pages_old\proteomic_fractions_linear_files/Yang_linear_img/22507391.jpg","show blot")</f>
        <v>show blot</v>
      </c>
      <c r="G5217" t="s">
        <v>5011</v>
      </c>
      <c r="I5217" s="6">
        <v>5.8065764372816098</v>
      </c>
      <c r="K5217" s="8"/>
    </row>
    <row r="5218" spans="1:11" ht="15" x14ac:dyDescent="0.25">
      <c r="A5218" s="3" t="str">
        <f>HYPERLINK("proteomic_fractions_linear_files/Yang_linear_img/34419622.jpg", "34419622")</f>
        <v>34419622</v>
      </c>
      <c r="C5218" s="3" t="str">
        <f>HYPERLINK("http://www.ncbi.nlm.nih.gov/protein/34419622","Pabpc4")</f>
        <v>Pabpc4</v>
      </c>
      <c r="E5218" t="str">
        <f>HYPERLINK("J:\Depot - mpkCCD Fractions\Main Web Page\Web Pages_old\proteomic_fractions_linear_files/Yang_linear_img/34419622.jpg","show blot")</f>
        <v>show blot</v>
      </c>
      <c r="G5218" t="s">
        <v>5012</v>
      </c>
      <c r="I5218" s="6">
        <v>5.8065764372816098</v>
      </c>
      <c r="K5218" s="8"/>
    </row>
    <row r="5219" spans="1:11" ht="15" x14ac:dyDescent="0.25">
      <c r="A5219" s="3" t="str">
        <f>HYPERLINK("proteomic_fractions_linear_files/Yang_linear_img/168229272.jpg", "168229272")</f>
        <v>168229272</v>
      </c>
      <c r="C5219" s="3" t="str">
        <f>HYPERLINK("http://www.ncbi.nlm.nih.gov/protein/168229272","Pabpc4l")</f>
        <v>Pabpc4l</v>
      </c>
      <c r="E5219" t="str">
        <f>HYPERLINK("J:\Depot - mpkCCD Fractions\Main Web Page\Web Pages_old\proteomic_fractions_linear_files/Yang_linear_img/168229272.jpg","show blot")</f>
        <v>show blot</v>
      </c>
      <c r="G5219" t="s">
        <v>5013</v>
      </c>
      <c r="I5219" s="6">
        <v>4.0946166843228351</v>
      </c>
      <c r="K5219" s="8"/>
    </row>
    <row r="5220" spans="1:11" ht="15" x14ac:dyDescent="0.25">
      <c r="A5220" s="3" t="str">
        <f>HYPERLINK("proteomic_fractions_linear_files/Yang_linear_img/29336045.jpg", "29336045")</f>
        <v>29336045</v>
      </c>
      <c r="C5220" s="3" t="str">
        <f>HYPERLINK("http://www.ncbi.nlm.nih.gov/protein/29336045","Pabpc5")</f>
        <v>Pabpc5</v>
      </c>
      <c r="E5220" t="str">
        <f>HYPERLINK("J:\Depot - mpkCCD Fractions\Main Web Page\Web Pages_old\proteomic_fractions_linear_files/Yang_linear_img/29336045.jpg","show blot")</f>
        <v>show blot</v>
      </c>
      <c r="G5220" t="s">
        <v>5014</v>
      </c>
      <c r="I5220" s="6">
        <v>4.9745670919318954</v>
      </c>
      <c r="K5220" s="8"/>
    </row>
    <row r="5221" spans="1:11" ht="15" x14ac:dyDescent="0.25">
      <c r="A5221" s="3" t="str">
        <f>HYPERLINK("proteomic_fractions_linear_files/Yang_linear_img/255652857.jpg", "255652857")</f>
        <v>255652857</v>
      </c>
      <c r="C5221" s="3" t="str">
        <f>HYPERLINK("http://www.ncbi.nlm.nih.gov/protein/255652857","Pabpc6")</f>
        <v>Pabpc6</v>
      </c>
      <c r="E5221" t="str">
        <f>HYPERLINK("J:\Depot - mpkCCD Fractions\Main Web Page\Web Pages_old\proteomic_fractions_linear_files/Yang_linear_img/255652857.jpg","show blot")</f>
        <v>show blot</v>
      </c>
      <c r="G5221" t="s">
        <v>5015</v>
      </c>
      <c r="I5221" s="6">
        <v>6.3367794414452963</v>
      </c>
      <c r="K5221" s="8"/>
    </row>
    <row r="5222" spans="1:11" ht="15" x14ac:dyDescent="0.25">
      <c r="A5222" s="3" t="str">
        <f>HYPERLINK("proteomic_fractions_linear_files/Yang_linear_img/9506945.jpg", "9506945")</f>
        <v>9506945</v>
      </c>
      <c r="C5222" s="3" t="str">
        <f>HYPERLINK("http://www.ncbi.nlm.nih.gov/protein/9506945","Pabpn1")</f>
        <v>Pabpn1</v>
      </c>
      <c r="E5222" t="str">
        <f>HYPERLINK("J:\Depot - mpkCCD Fractions\Main Web Page\Web Pages_old\proteomic_fractions_linear_files/Yang_linear_img/9506945.jpg","show blot")</f>
        <v>show blot</v>
      </c>
      <c r="G5222" t="s">
        <v>5016</v>
      </c>
      <c r="I5222" s="6">
        <v>4.2209202055172925</v>
      </c>
      <c r="K5222" s="8"/>
    </row>
    <row r="5223" spans="1:11" ht="15" x14ac:dyDescent="0.25">
      <c r="A5223" s="3" t="str">
        <f>HYPERLINK("proteomic_fractions_linear_files/Yang_linear_img/54291704.jpg", "54291704")</f>
        <v>54291704</v>
      </c>
      <c r="C5223" s="3" t="str">
        <f>HYPERLINK("http://www.ncbi.nlm.nih.gov/protein/54291704","Pacs1")</f>
        <v>Pacs1</v>
      </c>
      <c r="E5223" t="str">
        <f>HYPERLINK("J:\Depot - mpkCCD Fractions\Main Web Page\Web Pages_old\proteomic_fractions_linear_files/Yang_linear_img/54291704.jpg","show blot")</f>
        <v>show blot</v>
      </c>
      <c r="G5223" t="s">
        <v>5017</v>
      </c>
      <c r="I5223" s="6">
        <v>3.9315836582494099</v>
      </c>
      <c r="K5223" s="8"/>
    </row>
    <row r="5224" spans="1:11" ht="15" x14ac:dyDescent="0.25">
      <c r="A5224" s="3" t="str">
        <f>HYPERLINK("proteomic_fractions_linear_files/Yang_linear_img/7106381.jpg", "7106381")</f>
        <v>7106381</v>
      </c>
      <c r="C5224" s="3" t="str">
        <f>HYPERLINK("http://www.ncbi.nlm.nih.gov/protein/7106381","Pacsin2")</f>
        <v>Pacsin2</v>
      </c>
      <c r="E5224" t="str">
        <f>HYPERLINK("J:\Depot - mpkCCD Fractions\Main Web Page\Web Pages_old\proteomic_fractions_linear_files/Yang_linear_img/7106381.jpg","show blot")</f>
        <v>show blot</v>
      </c>
      <c r="G5224" t="s">
        <v>5018</v>
      </c>
      <c r="I5224" s="6">
        <v>5.7871420124936721</v>
      </c>
      <c r="K5224" s="8"/>
    </row>
    <row r="5225" spans="1:11" ht="15" x14ac:dyDescent="0.25">
      <c r="A5225" s="3" t="str">
        <f>HYPERLINK("proteomic_fractions_linear_files/Yang_linear_img/28077027.jpg", "28077027")</f>
        <v>28077027</v>
      </c>
      <c r="C5225" s="3" t="str">
        <f>HYPERLINK("http://www.ncbi.nlm.nih.gov/protein/28077027","Pacsin3")</f>
        <v>Pacsin3</v>
      </c>
      <c r="E5225" t="str">
        <f>HYPERLINK("J:\Depot - mpkCCD Fractions\Main Web Page\Web Pages_old\proteomic_fractions_linear_files/Yang_linear_img/28077027.jpg","show blot")</f>
        <v>show blot</v>
      </c>
      <c r="G5225" t="s">
        <v>5019</v>
      </c>
      <c r="I5225" s="6">
        <v>4.842791552481839</v>
      </c>
      <c r="K5225" s="8"/>
    </row>
    <row r="5226" spans="1:11" ht="15" x14ac:dyDescent="0.25">
      <c r="A5226" s="3" t="str">
        <f>HYPERLINK("proteomic_fractions_linear_files/Yang_linear_img/171906557.jpg", "171906557")</f>
        <v>171906557</v>
      </c>
      <c r="C5226" s="3" t="str">
        <f>HYPERLINK("http://www.ncbi.nlm.nih.gov/protein/171906557","Padi2")</f>
        <v>Padi2</v>
      </c>
      <c r="E5226" t="str">
        <f>HYPERLINK("J:\Depot - mpkCCD Fractions\Main Web Page\Web Pages_old\proteomic_fractions_linear_files/Yang_linear_img/171906557.jpg","show blot")</f>
        <v>show blot</v>
      </c>
      <c r="G5226" t="s">
        <v>5020</v>
      </c>
      <c r="I5226" s="6">
        <v>5.2158596890816451</v>
      </c>
      <c r="K5226" s="8"/>
    </row>
    <row r="5227" spans="1:11" ht="15" x14ac:dyDescent="0.25">
      <c r="A5227" s="3" t="str">
        <f>HYPERLINK("proteomic_fractions_linear_files/Yang_linear_img/31980912.jpg", "31980912")</f>
        <v>31980912</v>
      </c>
      <c r="C5227" s="3" t="str">
        <f>HYPERLINK("http://www.ncbi.nlm.nih.gov/protein/31980912","Paf1")</f>
        <v>Paf1</v>
      </c>
      <c r="E5227" t="str">
        <f>HYPERLINK("J:\Depot - mpkCCD Fractions\Main Web Page\Web Pages_old\proteomic_fractions_linear_files/Yang_linear_img/31980912.jpg","show blot")</f>
        <v>show blot</v>
      </c>
      <c r="G5227" t="s">
        <v>5021</v>
      </c>
      <c r="I5227" s="6">
        <v>3.5296872681368856</v>
      </c>
      <c r="K5227" s="8"/>
    </row>
    <row r="5228" spans="1:11" ht="15" x14ac:dyDescent="0.25">
      <c r="A5228" s="3" t="str">
        <f>HYPERLINK("proteomic_fractions_linear_files/Yang_linear_img/7305363.jpg", "7305363")</f>
        <v>7305363</v>
      </c>
      <c r="C5228" s="3" t="str">
        <f>HYPERLINK("http://www.ncbi.nlm.nih.gov/protein/7305363","Pafah1b1")</f>
        <v>Pafah1b1</v>
      </c>
      <c r="E5228" t="str">
        <f>HYPERLINK("J:\Depot - mpkCCD Fractions\Main Web Page\Web Pages_old\proteomic_fractions_linear_files/Yang_linear_img/7305363.jpg","show blot")</f>
        <v>show blot</v>
      </c>
      <c r="G5228" t="s">
        <v>5022</v>
      </c>
      <c r="I5228" s="6">
        <v>5.9834264348310713</v>
      </c>
      <c r="K5228" s="8"/>
    </row>
    <row r="5229" spans="1:11" ht="15" x14ac:dyDescent="0.25">
      <c r="A5229" s="3" t="str">
        <f>HYPERLINK("proteomic_fractions_linear_files/Yang_linear_img/40254624.jpg", "40254624")</f>
        <v>40254624</v>
      </c>
      <c r="C5229" s="3" t="str">
        <f>HYPERLINK("http://www.ncbi.nlm.nih.gov/protein/40254624","Pafah1b2")</f>
        <v>Pafah1b2</v>
      </c>
      <c r="E5229" t="str">
        <f>HYPERLINK("J:\Depot - mpkCCD Fractions\Main Web Page\Web Pages_old\proteomic_fractions_linear_files/Yang_linear_img/40254624.jpg","show blot")</f>
        <v>show blot</v>
      </c>
      <c r="G5229" t="s">
        <v>5023</v>
      </c>
      <c r="I5229" s="6">
        <v>5.5158013876349914</v>
      </c>
      <c r="K5229" s="8"/>
    </row>
    <row r="5230" spans="1:11" ht="15" x14ac:dyDescent="0.25">
      <c r="A5230" s="3" t="str">
        <f>HYPERLINK("proteomic_fractions_linear_files/Yang_linear_img/6679201.jpg", "6679201")</f>
        <v>6679201</v>
      </c>
      <c r="C5230" s="3" t="str">
        <f>HYPERLINK("http://www.ncbi.nlm.nih.gov/protein/6679201","Pafah1b3")</f>
        <v>Pafah1b3</v>
      </c>
      <c r="E5230" t="str">
        <f>HYPERLINK("J:\Depot - mpkCCD Fractions\Main Web Page\Web Pages_old\proteomic_fractions_linear_files/Yang_linear_img/6679201.jpg","show blot")</f>
        <v>show blot</v>
      </c>
      <c r="G5230" t="s">
        <v>5024</v>
      </c>
      <c r="I5230" s="6">
        <v>5.9055793626284983</v>
      </c>
      <c r="K5230" s="8"/>
    </row>
    <row r="5231" spans="1:11" ht="15" x14ac:dyDescent="0.25">
      <c r="A5231" s="3" t="str">
        <f>HYPERLINK("proteomic_fractions_linear_files/Yang_linear_img/225579137.jpg", "225579137")</f>
        <v>225579137</v>
      </c>
      <c r="C5231" s="3" t="str">
        <f>HYPERLINK("http://www.ncbi.nlm.nih.gov/protein/225579137","Pafah2")</f>
        <v>Pafah2</v>
      </c>
      <c r="E5231" t="str">
        <f>HYPERLINK("J:\Depot - mpkCCD Fractions\Main Web Page\Web Pages_old\proteomic_fractions_linear_files/Yang_linear_img/225579137.jpg","show blot")</f>
        <v>show blot</v>
      </c>
      <c r="G5231" t="s">
        <v>5025</v>
      </c>
      <c r="I5231" s="6">
        <v>4.1432334943044529</v>
      </c>
      <c r="K5231" s="8"/>
    </row>
    <row r="5232" spans="1:11" ht="15" x14ac:dyDescent="0.25">
      <c r="A5232" s="3" t="str">
        <f>HYPERLINK("proteomic_fractions_linear_files/Yang_linear_img/13385434.jpg", "13385434")</f>
        <v>13385434</v>
      </c>
      <c r="C5232" s="3" t="str">
        <f>HYPERLINK("http://www.ncbi.nlm.nih.gov/protein/13385434","Paics")</f>
        <v>Paics</v>
      </c>
      <c r="E5232" t="str">
        <f>HYPERLINK("J:\Depot - mpkCCD Fractions\Main Web Page\Web Pages_old\proteomic_fractions_linear_files/Yang_linear_img/13385434.jpg","show blot")</f>
        <v>show blot</v>
      </c>
      <c r="G5232" t="s">
        <v>5026</v>
      </c>
      <c r="I5232" s="6">
        <v>6.3869112086955102</v>
      </c>
      <c r="K5232" s="8"/>
    </row>
    <row r="5233" spans="1:11" ht="15" x14ac:dyDescent="0.25">
      <c r="A5233" s="3" t="str">
        <f>HYPERLINK("proteomic_fractions_linear_files/Yang_linear_img/119943127.jpg", "119943127")</f>
        <v>119943127</v>
      </c>
      <c r="C5233" s="3" t="str">
        <f>HYPERLINK("http://www.ncbi.nlm.nih.gov/protein/119943127","Paip1")</f>
        <v>Paip1</v>
      </c>
      <c r="E5233" t="str">
        <f>HYPERLINK("J:\Depot - mpkCCD Fractions\Main Web Page\Web Pages_old\proteomic_fractions_linear_files/Yang_linear_img/119943127.jpg","show blot")</f>
        <v>show blot</v>
      </c>
      <c r="G5233" t="s">
        <v>5027</v>
      </c>
      <c r="I5233" s="6">
        <v>4.7539801322811712</v>
      </c>
      <c r="K5233" s="8"/>
    </row>
    <row r="5234" spans="1:11" ht="15" x14ac:dyDescent="0.25">
      <c r="A5234" s="3" t="str">
        <f>HYPERLINK("proteomic_fractions_linear_files/Yang_linear_img/21703908.jpg", "21703908")</f>
        <v>21703908</v>
      </c>
      <c r="C5234" s="3" t="str">
        <f>HYPERLINK("http://www.ncbi.nlm.nih.gov/protein/21703908","Paip1")</f>
        <v>Paip1</v>
      </c>
      <c r="E5234" t="str">
        <f>HYPERLINK("J:\Depot - mpkCCD Fractions\Main Web Page\Web Pages_old\proteomic_fractions_linear_files/Yang_linear_img/21703908.jpg","show blot")</f>
        <v>show blot</v>
      </c>
      <c r="G5234" t="s">
        <v>5028</v>
      </c>
      <c r="I5234" s="6">
        <v>4.7539801322811712</v>
      </c>
      <c r="K5234" s="8"/>
    </row>
    <row r="5235" spans="1:11" ht="15" x14ac:dyDescent="0.25">
      <c r="A5235" s="3" t="str">
        <f>HYPERLINK("proteomic_fractions_linear_files/Yang_linear_img/112181194.jpg", "112181194")</f>
        <v>112181194</v>
      </c>
      <c r="C5235" s="3" t="str">
        <f>HYPERLINK("http://www.ncbi.nlm.nih.gov/protein/112181194","Pak1")</f>
        <v>Pak1</v>
      </c>
      <c r="E5235" t="str">
        <f>HYPERLINK("J:\Depot - mpkCCD Fractions\Main Web Page\Web Pages_old\proteomic_fractions_linear_files/Yang_linear_img/112181194.jpg","show blot")</f>
        <v>show blot</v>
      </c>
      <c r="G5235" t="s">
        <v>5029</v>
      </c>
      <c r="I5235" s="6">
        <v>5.479441823002646</v>
      </c>
      <c r="K5235" s="8"/>
    </row>
    <row r="5236" spans="1:11" ht="15" x14ac:dyDescent="0.25">
      <c r="A5236" s="3" t="str">
        <f>HYPERLINK("proteomic_fractions_linear_files/Yang_linear_img/145046259.jpg", "145046259")</f>
        <v>145046259</v>
      </c>
      <c r="C5236" s="3" t="str">
        <f>HYPERLINK("http://www.ncbi.nlm.nih.gov/protein/145046259","Pak1ip1")</f>
        <v>Pak1ip1</v>
      </c>
      <c r="E5236" t="str">
        <f>HYPERLINK("J:\Depot - mpkCCD Fractions\Main Web Page\Web Pages_old\proteomic_fractions_linear_files/Yang_linear_img/145046259.jpg","show blot")</f>
        <v>show blot</v>
      </c>
      <c r="G5236" t="s">
        <v>5030</v>
      </c>
      <c r="I5236" s="6">
        <v>4.6187863051000511</v>
      </c>
      <c r="K5236" s="8"/>
    </row>
    <row r="5237" spans="1:11" ht="15" x14ac:dyDescent="0.25">
      <c r="A5237" s="3" t="str">
        <f>HYPERLINK("proteomic_fractions_linear_files/Yang_linear_img/46559406.jpg", "46559406")</f>
        <v>46559406</v>
      </c>
      <c r="C5237" s="3" t="str">
        <f>HYPERLINK("http://www.ncbi.nlm.nih.gov/protein/46559406","Pak2")</f>
        <v>Pak2</v>
      </c>
      <c r="E5237" t="str">
        <f>HYPERLINK("J:\Depot - mpkCCD Fractions\Main Web Page\Web Pages_old\proteomic_fractions_linear_files/Yang_linear_img/46559406.jpg","show blot")</f>
        <v>show blot</v>
      </c>
      <c r="G5237" t="s">
        <v>5031</v>
      </c>
      <c r="I5237" s="6">
        <v>5.9280064480758901</v>
      </c>
      <c r="K5237" s="8"/>
    </row>
    <row r="5238" spans="1:11" ht="15" x14ac:dyDescent="0.25">
      <c r="A5238" s="3" t="str">
        <f>HYPERLINK("proteomic_fractions_linear_files/Yang_linear_img/304307781.jpg", "304307781")</f>
        <v>304307781</v>
      </c>
      <c r="C5238" s="3" t="str">
        <f>HYPERLINK("http://www.ncbi.nlm.nih.gov/protein/304307781","Pak3")</f>
        <v>Pak3</v>
      </c>
      <c r="E5238" t="str">
        <f>HYPERLINK("J:\Depot - mpkCCD Fractions\Main Web Page\Web Pages_old\proteomic_fractions_linear_files/Yang_linear_img/304307781.jpg","show blot")</f>
        <v>show blot</v>
      </c>
      <c r="G5238" t="s">
        <v>5032</v>
      </c>
      <c r="I5238" s="6">
        <v>5.5013340155741943</v>
      </c>
      <c r="K5238" s="8"/>
    </row>
    <row r="5239" spans="1:11" ht="15" x14ac:dyDescent="0.25">
      <c r="A5239" s="3" t="str">
        <f>HYPERLINK("proteomic_fractions_linear_files/Yang_linear_img/304307783.jpg", "304307783")</f>
        <v>304307783</v>
      </c>
      <c r="C5239" s="3" t="str">
        <f>HYPERLINK("http://www.ncbi.nlm.nih.gov/protein/304307783","Pak3")</f>
        <v>Pak3</v>
      </c>
      <c r="E5239" t="str">
        <f>HYPERLINK("J:\Depot - mpkCCD Fractions\Main Web Page\Web Pages_old\proteomic_fractions_linear_files/Yang_linear_img/304307783.jpg","show blot")</f>
        <v>show blot</v>
      </c>
      <c r="G5239" t="s">
        <v>5033</v>
      </c>
      <c r="I5239" s="6">
        <v>5.5013340155741943</v>
      </c>
      <c r="K5239" s="8"/>
    </row>
    <row r="5240" spans="1:11" ht="15" x14ac:dyDescent="0.25">
      <c r="A5240" s="3" t="str">
        <f>HYPERLINK("proteomic_fractions_linear_files/Yang_linear_img/304307785.jpg", "304307785")</f>
        <v>304307785</v>
      </c>
      <c r="C5240" s="3" t="str">
        <f>HYPERLINK("http://www.ncbi.nlm.nih.gov/protein/304307785","Pak3")</f>
        <v>Pak3</v>
      </c>
      <c r="E5240" t="str">
        <f>HYPERLINK("J:\Depot - mpkCCD Fractions\Main Web Page\Web Pages_old\proteomic_fractions_linear_files/Yang_linear_img/304307785.jpg","show blot")</f>
        <v>show blot</v>
      </c>
      <c r="G5240" t="s">
        <v>5034</v>
      </c>
      <c r="I5240" s="6">
        <v>5.5013340155741943</v>
      </c>
      <c r="K5240" s="8"/>
    </row>
    <row r="5241" spans="1:11" ht="15" x14ac:dyDescent="0.25">
      <c r="A5241" s="3" t="str">
        <f>HYPERLINK("proteomic_fractions_linear_files/Yang_linear_img/304307788.jpg", "304307788")</f>
        <v>304307788</v>
      </c>
      <c r="C5241" s="3" t="str">
        <f>HYPERLINK("http://www.ncbi.nlm.nih.gov/protein/304307788","Pak3")</f>
        <v>Pak3</v>
      </c>
      <c r="E5241" t="str">
        <f>HYPERLINK("J:\Depot - mpkCCD Fractions\Main Web Page\Web Pages_old\proteomic_fractions_linear_files/Yang_linear_img/304307788.jpg","show blot")</f>
        <v>show blot</v>
      </c>
      <c r="G5241" t="s">
        <v>5035</v>
      </c>
      <c r="I5241" s="6">
        <v>5.5013340155741943</v>
      </c>
      <c r="K5241" s="8"/>
    </row>
    <row r="5242" spans="1:11" ht="15" x14ac:dyDescent="0.25">
      <c r="A5242" s="3" t="str">
        <f>HYPERLINK("proteomic_fractions_linear_files/Yang_linear_img/29336032.jpg", "29336032")</f>
        <v>29336032</v>
      </c>
      <c r="C5242" s="3" t="str">
        <f>HYPERLINK("http://www.ncbi.nlm.nih.gov/protein/29336032","Pak4")</f>
        <v>Pak4</v>
      </c>
      <c r="E5242" t="str">
        <f>HYPERLINK("J:\Depot - mpkCCD Fractions\Main Web Page\Web Pages_old\proteomic_fractions_linear_files/Yang_linear_img/29336032.jpg","show blot")</f>
        <v>show blot</v>
      </c>
      <c r="G5242" t="s">
        <v>5036</v>
      </c>
      <c r="I5242" s="6">
        <v>3.2226148746650503</v>
      </c>
      <c r="K5242" s="8"/>
    </row>
    <row r="5243" spans="1:11" ht="15" x14ac:dyDescent="0.25">
      <c r="A5243" s="3" t="str">
        <f>HYPERLINK("proteomic_fractions_linear_files/Yang_linear_img/171846274.jpg", "171846274")</f>
        <v>171846274</v>
      </c>
      <c r="C5243" s="3" t="str">
        <f>HYPERLINK("http://www.ncbi.nlm.nih.gov/protein/171846274","Pald1")</f>
        <v>Pald1</v>
      </c>
      <c r="E5243" t="str">
        <f>HYPERLINK("J:\Depot - mpkCCD Fractions\Main Web Page\Web Pages_old\proteomic_fractions_linear_files/Yang_linear_img/171846274.jpg","show blot")</f>
        <v>show blot</v>
      </c>
      <c r="G5243" t="s">
        <v>5037</v>
      </c>
      <c r="I5243" s="6">
        <v>4.0691959665654629</v>
      </c>
      <c r="K5243" s="8"/>
    </row>
    <row r="5244" spans="1:11" ht="15" x14ac:dyDescent="0.25">
      <c r="A5244" s="3" t="str">
        <f>HYPERLINK("proteomic_fractions_linear_files/Yang_linear_img/124487061.jpg", "124487061")</f>
        <v>124487061</v>
      </c>
      <c r="C5244" s="3" t="str">
        <f>HYPERLINK("http://www.ncbi.nlm.nih.gov/protein/124487061","Palld")</f>
        <v>Palld</v>
      </c>
      <c r="E5244" t="str">
        <f>HYPERLINK("J:\Depot - mpkCCD Fractions\Main Web Page\Web Pages_old\proteomic_fractions_linear_files/Yang_linear_img/124487061.jpg","show blot")</f>
        <v>show blot</v>
      </c>
      <c r="G5244" t="s">
        <v>5038</v>
      </c>
      <c r="I5244" s="6">
        <v>3.4937738392428734</v>
      </c>
      <c r="K5244" s="8"/>
    </row>
    <row r="5245" spans="1:11" ht="15" x14ac:dyDescent="0.25">
      <c r="A5245" s="3" t="str">
        <f>HYPERLINK("proteomic_fractions_linear_files/Yang_linear_img/239985639.jpg", "239985639")</f>
        <v>239985639</v>
      </c>
      <c r="C5245" s="3" t="str">
        <f>HYPERLINK("http://www.ncbi.nlm.nih.gov/protein/239985639","Palm")</f>
        <v>Palm</v>
      </c>
      <c r="E5245" t="str">
        <f>HYPERLINK("J:\Depot - mpkCCD Fractions\Main Web Page\Web Pages_old\proteomic_fractions_linear_files/Yang_linear_img/239985639.jpg","show blot")</f>
        <v>show blot</v>
      </c>
      <c r="G5245" t="s">
        <v>5039</v>
      </c>
      <c r="I5245" s="6">
        <v>2.839783697241141</v>
      </c>
      <c r="K5245" s="8"/>
    </row>
    <row r="5246" spans="1:11" ht="15" x14ac:dyDescent="0.25">
      <c r="A5246" s="3" t="str">
        <f>HYPERLINK("proteomic_fractions_linear_files/Yang_linear_img/239985643.jpg", "239985643")</f>
        <v>239985643</v>
      </c>
      <c r="C5246" s="3" t="str">
        <f>HYPERLINK("http://www.ncbi.nlm.nih.gov/protein/239985643","Palm")</f>
        <v>Palm</v>
      </c>
      <c r="E5246" t="str">
        <f>HYPERLINK("J:\Depot - mpkCCD Fractions\Main Web Page\Web Pages_old\proteomic_fractions_linear_files/Yang_linear_img/239985643.jpg","show blot")</f>
        <v>show blot</v>
      </c>
      <c r="G5246" t="s">
        <v>5040</v>
      </c>
      <c r="I5246" s="6">
        <v>2.839783697241141</v>
      </c>
      <c r="K5246" s="8"/>
    </row>
    <row r="5247" spans="1:11" ht="15" x14ac:dyDescent="0.25">
      <c r="A5247" s="3" t="str">
        <f>HYPERLINK("proteomic_fractions_linear_files/Yang_linear_img/124430707.jpg", "124430707")</f>
        <v>124430707</v>
      </c>
      <c r="C5247" s="3" t="str">
        <f>HYPERLINK("http://www.ncbi.nlm.nih.gov/protein/124430707","Palm3")</f>
        <v>Palm3</v>
      </c>
      <c r="E5247" t="str">
        <f>HYPERLINK("J:\Depot - mpkCCD Fractions\Main Web Page\Web Pages_old\proteomic_fractions_linear_files/Yang_linear_img/124430707.jpg","show blot")</f>
        <v>show blot</v>
      </c>
      <c r="G5247" t="s">
        <v>5041</v>
      </c>
      <c r="I5247" s="6">
        <v>3.9750249030417408</v>
      </c>
      <c r="K5247" s="8"/>
    </row>
    <row r="5248" spans="1:11" ht="15" x14ac:dyDescent="0.25">
      <c r="A5248" s="3" t="str">
        <f>HYPERLINK("proteomic_fractions_linear_files/Yang_linear_img/153792657.jpg", "153792657")</f>
        <v>153792657</v>
      </c>
      <c r="C5248" s="3" t="str">
        <f>HYPERLINK("http://www.ncbi.nlm.nih.gov/protein/153792657","Pam")</f>
        <v>Pam</v>
      </c>
      <c r="E5248" t="str">
        <f>HYPERLINK("J:\Depot - mpkCCD Fractions\Main Web Page\Web Pages_old\proteomic_fractions_linear_files/Yang_linear_img/153792657.jpg","show blot")</f>
        <v>show blot</v>
      </c>
      <c r="G5248" t="s">
        <v>5042</v>
      </c>
      <c r="I5248" s="6">
        <v>2.513958470682685</v>
      </c>
      <c r="K5248" s="8"/>
    </row>
    <row r="5249" spans="1:11" ht="15" x14ac:dyDescent="0.25">
      <c r="A5249" s="3" t="str">
        <f>HYPERLINK("proteomic_fractions_linear_files/Yang_linear_img/13385012.jpg", "13385012")</f>
        <v>13385012</v>
      </c>
      <c r="C5249" s="3" t="str">
        <f>HYPERLINK("http://www.ncbi.nlm.nih.gov/protein/13385012","Pam16")</f>
        <v>Pam16</v>
      </c>
      <c r="E5249" t="str">
        <f>HYPERLINK("J:\Depot - mpkCCD Fractions\Main Web Page\Web Pages_old\proteomic_fractions_linear_files/Yang_linear_img/13385012.jpg","show blot")</f>
        <v>show blot</v>
      </c>
      <c r="G5249" t="s">
        <v>5043</v>
      </c>
      <c r="I5249" s="6">
        <v>4.9632631591463925</v>
      </c>
      <c r="K5249" s="8"/>
    </row>
    <row r="5250" spans="1:11" ht="15" x14ac:dyDescent="0.25">
      <c r="A5250" s="3" t="str">
        <f>HYPERLINK("proteomic_fractions_linear_files/Yang_linear_img/29789349.jpg", "29789349")</f>
        <v>29789349</v>
      </c>
      <c r="C5250" s="3" t="str">
        <f>HYPERLINK("http://www.ncbi.nlm.nih.gov/protein/29789349","Pan2")</f>
        <v>Pan2</v>
      </c>
      <c r="E5250" t="str">
        <f>HYPERLINK("J:\Depot - mpkCCD Fractions\Main Web Page\Web Pages_old\proteomic_fractions_linear_files/Yang_linear_img/29789349.jpg","show blot")</f>
        <v>show blot</v>
      </c>
      <c r="G5250" t="s">
        <v>5044</v>
      </c>
      <c r="I5250" s="6">
        <v>3.2006018039985555</v>
      </c>
      <c r="K5250" s="8"/>
    </row>
    <row r="5251" spans="1:11" ht="15" x14ac:dyDescent="0.25">
      <c r="A5251" s="3" t="str">
        <f>HYPERLINK("proteomic_fractions_linear_files/Yang_linear_img/356640187.jpg", "356640187")</f>
        <v>356640187</v>
      </c>
      <c r="C5251" s="3" t="str">
        <f>HYPERLINK("http://www.ncbi.nlm.nih.gov/protein/356640187","Pan2")</f>
        <v>Pan2</v>
      </c>
      <c r="E5251" t="str">
        <f>HYPERLINK("J:\Depot - mpkCCD Fractions\Main Web Page\Web Pages_old\proteomic_fractions_linear_files/Yang_linear_img/356640187.jpg","show blot")</f>
        <v>show blot</v>
      </c>
      <c r="G5251" t="s">
        <v>5045</v>
      </c>
      <c r="I5251" s="6">
        <v>3.2006018039985555</v>
      </c>
      <c r="K5251" s="8"/>
    </row>
    <row r="5252" spans="1:11" ht="15" x14ac:dyDescent="0.25">
      <c r="A5252" s="3" t="str">
        <f>HYPERLINK("proteomic_fractions_linear_files/Yang_linear_img/356640190.jpg", "356640190")</f>
        <v>356640190</v>
      </c>
      <c r="C5252" s="3" t="str">
        <f>HYPERLINK("http://www.ncbi.nlm.nih.gov/protein/356640190","Pan2")</f>
        <v>Pan2</v>
      </c>
      <c r="E5252" t="str">
        <f>HYPERLINK("J:\Depot - mpkCCD Fractions\Main Web Page\Web Pages_old\proteomic_fractions_linear_files/Yang_linear_img/356640190.jpg","show blot")</f>
        <v>show blot</v>
      </c>
      <c r="G5252" t="s">
        <v>5046</v>
      </c>
      <c r="I5252" s="6">
        <v>3.2006018039985555</v>
      </c>
      <c r="K5252" s="8"/>
    </row>
    <row r="5253" spans="1:11" ht="15" x14ac:dyDescent="0.25">
      <c r="A5253" s="3" t="str">
        <f>HYPERLINK("proteomic_fractions_linear_files/Yang_linear_img/270265830.jpg", "270265830")</f>
        <v>270265830</v>
      </c>
      <c r="C5253" s="3" t="str">
        <f>HYPERLINK("http://www.ncbi.nlm.nih.gov/protein/270265830","Pan3")</f>
        <v>Pan3</v>
      </c>
      <c r="E5253" t="str">
        <f>HYPERLINK("J:\Depot - mpkCCD Fractions\Main Web Page\Web Pages_old\proteomic_fractions_linear_files/Yang_linear_img/270265830.jpg","show blot")</f>
        <v>show blot</v>
      </c>
      <c r="G5253" t="s">
        <v>5047</v>
      </c>
      <c r="I5253" s="6">
        <v>2.8687162598396294</v>
      </c>
      <c r="K5253" s="8"/>
    </row>
    <row r="5254" spans="1:11" ht="15" x14ac:dyDescent="0.25">
      <c r="A5254" s="3" t="str">
        <f>HYPERLINK("proteomic_fractions_linear_files/Yang_linear_img/12963829.jpg", "12963829")</f>
        <v>12963829</v>
      </c>
      <c r="C5254" s="3" t="str">
        <f>HYPERLINK("http://www.ncbi.nlm.nih.gov/protein/12963829","Pank1")</f>
        <v>Pank1</v>
      </c>
      <c r="E5254" t="str">
        <f>HYPERLINK("J:\Depot - mpkCCD Fractions\Main Web Page\Web Pages_old\proteomic_fractions_linear_files/Yang_linear_img/12963829.jpg","show blot")</f>
        <v>show blot</v>
      </c>
      <c r="G5254" t="s">
        <v>5048</v>
      </c>
      <c r="I5254" s="6">
        <v>3.6592665068169477</v>
      </c>
      <c r="K5254" s="8"/>
    </row>
    <row r="5255" spans="1:11" ht="15" x14ac:dyDescent="0.25">
      <c r="A5255" s="3" t="str">
        <f>HYPERLINK("proteomic_fractions_linear_files/Yang_linear_img/167234376.jpg", "167234376")</f>
        <v>167234376</v>
      </c>
      <c r="C5255" s="3" t="str">
        <f>HYPERLINK("http://www.ncbi.nlm.nih.gov/protein/167234376","Pank1")</f>
        <v>Pank1</v>
      </c>
      <c r="E5255" t="str">
        <f>HYPERLINK("J:\Depot - mpkCCD Fractions\Main Web Page\Web Pages_old\proteomic_fractions_linear_files/Yang_linear_img/167234376.jpg","show blot")</f>
        <v>show blot</v>
      </c>
      <c r="G5255" t="s">
        <v>5049</v>
      </c>
      <c r="I5255" s="6">
        <v>3.6592665068169477</v>
      </c>
      <c r="K5255" s="8"/>
    </row>
    <row r="5256" spans="1:11" ht="15" x14ac:dyDescent="0.25">
      <c r="A5256" s="3" t="str">
        <f>HYPERLINK("proteomic_fractions_linear_files/Yang_linear_img/51571537.jpg", "51571537")</f>
        <v>51571537</v>
      </c>
      <c r="C5256" s="3" t="str">
        <f>HYPERLINK("http://www.ncbi.nlm.nih.gov/protein/51571537","Pank2")</f>
        <v>Pank2</v>
      </c>
      <c r="E5256" t="str">
        <f>HYPERLINK("J:\Depot - mpkCCD Fractions\Main Web Page\Web Pages_old\proteomic_fractions_linear_files/Yang_linear_img/51571537.jpg","show blot")</f>
        <v>show blot</v>
      </c>
      <c r="G5256" t="s">
        <v>5050</v>
      </c>
      <c r="I5256" s="6">
        <v>3.778978976976509</v>
      </c>
      <c r="K5256" s="8"/>
    </row>
    <row r="5257" spans="1:11" ht="15" x14ac:dyDescent="0.25">
      <c r="A5257" s="3" t="str">
        <f>HYPERLINK("proteomic_fractions_linear_files/Yang_linear_img/22122397.jpg", "22122397")</f>
        <v>22122397</v>
      </c>
      <c r="C5257" s="3" t="str">
        <f>HYPERLINK("http://www.ncbi.nlm.nih.gov/protein/22122397","Pank3")</f>
        <v>Pank3</v>
      </c>
      <c r="E5257" t="str">
        <f>HYPERLINK("J:\Depot - mpkCCD Fractions\Main Web Page\Web Pages_old\proteomic_fractions_linear_files/Yang_linear_img/22122397.jpg","show blot")</f>
        <v>show blot</v>
      </c>
      <c r="G5257" t="s">
        <v>5051</v>
      </c>
      <c r="I5257" s="6">
        <v>3.6697319404951125</v>
      </c>
      <c r="K5257" s="8"/>
    </row>
    <row r="5258" spans="1:11" ht="15" x14ac:dyDescent="0.25">
      <c r="A5258" s="3" t="str">
        <f>HYPERLINK("proteomic_fractions_linear_files/Yang_linear_img/240255614.jpg", "240255614")</f>
        <v>240255614</v>
      </c>
      <c r="C5258" s="3" t="str">
        <f>HYPERLINK("http://www.ncbi.nlm.nih.gov/protein/240255614","Pank4")</f>
        <v>Pank4</v>
      </c>
      <c r="E5258" t="str">
        <f>HYPERLINK("J:\Depot - mpkCCD Fractions\Main Web Page\Web Pages_old\proteomic_fractions_linear_files/Yang_linear_img/240255614.jpg","show blot")</f>
        <v>show blot</v>
      </c>
      <c r="G5258" t="s">
        <v>5052</v>
      </c>
      <c r="I5258" s="6">
        <v>3.1256411118168188</v>
      </c>
      <c r="K5258" s="8"/>
    </row>
    <row r="5259" spans="1:11" ht="15" x14ac:dyDescent="0.25">
      <c r="A5259" s="3" t="str">
        <f>HYPERLINK("proteomic_fractions_linear_files/Yang_linear_img/28173566.jpg", "28173566")</f>
        <v>28173566</v>
      </c>
      <c r="C5259" s="3" t="str">
        <f>HYPERLINK("http://www.ncbi.nlm.nih.gov/protein/28173566","Paox")</f>
        <v>Paox</v>
      </c>
      <c r="E5259" t="str">
        <f>HYPERLINK("J:\Depot - mpkCCD Fractions\Main Web Page\Web Pages_old\proteomic_fractions_linear_files/Yang_linear_img/28173566.jpg","show blot")</f>
        <v>show blot</v>
      </c>
      <c r="G5259" t="s">
        <v>5053</v>
      </c>
      <c r="I5259" s="6">
        <v>4.5500675769890364</v>
      </c>
      <c r="K5259" s="8"/>
    </row>
    <row r="5260" spans="1:11" ht="15" x14ac:dyDescent="0.25">
      <c r="A5260" s="3" t="str">
        <f>HYPERLINK("proteomic_fractions_linear_files/Yang_linear_img/21914853.jpg", "21914853")</f>
        <v>21914853</v>
      </c>
      <c r="C5260" s="3" t="str">
        <f>HYPERLINK("http://www.ncbi.nlm.nih.gov/protein/21914853","Papola")</f>
        <v>Papola</v>
      </c>
      <c r="E5260" t="str">
        <f>HYPERLINK("J:\Depot - mpkCCD Fractions\Main Web Page\Web Pages_old\proteomic_fractions_linear_files/Yang_linear_img/21914853.jpg","show blot")</f>
        <v>show blot</v>
      </c>
      <c r="G5260" t="s">
        <v>5054</v>
      </c>
      <c r="I5260" s="6">
        <v>4.2285232416660943</v>
      </c>
      <c r="K5260" s="8"/>
    </row>
    <row r="5261" spans="1:11" ht="15" x14ac:dyDescent="0.25">
      <c r="A5261" s="3" t="str">
        <f>HYPERLINK("proteomic_fractions_linear_files/Yang_linear_img/9910588.jpg", "9910588")</f>
        <v>9910588</v>
      </c>
      <c r="C5261" s="3" t="str">
        <f>HYPERLINK("http://www.ncbi.nlm.nih.gov/protein/9910588","Papolb")</f>
        <v>Papolb</v>
      </c>
      <c r="E5261" t="str">
        <f>HYPERLINK("J:\Depot - mpkCCD Fractions\Main Web Page\Web Pages_old\proteomic_fractions_linear_files/Yang_linear_img/9910588.jpg","show blot")</f>
        <v>show blot</v>
      </c>
      <c r="G5261" t="s">
        <v>5055</v>
      </c>
      <c r="I5261" s="6">
        <v>4.1330470182795809</v>
      </c>
      <c r="K5261" s="8"/>
    </row>
    <row r="5262" spans="1:11" ht="15" x14ac:dyDescent="0.25">
      <c r="A5262" s="3" t="str">
        <f>HYPERLINK("proteomic_fractions_linear_files/Yang_linear_img/226494207.jpg", "226494207")</f>
        <v>226494207</v>
      </c>
      <c r="C5262" s="3" t="str">
        <f>HYPERLINK("http://www.ncbi.nlm.nih.gov/protein/226494207","Papolg")</f>
        <v>Papolg</v>
      </c>
      <c r="E5262" t="str">
        <f>HYPERLINK("J:\Depot - mpkCCD Fractions\Main Web Page\Web Pages_old\proteomic_fractions_linear_files/Yang_linear_img/226494207.jpg","show blot")</f>
        <v>show blot</v>
      </c>
      <c r="G5262" t="s">
        <v>5056</v>
      </c>
      <c r="I5262" s="6">
        <v>3.9489632592570008</v>
      </c>
      <c r="K5262" s="8"/>
    </row>
    <row r="5263" spans="1:11" ht="15" x14ac:dyDescent="0.25">
      <c r="A5263" s="3" t="str">
        <f>HYPERLINK("proteomic_fractions_linear_files/Yang_linear_img/6754982.jpg", "6754982")</f>
        <v>6754982</v>
      </c>
      <c r="C5263" s="3" t="str">
        <f>HYPERLINK("http://www.ncbi.nlm.nih.gov/protein/6754982","Papss1")</f>
        <v>Papss1</v>
      </c>
      <c r="E5263" t="str">
        <f>HYPERLINK("J:\Depot - mpkCCD Fractions\Main Web Page\Web Pages_old\proteomic_fractions_linear_files/Yang_linear_img/6754982.jpg","show blot")</f>
        <v>show blot</v>
      </c>
      <c r="G5263" t="s">
        <v>5057</v>
      </c>
      <c r="I5263" s="6">
        <v>5.3139359108319963</v>
      </c>
      <c r="K5263" s="8"/>
    </row>
    <row r="5264" spans="1:11" ht="15" x14ac:dyDescent="0.25">
      <c r="A5264" s="3" t="str">
        <f>HYPERLINK("proteomic_fractions_linear_files/Yang_linear_img/319918850.jpg", "319918850")</f>
        <v>319918850</v>
      </c>
      <c r="C5264" s="3" t="str">
        <f>HYPERLINK("http://www.ncbi.nlm.nih.gov/protein/319918850","Papss2")</f>
        <v>Papss2</v>
      </c>
      <c r="E5264" t="str">
        <f>HYPERLINK("J:\Depot - mpkCCD Fractions\Main Web Page\Web Pages_old\proteomic_fractions_linear_files/Yang_linear_img/319918850.jpg","show blot")</f>
        <v>show blot</v>
      </c>
      <c r="G5264" t="s">
        <v>5058</v>
      </c>
      <c r="I5264" s="6">
        <v>4.3140396795819989</v>
      </c>
      <c r="K5264" s="8"/>
    </row>
    <row r="5265" spans="1:11" ht="15" x14ac:dyDescent="0.25">
      <c r="A5265" s="3" t="str">
        <f>HYPERLINK("proteomic_fractions_linear_files/Yang_linear_img/61098088.jpg", "61098088")</f>
        <v>61098088</v>
      </c>
      <c r="C5265" s="3" t="str">
        <f>HYPERLINK("http://www.ncbi.nlm.nih.gov/protein/61098088","Papss2")</f>
        <v>Papss2</v>
      </c>
      <c r="E5265" t="str">
        <f>HYPERLINK("J:\Depot - mpkCCD Fractions\Main Web Page\Web Pages_old\proteomic_fractions_linear_files/Yang_linear_img/61098088.jpg","show blot")</f>
        <v>show blot</v>
      </c>
      <c r="G5265" t="s">
        <v>5059</v>
      </c>
      <c r="I5265" s="6">
        <v>4.3140396795819989</v>
      </c>
      <c r="K5265" s="8"/>
    </row>
    <row r="5266" spans="1:11" ht="15" x14ac:dyDescent="0.25">
      <c r="A5266" s="3" t="str">
        <f>HYPERLINK("proteomic_fractions_linear_files/Yang_linear_img/12963841.jpg", "12963841")</f>
        <v>12963841</v>
      </c>
      <c r="C5266" s="3" t="str">
        <f>HYPERLINK("http://www.ncbi.nlm.nih.gov/protein/12963841","Paqr4")</f>
        <v>Paqr4</v>
      </c>
      <c r="E5266" t="str">
        <f>HYPERLINK("J:\Depot - mpkCCD Fractions\Main Web Page\Web Pages_old\proteomic_fractions_linear_files/Yang_linear_img/12963841.jpg","show blot")</f>
        <v>show blot</v>
      </c>
      <c r="G5266" t="s">
        <v>5060</v>
      </c>
      <c r="I5266" s="6">
        <v>2.738660310162095</v>
      </c>
      <c r="K5266" s="8"/>
    </row>
    <row r="5267" spans="1:11" ht="15" x14ac:dyDescent="0.25">
      <c r="A5267" s="3" t="str">
        <f>HYPERLINK("proteomic_fractions_linear_files/Yang_linear_img/171184413.jpg", "171184413")</f>
        <v>171184413</v>
      </c>
      <c r="C5267" s="3" t="str">
        <f>HYPERLINK("http://www.ncbi.nlm.nih.gov/protein/171184413","Pard3")</f>
        <v>Pard3</v>
      </c>
      <c r="E5267" t="str">
        <f>HYPERLINK("J:\Depot - mpkCCD Fractions\Main Web Page\Web Pages_old\proteomic_fractions_linear_files/Yang_linear_img/171184413.jpg","show blot")</f>
        <v>show blot</v>
      </c>
      <c r="G5267" t="s">
        <v>5061</v>
      </c>
      <c r="I5267" s="6">
        <v>2.8292842754469323</v>
      </c>
      <c r="K5267" s="8"/>
    </row>
    <row r="5268" spans="1:11" ht="15" x14ac:dyDescent="0.25">
      <c r="A5268" s="3" t="str">
        <f>HYPERLINK("proteomic_fractions_linear_files/Yang_linear_img/171184415.jpg", "171184415")</f>
        <v>171184415</v>
      </c>
      <c r="C5268" s="3" t="str">
        <f>HYPERLINK("http://www.ncbi.nlm.nih.gov/protein/171184415","Pard3")</f>
        <v>Pard3</v>
      </c>
      <c r="E5268" t="str">
        <f>HYPERLINK("J:\Depot - mpkCCD Fractions\Main Web Page\Web Pages_old\proteomic_fractions_linear_files/Yang_linear_img/171184415.jpg","show blot")</f>
        <v>show blot</v>
      </c>
      <c r="G5268" t="s">
        <v>5062</v>
      </c>
      <c r="I5268" s="6">
        <v>2.8292842754469323</v>
      </c>
      <c r="K5268" s="8"/>
    </row>
    <row r="5269" spans="1:11" ht="15" x14ac:dyDescent="0.25">
      <c r="A5269" s="3" t="str">
        <f>HYPERLINK("proteomic_fractions_linear_files/Yang_linear_img/61888842.jpg", "61888842")</f>
        <v>61888842</v>
      </c>
      <c r="C5269" s="3" t="str">
        <f>HYPERLINK("http://www.ncbi.nlm.nih.gov/protein/61888842","Pard3")</f>
        <v>Pard3</v>
      </c>
      <c r="E5269" t="str">
        <f>HYPERLINK("J:\Depot - mpkCCD Fractions\Main Web Page\Web Pages_old\proteomic_fractions_linear_files/Yang_linear_img/61888842.jpg","show blot")</f>
        <v>show blot</v>
      </c>
      <c r="G5269" t="s">
        <v>5063</v>
      </c>
      <c r="I5269" s="6">
        <v>2.8292842754469323</v>
      </c>
      <c r="K5269" s="8"/>
    </row>
    <row r="5270" spans="1:11" ht="15" x14ac:dyDescent="0.25">
      <c r="A5270" s="3" t="str">
        <f>HYPERLINK("proteomic_fractions_linear_files/Yang_linear_img/61888844.jpg", "61888844")</f>
        <v>61888844</v>
      </c>
      <c r="C5270" s="3" t="str">
        <f>HYPERLINK("http://www.ncbi.nlm.nih.gov/protein/61888844","Pard3")</f>
        <v>Pard3</v>
      </c>
      <c r="E5270" t="str">
        <f>HYPERLINK("J:\Depot - mpkCCD Fractions\Main Web Page\Web Pages_old\proteomic_fractions_linear_files/Yang_linear_img/61888844.jpg","show blot")</f>
        <v>show blot</v>
      </c>
      <c r="G5270" t="s">
        <v>5064</v>
      </c>
      <c r="I5270" s="6">
        <v>2.8292842754469323</v>
      </c>
      <c r="K5270" s="8"/>
    </row>
    <row r="5271" spans="1:11" ht="15" x14ac:dyDescent="0.25">
      <c r="A5271" s="3" t="str">
        <f>HYPERLINK("proteomic_fractions_linear_files/Yang_linear_img/163310767.jpg", "163310767")</f>
        <v>163310767</v>
      </c>
      <c r="C5271" s="3" t="str">
        <f>HYPERLINK("http://www.ncbi.nlm.nih.gov/protein/163310767","Pard3b")</f>
        <v>Pard3b</v>
      </c>
      <c r="E5271" t="str">
        <f>HYPERLINK("J:\Depot - mpkCCD Fractions\Main Web Page\Web Pages_old\proteomic_fractions_linear_files/Yang_linear_img/163310767.jpg","show blot")</f>
        <v>show blot</v>
      </c>
      <c r="G5271" t="s">
        <v>5065</v>
      </c>
      <c r="I5271" s="6">
        <v>2.8726169229191147</v>
      </c>
      <c r="K5271" s="8"/>
    </row>
    <row r="5272" spans="1:11" ht="15" x14ac:dyDescent="0.25">
      <c r="A5272" s="3" t="str">
        <f>HYPERLINK("proteomic_fractions_linear_files/Yang_linear_img/114145495.jpg", "114145495")</f>
        <v>114145495</v>
      </c>
      <c r="C5272" s="3" t="str">
        <f>HYPERLINK("http://www.ncbi.nlm.nih.gov/protein/114145495","Pard6a")</f>
        <v>Pard6a</v>
      </c>
      <c r="E5272" t="str">
        <f>HYPERLINK("J:\Depot - mpkCCD Fractions\Main Web Page\Web Pages_old\proteomic_fractions_linear_files/Yang_linear_img/114145495.jpg","show blot")</f>
        <v>show blot</v>
      </c>
      <c r="G5272" t="s">
        <v>5066</v>
      </c>
      <c r="I5272" s="6">
        <v>5.153327438631873</v>
      </c>
      <c r="K5272" s="8"/>
    </row>
    <row r="5273" spans="1:11" ht="15" x14ac:dyDescent="0.25">
      <c r="A5273" s="3" t="str">
        <f>HYPERLINK("proteomic_fractions_linear_files/Yang_linear_img/114145499.jpg", "114145499")</f>
        <v>114145499</v>
      </c>
      <c r="C5273" s="3" t="str">
        <f>HYPERLINK("http://www.ncbi.nlm.nih.gov/protein/114145499","Pard6a")</f>
        <v>Pard6a</v>
      </c>
      <c r="E5273" t="str">
        <f>HYPERLINK("J:\Depot - mpkCCD Fractions\Main Web Page\Web Pages_old\proteomic_fractions_linear_files/Yang_linear_img/114145499.jpg","show blot")</f>
        <v>show blot</v>
      </c>
      <c r="G5273" t="s">
        <v>5067</v>
      </c>
      <c r="I5273" s="6">
        <v>5.153327438631873</v>
      </c>
      <c r="K5273" s="8"/>
    </row>
    <row r="5274" spans="1:11" ht="15" x14ac:dyDescent="0.25">
      <c r="A5274" s="3" t="str">
        <f>HYPERLINK("proteomic_fractions_linear_files/Yang_linear_img/114145501.jpg", "114145501")</f>
        <v>114145501</v>
      </c>
      <c r="C5274" s="3" t="str">
        <f>HYPERLINK("http://www.ncbi.nlm.nih.gov/protein/114145501","Pard6a")</f>
        <v>Pard6a</v>
      </c>
      <c r="E5274" t="str">
        <f>HYPERLINK("J:\Depot - mpkCCD Fractions\Main Web Page\Web Pages_old\proteomic_fractions_linear_files/Yang_linear_img/114145501.jpg","show blot")</f>
        <v>show blot</v>
      </c>
      <c r="G5274" t="s">
        <v>5068</v>
      </c>
      <c r="I5274" s="6">
        <v>5.153327438631873</v>
      </c>
      <c r="K5274" s="8"/>
    </row>
    <row r="5275" spans="1:11" ht="15" x14ac:dyDescent="0.25">
      <c r="A5275" s="3" t="str">
        <f>HYPERLINK("proteomic_fractions_linear_files/Yang_linear_img/253314520.jpg", "253314520")</f>
        <v>253314520</v>
      </c>
      <c r="C5275" s="3" t="str">
        <f>HYPERLINK("http://www.ncbi.nlm.nih.gov/protein/253314520","Pard6b")</f>
        <v>Pard6b</v>
      </c>
      <c r="E5275" t="str">
        <f>HYPERLINK("J:\Depot - mpkCCD Fractions\Main Web Page\Web Pages_old\proteomic_fractions_linear_files/Yang_linear_img/253314520.jpg","show blot")</f>
        <v>show blot</v>
      </c>
      <c r="G5275" t="s">
        <v>5069</v>
      </c>
      <c r="I5275" s="6">
        <v>5.6233486030269288</v>
      </c>
      <c r="K5275" s="8"/>
    </row>
    <row r="5276" spans="1:11" ht="15" x14ac:dyDescent="0.25">
      <c r="A5276" s="3" t="str">
        <f>HYPERLINK("proteomic_fractions_linear_files/Yang_linear_img/238550190.jpg", "238550190")</f>
        <v>238550190</v>
      </c>
      <c r="C5276" s="3" t="str">
        <f>HYPERLINK("http://www.ncbi.nlm.nih.gov/protein/238550190","Pard6g")</f>
        <v>Pard6g</v>
      </c>
      <c r="E5276" t="str">
        <f>HYPERLINK("J:\Depot - mpkCCD Fractions\Main Web Page\Web Pages_old\proteomic_fractions_linear_files/Yang_linear_img/238550190.jpg","show blot")</f>
        <v>show blot</v>
      </c>
      <c r="G5276" t="s">
        <v>5070</v>
      </c>
      <c r="I5276" s="6">
        <v>5.1671221013810404</v>
      </c>
      <c r="K5276" s="8"/>
    </row>
    <row r="5277" spans="1:11" ht="15" x14ac:dyDescent="0.25">
      <c r="A5277" s="3" t="str">
        <f>HYPERLINK("proteomic_fractions_linear_files/Yang_linear_img/120444912.jpg", "120444912")</f>
        <v>120444912</v>
      </c>
      <c r="C5277" s="3" t="str">
        <f>HYPERLINK("http://www.ncbi.nlm.nih.gov/protein/120444912","Parg")</f>
        <v>Parg</v>
      </c>
      <c r="E5277" t="str">
        <f>HYPERLINK("J:\Depot - mpkCCD Fractions\Main Web Page\Web Pages_old\proteomic_fractions_linear_files/Yang_linear_img/120444912.jpg","show blot")</f>
        <v>show blot</v>
      </c>
      <c r="G5277" t="s">
        <v>5071</v>
      </c>
      <c r="I5277" s="6">
        <v>3.2802428795004679</v>
      </c>
      <c r="K5277" s="8"/>
    </row>
    <row r="5278" spans="1:11" ht="15" x14ac:dyDescent="0.25">
      <c r="A5278" s="3" t="str">
        <f>HYPERLINK("proteomic_fractions_linear_files/Yang_linear_img/55741460.jpg", "55741460")</f>
        <v>55741460</v>
      </c>
      <c r="C5278" s="3" t="str">
        <f>HYPERLINK("http://www.ncbi.nlm.nih.gov/protein/55741460","Park7")</f>
        <v>Park7</v>
      </c>
      <c r="E5278" t="str">
        <f>HYPERLINK("J:\Depot - mpkCCD Fractions\Main Web Page\Web Pages_old\proteomic_fractions_linear_files/Yang_linear_img/55741460.jpg","show blot")</f>
        <v>show blot</v>
      </c>
      <c r="G5278" t="s">
        <v>5072</v>
      </c>
      <c r="I5278" s="6">
        <v>6.5548393553359006</v>
      </c>
      <c r="K5278" s="8"/>
    </row>
    <row r="5279" spans="1:11" ht="15" x14ac:dyDescent="0.25">
      <c r="A5279" s="3" t="str">
        <f>HYPERLINK("proteomic_fractions_linear_files/Yang_linear_img/21311877.jpg", "21311877")</f>
        <v>21311877</v>
      </c>
      <c r="C5279" s="3" t="str">
        <f>HYPERLINK("http://www.ncbi.nlm.nih.gov/protein/21311877","Parn")</f>
        <v>Parn</v>
      </c>
      <c r="E5279" t="str">
        <f>HYPERLINK("J:\Depot - mpkCCD Fractions\Main Web Page\Web Pages_old\proteomic_fractions_linear_files/Yang_linear_img/21311877.jpg","show blot")</f>
        <v>show blot</v>
      </c>
      <c r="G5279" t="s">
        <v>5073</v>
      </c>
      <c r="I5279" s="6">
        <v>4.9738716228807256</v>
      </c>
      <c r="K5279" s="8"/>
    </row>
    <row r="5280" spans="1:11" ht="15" x14ac:dyDescent="0.25">
      <c r="A5280" s="3" t="str">
        <f>HYPERLINK("proteomic_fractions_linear_files/Yang_linear_img/20806109.jpg", "20806109")</f>
        <v>20806109</v>
      </c>
      <c r="C5280" s="3" t="str">
        <f>HYPERLINK("http://www.ncbi.nlm.nih.gov/protein/20806109","Parp1")</f>
        <v>Parp1</v>
      </c>
      <c r="E5280" t="str">
        <f>HYPERLINK("J:\Depot - mpkCCD Fractions\Main Web Page\Web Pages_old\proteomic_fractions_linear_files/Yang_linear_img/20806109.jpg","show blot")</f>
        <v>show blot</v>
      </c>
      <c r="G5280" t="s">
        <v>5074</v>
      </c>
      <c r="I5280" s="6">
        <v>5.2028852486926542</v>
      </c>
      <c r="K5280" s="8"/>
    </row>
    <row r="5281" spans="1:11" ht="15" x14ac:dyDescent="0.25">
      <c r="A5281" s="3" t="str">
        <f>HYPERLINK("proteomic_fractions_linear_files/Yang_linear_img/254675288.jpg", "254675288")</f>
        <v>254675288</v>
      </c>
      <c r="C5281" s="3" t="str">
        <f>HYPERLINK("http://www.ncbi.nlm.nih.gov/protein/254675288","Parp10")</f>
        <v>Parp10</v>
      </c>
      <c r="E5281" t="str">
        <f>HYPERLINK("J:\Depot - mpkCCD Fractions\Main Web Page\Web Pages_old\proteomic_fractions_linear_files/Yang_linear_img/254675288.jpg","show blot")</f>
        <v>show blot</v>
      </c>
      <c r="G5281" t="s">
        <v>5075</v>
      </c>
      <c r="I5281" s="6">
        <v>2.9980610632331666</v>
      </c>
      <c r="K5281" s="8"/>
    </row>
    <row r="5282" spans="1:11" ht="15" x14ac:dyDescent="0.25">
      <c r="A5282" s="3" t="str">
        <f>HYPERLINK("proteomic_fractions_linear_files/Yang_linear_img/171543897.jpg", "171543897")</f>
        <v>171543897</v>
      </c>
      <c r="C5282" s="3" t="str">
        <f>HYPERLINK("http://www.ncbi.nlm.nih.gov/protein/171543897","Parp12")</f>
        <v>Parp12</v>
      </c>
      <c r="E5282" t="str">
        <f>HYPERLINK("J:\Depot - mpkCCD Fractions\Main Web Page\Web Pages_old\proteomic_fractions_linear_files/Yang_linear_img/171543897.jpg","show blot")</f>
        <v>show blot</v>
      </c>
      <c r="G5282" t="s">
        <v>5076</v>
      </c>
      <c r="I5282" s="6">
        <v>3.7378742525090165</v>
      </c>
      <c r="K5282" s="8"/>
    </row>
    <row r="5283" spans="1:11" ht="15" x14ac:dyDescent="0.25">
      <c r="A5283" s="3" t="str">
        <f>HYPERLINK("proteomic_fractions_linear_files/Yang_linear_img/25014095.jpg", "25014095")</f>
        <v>25014095</v>
      </c>
      <c r="C5283" s="3" t="str">
        <f>HYPERLINK("http://www.ncbi.nlm.nih.gov/protein/25014095","Parp3")</f>
        <v>Parp3</v>
      </c>
      <c r="E5283" t="str">
        <f>HYPERLINK("J:\Depot - mpkCCD Fractions\Main Web Page\Web Pages_old\proteomic_fractions_linear_files/Yang_linear_img/25014095.jpg","show blot")</f>
        <v>show blot</v>
      </c>
      <c r="G5283" t="s">
        <v>5077</v>
      </c>
      <c r="I5283" s="6">
        <v>4.4229718213541958</v>
      </c>
      <c r="K5283" s="8"/>
    </row>
    <row r="5284" spans="1:11" ht="15" x14ac:dyDescent="0.25">
      <c r="A5284" s="3" t="str">
        <f>HYPERLINK("proteomic_fractions_linear_files/Yang_linear_img/281485553.jpg", "281485553")</f>
        <v>281485553</v>
      </c>
      <c r="C5284" s="3" t="str">
        <f>HYPERLINK("http://www.ncbi.nlm.nih.gov/protein/281485553","Parp4")</f>
        <v>Parp4</v>
      </c>
      <c r="E5284" t="str">
        <f>HYPERLINK("J:\Depot - mpkCCD Fractions\Main Web Page\Web Pages_old\proteomic_fractions_linear_files/Yang_linear_img/281485553.jpg","show blot")</f>
        <v>show blot</v>
      </c>
      <c r="G5284" t="s">
        <v>5078</v>
      </c>
      <c r="I5284" s="6">
        <v>1.047202731434856</v>
      </c>
      <c r="K5284" s="8"/>
    </row>
    <row r="5285" spans="1:11" ht="15" x14ac:dyDescent="0.25">
      <c r="A5285" s="3" t="str">
        <f>HYPERLINK("proteomic_fractions_linear_files/Yang_linear_img/13384918.jpg", "13384918")</f>
        <v>13384918</v>
      </c>
      <c r="C5285" s="3" t="str">
        <f>HYPERLINK("http://www.ncbi.nlm.nih.gov/protein/13384918","Parp9")</f>
        <v>Parp9</v>
      </c>
      <c r="E5285" t="str">
        <f>HYPERLINK("J:\Depot - mpkCCD Fractions\Main Web Page\Web Pages_old\proteomic_fractions_linear_files/Yang_linear_img/13384918.jpg","show blot")</f>
        <v>show blot</v>
      </c>
      <c r="G5285" t="s">
        <v>5079</v>
      </c>
      <c r="I5285" s="6">
        <v>4.1019843781744711</v>
      </c>
      <c r="K5285" s="8"/>
    </row>
    <row r="5286" spans="1:11" ht="15" x14ac:dyDescent="0.25">
      <c r="A5286" s="3" t="str">
        <f>HYPERLINK("proteomic_fractions_linear_files/Yang_linear_img/139948347.jpg", "139948347")</f>
        <v>139948347</v>
      </c>
      <c r="C5286" s="3" t="str">
        <f>HYPERLINK("http://www.ncbi.nlm.nih.gov/protein/139948347","Pars2")</f>
        <v>Pars2</v>
      </c>
      <c r="E5286" t="str">
        <f>HYPERLINK("J:\Depot - mpkCCD Fractions\Main Web Page\Web Pages_old\proteomic_fractions_linear_files/Yang_linear_img/139948347.jpg","show blot")</f>
        <v>show blot</v>
      </c>
      <c r="G5286" t="s">
        <v>5080</v>
      </c>
      <c r="I5286" s="6">
        <v>3.1012039144062133</v>
      </c>
      <c r="K5286" s="8"/>
    </row>
    <row r="5287" spans="1:11" ht="15" x14ac:dyDescent="0.25">
      <c r="A5287" s="3" t="str">
        <f>HYPERLINK("proteomic_fractions_linear_files/Yang_linear_img/139948914.jpg", "139948914")</f>
        <v>139948914</v>
      </c>
      <c r="C5287" s="3" t="str">
        <f>HYPERLINK("http://www.ncbi.nlm.nih.gov/protein/139948914","Pars2")</f>
        <v>Pars2</v>
      </c>
      <c r="E5287" t="str">
        <f>HYPERLINK("J:\Depot - mpkCCD Fractions\Main Web Page\Web Pages_old\proteomic_fractions_linear_files/Yang_linear_img/139948914.jpg","show blot")</f>
        <v>show blot</v>
      </c>
      <c r="G5287" t="s">
        <v>5081</v>
      </c>
      <c r="I5287" s="6">
        <v>3.1012039144062133</v>
      </c>
      <c r="K5287" s="8"/>
    </row>
    <row r="5288" spans="1:11" ht="15" x14ac:dyDescent="0.25">
      <c r="A5288" s="3" t="str">
        <f>HYPERLINK("proteomic_fractions_linear_files/Yang_linear_img/31982526.jpg", "31982526")</f>
        <v>31982526</v>
      </c>
      <c r="C5288" s="3" t="str">
        <f>HYPERLINK("http://www.ncbi.nlm.nih.gov/protein/31982526","Parva")</f>
        <v>Parva</v>
      </c>
      <c r="E5288" t="str">
        <f>HYPERLINK("J:\Depot - mpkCCD Fractions\Main Web Page\Web Pages_old\proteomic_fractions_linear_files/Yang_linear_img/31982526.jpg","show blot")</f>
        <v>show blot</v>
      </c>
      <c r="G5288" t="s">
        <v>5082</v>
      </c>
      <c r="I5288" s="6">
        <v>5.4512832862437026</v>
      </c>
      <c r="K5288" s="8"/>
    </row>
    <row r="5289" spans="1:11" ht="15" x14ac:dyDescent="0.25">
      <c r="A5289" s="3" t="str">
        <f>HYPERLINK("proteomic_fractions_linear_files/Yang_linear_img/18860551.jpg", "18860551")</f>
        <v>18860551</v>
      </c>
      <c r="C5289" s="3" t="str">
        <f>HYPERLINK("http://www.ncbi.nlm.nih.gov/protein/18860551","Parvb")</f>
        <v>Parvb</v>
      </c>
      <c r="E5289" t="str">
        <f>HYPERLINK("J:\Depot - mpkCCD Fractions\Main Web Page\Web Pages_old\proteomic_fractions_linear_files/Yang_linear_img/18860551.jpg","show blot")</f>
        <v>show blot</v>
      </c>
      <c r="G5289" t="s">
        <v>5083</v>
      </c>
      <c r="I5289" s="6">
        <v>4.313571669742382</v>
      </c>
      <c r="K5289" s="8"/>
    </row>
    <row r="5290" spans="1:11" ht="15" x14ac:dyDescent="0.25">
      <c r="A5290" s="3" t="str">
        <f>HYPERLINK("proteomic_fractions_linear_files/Yang_linear_img/194328775.jpg", "194328775")</f>
        <v>194328775</v>
      </c>
      <c r="C5290" s="3" t="str">
        <f>HYPERLINK("http://www.ncbi.nlm.nih.gov/protein/194328775","Pask")</f>
        <v>Pask</v>
      </c>
      <c r="E5290" t="str">
        <f>HYPERLINK("J:\Depot - mpkCCD Fractions\Main Web Page\Web Pages_old\proteomic_fractions_linear_files/Yang_linear_img/194328775.jpg","show blot")</f>
        <v>show blot</v>
      </c>
      <c r="G5290" t="s">
        <v>5084</v>
      </c>
      <c r="I5290" s="6">
        <v>4.0929272875470124</v>
      </c>
      <c r="K5290" s="8"/>
    </row>
    <row r="5291" spans="1:11" ht="15" x14ac:dyDescent="0.25">
      <c r="A5291" s="3" t="str">
        <f>HYPERLINK("proteomic_fractions_linear_files/Yang_linear_img/255522964.jpg", "255522964")</f>
        <v>255522964</v>
      </c>
      <c r="C5291" s="3" t="str">
        <f>HYPERLINK("http://www.ncbi.nlm.nih.gov/protein/255522964","Patl1")</f>
        <v>Patl1</v>
      </c>
      <c r="E5291" t="str">
        <f>HYPERLINK("J:\Depot - mpkCCD Fractions\Main Web Page\Web Pages_old\proteomic_fractions_linear_files/Yang_linear_img/255522964.jpg","show blot")</f>
        <v>show blot</v>
      </c>
      <c r="G5291" t="s">
        <v>5085</v>
      </c>
      <c r="I5291" s="6">
        <v>3.2883999656193095</v>
      </c>
      <c r="K5291" s="8"/>
    </row>
    <row r="5292" spans="1:11" ht="15" x14ac:dyDescent="0.25">
      <c r="A5292" s="3" t="str">
        <f>HYPERLINK("proteomic_fractions_linear_files/Yang_linear_img/87196490.jpg", "87196490")</f>
        <v>87196490</v>
      </c>
      <c r="C5292" s="3" t="str">
        <f>HYPERLINK("http://www.ncbi.nlm.nih.gov/protein/87196490","Pawr")</f>
        <v>Pawr</v>
      </c>
      <c r="E5292" t="str">
        <f>HYPERLINK("J:\Depot - mpkCCD Fractions\Main Web Page\Web Pages_old\proteomic_fractions_linear_files/Yang_linear_img/87196490.jpg","show blot")</f>
        <v>show blot</v>
      </c>
      <c r="G5292" t="s">
        <v>5086</v>
      </c>
      <c r="I5292" s="6">
        <v>5.2721671075163226</v>
      </c>
      <c r="K5292" s="8"/>
    </row>
    <row r="5293" spans="1:11" ht="15" x14ac:dyDescent="0.25">
      <c r="A5293" s="3" t="str">
        <f>HYPERLINK("proteomic_fractions_linear_files/Yang_linear_img/226437608.jpg", "226437608")</f>
        <v>226437608</v>
      </c>
      <c r="C5293" s="3" t="str">
        <f>HYPERLINK("http://www.ncbi.nlm.nih.gov/protein/226437608","Paxbp1")</f>
        <v>Paxbp1</v>
      </c>
      <c r="E5293" t="str">
        <f>HYPERLINK("J:\Depot - mpkCCD Fractions\Main Web Page\Web Pages_old\proteomic_fractions_linear_files/Yang_linear_img/226437608.jpg","show blot")</f>
        <v>show blot</v>
      </c>
      <c r="G5293" t="s">
        <v>5087</v>
      </c>
      <c r="I5293" s="6">
        <v>3.4351397650854874</v>
      </c>
      <c r="K5293" s="8"/>
    </row>
    <row r="5294" spans="1:11" ht="15" x14ac:dyDescent="0.25">
      <c r="A5294" s="3" t="str">
        <f>HYPERLINK("proteomic_fractions_linear_files/Yang_linear_img/13385810.jpg", "13385810")</f>
        <v>13385810</v>
      </c>
      <c r="C5294" s="3" t="str">
        <f>HYPERLINK("http://www.ncbi.nlm.nih.gov/protein/13385810","Pbdc1")</f>
        <v>Pbdc1</v>
      </c>
      <c r="E5294" t="str">
        <f>HYPERLINK("J:\Depot - mpkCCD Fractions\Main Web Page\Web Pages_old\proteomic_fractions_linear_files/Yang_linear_img/13385810.jpg","show blot")</f>
        <v>show blot</v>
      </c>
      <c r="G5294" t="s">
        <v>5088</v>
      </c>
      <c r="I5294" s="6">
        <v>5.484090934523187</v>
      </c>
      <c r="K5294" s="8"/>
    </row>
    <row r="5295" spans="1:11" ht="15" x14ac:dyDescent="0.25">
      <c r="A5295" s="3" t="str">
        <f>HYPERLINK("proteomic_fractions_linear_files/Yang_linear_img/12963575.jpg", "12963575")</f>
        <v>12963575</v>
      </c>
      <c r="C5295" s="3" t="str">
        <f>HYPERLINK("http://www.ncbi.nlm.nih.gov/protein/12963575","Pbk")</f>
        <v>Pbk</v>
      </c>
      <c r="E5295" t="str">
        <f>HYPERLINK("J:\Depot - mpkCCD Fractions\Main Web Page\Web Pages_old\proteomic_fractions_linear_files/Yang_linear_img/12963575.jpg","show blot")</f>
        <v>show blot</v>
      </c>
      <c r="G5295" t="s">
        <v>5089</v>
      </c>
      <c r="I5295" s="6">
        <v>4.6040261815520802</v>
      </c>
      <c r="K5295" s="8"/>
    </row>
    <row r="5296" spans="1:11" ht="15" x14ac:dyDescent="0.25">
      <c r="A5296" s="3" t="str">
        <f>HYPERLINK("proteomic_fractions_linear_files/Yang_linear_img/31560132.jpg", "31560132")</f>
        <v>31560132</v>
      </c>
      <c r="C5296" s="3" t="str">
        <f>HYPERLINK("http://www.ncbi.nlm.nih.gov/protein/31560132","Pbld1")</f>
        <v>Pbld1</v>
      </c>
      <c r="E5296" t="str">
        <f>HYPERLINK("J:\Depot - mpkCCD Fractions\Main Web Page\Web Pages_old\proteomic_fractions_linear_files/Yang_linear_img/31560132.jpg","show blot")</f>
        <v>show blot</v>
      </c>
      <c r="G5296" t="s">
        <v>5090</v>
      </c>
      <c r="I5296" s="6">
        <v>3.1166001672291523</v>
      </c>
      <c r="K5296" s="8"/>
    </row>
    <row r="5297" spans="1:11" ht="15" x14ac:dyDescent="0.25">
      <c r="A5297" s="3" t="str">
        <f>HYPERLINK("proteomic_fractions_linear_files/Yang_linear_img/13385584.jpg", "13385584")</f>
        <v>13385584</v>
      </c>
      <c r="C5297" s="3" t="str">
        <f>HYPERLINK("http://www.ncbi.nlm.nih.gov/protein/13385584","Pbld2")</f>
        <v>Pbld2</v>
      </c>
      <c r="E5297" t="str">
        <f>HYPERLINK("J:\Depot - mpkCCD Fractions\Main Web Page\Web Pages_old\proteomic_fractions_linear_files/Yang_linear_img/13385584.jpg","show blot")</f>
        <v>show blot</v>
      </c>
      <c r="G5297" t="s">
        <v>5091</v>
      </c>
      <c r="I5297" s="6">
        <v>3.1166001672291523</v>
      </c>
      <c r="K5297" s="8"/>
    </row>
    <row r="5298" spans="1:11" ht="15" x14ac:dyDescent="0.25">
      <c r="A5298" s="3" t="str">
        <f>HYPERLINK("proteomic_fractions_linear_files/Yang_linear_img/22122651.jpg", "22122651")</f>
        <v>22122651</v>
      </c>
      <c r="C5298" s="3" t="str">
        <f>HYPERLINK("http://www.ncbi.nlm.nih.gov/protein/22122651","Pbxip1")</f>
        <v>Pbxip1</v>
      </c>
      <c r="E5298" t="str">
        <f>HYPERLINK("J:\Depot - mpkCCD Fractions\Main Web Page\Web Pages_old\proteomic_fractions_linear_files/Yang_linear_img/22122651.jpg","show blot")</f>
        <v>show blot</v>
      </c>
      <c r="G5298" t="s">
        <v>5092</v>
      </c>
      <c r="I5298" s="6">
        <v>3.3352057047100376</v>
      </c>
      <c r="K5298" s="8"/>
    </row>
    <row r="5299" spans="1:11" ht="15" x14ac:dyDescent="0.25">
      <c r="A5299" s="3" t="str">
        <f>HYPERLINK("proteomic_fractions_linear_files/Yang_linear_img/13384608.jpg", "13384608")</f>
        <v>13384608</v>
      </c>
      <c r="C5299" s="3" t="str">
        <f>HYPERLINK("http://www.ncbi.nlm.nih.gov/protein/13384608","Pcbd1")</f>
        <v>Pcbd1</v>
      </c>
      <c r="E5299" t="str">
        <f>HYPERLINK("J:\Depot - mpkCCD Fractions\Main Web Page\Web Pages_old\proteomic_fractions_linear_files/Yang_linear_img/13384608.jpg","show blot")</f>
        <v>show blot</v>
      </c>
      <c r="G5299" t="s">
        <v>5093</v>
      </c>
      <c r="I5299" s="6">
        <v>6.0689122740847754</v>
      </c>
      <c r="K5299" s="8"/>
    </row>
    <row r="5300" spans="1:11" ht="15" x14ac:dyDescent="0.25">
      <c r="A5300" s="3" t="str">
        <f>HYPERLINK("proteomic_fractions_linear_files/Yang_linear_img/52421794.jpg", "52421794")</f>
        <v>52421794</v>
      </c>
      <c r="C5300" s="3" t="str">
        <f>HYPERLINK("http://www.ncbi.nlm.nih.gov/protein/52421794","Pcbd2")</f>
        <v>Pcbd2</v>
      </c>
      <c r="E5300" t="str">
        <f>HYPERLINK("J:\Depot - mpkCCD Fractions\Main Web Page\Web Pages_old\proteomic_fractions_linear_files/Yang_linear_img/52421794.jpg","show blot")</f>
        <v>show blot</v>
      </c>
      <c r="G5300" t="s">
        <v>5094</v>
      </c>
      <c r="I5300" s="6">
        <v>4.8195038519258677</v>
      </c>
      <c r="K5300" s="8"/>
    </row>
    <row r="5301" spans="1:11" ht="15" x14ac:dyDescent="0.25">
      <c r="A5301" s="3" t="str">
        <f>HYPERLINK("proteomic_fractions_linear_files/Yang_linear_img/6754994.jpg", "6754994")</f>
        <v>6754994</v>
      </c>
      <c r="C5301" s="3" t="str">
        <f>HYPERLINK("http://www.ncbi.nlm.nih.gov/protein/6754994","Pcbp1")</f>
        <v>Pcbp1</v>
      </c>
      <c r="E5301" t="str">
        <f>HYPERLINK("J:\Depot - mpkCCD Fractions\Main Web Page\Web Pages_old\proteomic_fractions_linear_files/Yang_linear_img/6754994.jpg","show blot")</f>
        <v>show blot</v>
      </c>
      <c r="G5301" t="s">
        <v>5095</v>
      </c>
      <c r="I5301" s="6">
        <v>6.9166762805997291</v>
      </c>
      <c r="K5301" s="8"/>
    </row>
    <row r="5302" spans="1:11" ht="15" x14ac:dyDescent="0.25">
      <c r="A5302" s="3" t="str">
        <f>HYPERLINK("proteomic_fractions_linear_files/Yang_linear_img/157041229.jpg", "157041229")</f>
        <v>157041229</v>
      </c>
      <c r="C5302" s="3" t="str">
        <f>HYPERLINK("http://www.ncbi.nlm.nih.gov/protein/157041229","Pcbp2")</f>
        <v>Pcbp2</v>
      </c>
      <c r="E5302" t="str">
        <f>HYPERLINK("J:\Depot - mpkCCD Fractions\Main Web Page\Web Pages_old\proteomic_fractions_linear_files/Yang_linear_img/157041229.jpg","show blot")</f>
        <v>show blot</v>
      </c>
      <c r="G5302" t="s">
        <v>5096</v>
      </c>
      <c r="I5302" s="6">
        <v>6.9272381909168184</v>
      </c>
      <c r="K5302" s="8"/>
    </row>
    <row r="5303" spans="1:11" ht="15" x14ac:dyDescent="0.25">
      <c r="A5303" s="3" t="str">
        <f>HYPERLINK("proteomic_fractions_linear_files/Yang_linear_img/157042772.jpg", "157042772")</f>
        <v>157042772</v>
      </c>
      <c r="C5303" s="3" t="str">
        <f>HYPERLINK("http://www.ncbi.nlm.nih.gov/protein/157042772","Pcbp2")</f>
        <v>Pcbp2</v>
      </c>
      <c r="E5303" t="str">
        <f>HYPERLINK("J:\Depot - mpkCCD Fractions\Main Web Page\Web Pages_old\proteomic_fractions_linear_files/Yang_linear_img/157042772.jpg","show blot")</f>
        <v>show blot</v>
      </c>
      <c r="G5303" t="s">
        <v>5097</v>
      </c>
      <c r="I5303" s="6">
        <v>6.9272381909168184</v>
      </c>
      <c r="K5303" s="8"/>
    </row>
    <row r="5304" spans="1:11" ht="15" x14ac:dyDescent="0.25">
      <c r="A5304" s="3" t="str">
        <f>HYPERLINK("proteomic_fractions_linear_files/Yang_linear_img/157057549.jpg", "157057549")</f>
        <v>157057549</v>
      </c>
      <c r="C5304" s="3" t="str">
        <f>HYPERLINK("http://www.ncbi.nlm.nih.gov/protein/157057549","Pcbp2")</f>
        <v>Pcbp2</v>
      </c>
      <c r="E5304" t="str">
        <f>HYPERLINK("J:\Depot - mpkCCD Fractions\Main Web Page\Web Pages_old\proteomic_fractions_linear_files/Yang_linear_img/157057549.jpg","show blot")</f>
        <v>show blot</v>
      </c>
      <c r="G5304" t="s">
        <v>5098</v>
      </c>
      <c r="I5304" s="6">
        <v>6.9272381909168184</v>
      </c>
      <c r="K5304" s="8"/>
    </row>
    <row r="5305" spans="1:11" ht="15" x14ac:dyDescent="0.25">
      <c r="A5305" s="3" t="str">
        <f>HYPERLINK("proteomic_fractions_linear_files/Yang_linear_img/291327528.jpg", "291327528")</f>
        <v>291327528</v>
      </c>
      <c r="C5305" s="3" t="str">
        <f>HYPERLINK("http://www.ncbi.nlm.nih.gov/protein/291327528","Pcbp2")</f>
        <v>Pcbp2</v>
      </c>
      <c r="E5305" t="str">
        <f>HYPERLINK("J:\Depot - mpkCCD Fractions\Main Web Page\Web Pages_old\proteomic_fractions_linear_files/Yang_linear_img/291327528.jpg","show blot")</f>
        <v>show blot</v>
      </c>
      <c r="G5305" t="s">
        <v>5099</v>
      </c>
      <c r="I5305" s="6">
        <v>6.9272381909168184</v>
      </c>
      <c r="K5305" s="8"/>
    </row>
    <row r="5306" spans="1:11" ht="15" x14ac:dyDescent="0.25">
      <c r="A5306" s="3" t="str">
        <f>HYPERLINK("proteomic_fractions_linear_files/Yang_linear_img/171906586.jpg", "171906586")</f>
        <v>171906586</v>
      </c>
      <c r="C5306" s="3" t="str">
        <f>HYPERLINK("http://www.ncbi.nlm.nih.gov/protein/171906586","Pcbp3")</f>
        <v>Pcbp3</v>
      </c>
      <c r="E5306" t="str">
        <f>HYPERLINK("J:\Depot - mpkCCD Fractions\Main Web Page\Web Pages_old\proteomic_fractions_linear_files/Yang_linear_img/171906586.jpg","show blot")</f>
        <v>show blot</v>
      </c>
      <c r="G5306" t="s">
        <v>5100</v>
      </c>
      <c r="I5306" s="6">
        <v>6.6739636337409483</v>
      </c>
      <c r="K5306" s="8"/>
    </row>
    <row r="5307" spans="1:11" ht="15" x14ac:dyDescent="0.25">
      <c r="A5307" s="3" t="str">
        <f>HYPERLINK("proteomic_fractions_linear_files/Yang_linear_img/227497228.jpg", "227497228")</f>
        <v>227497228</v>
      </c>
      <c r="C5307" s="3" t="str">
        <f>HYPERLINK("http://www.ncbi.nlm.nih.gov/protein/227497228","Pcbp4")</f>
        <v>Pcbp4</v>
      </c>
      <c r="E5307" t="str">
        <f>HYPERLINK("J:\Depot - mpkCCD Fractions\Main Web Page\Web Pages_old\proteomic_fractions_linear_files/Yang_linear_img/227497228.jpg","show blot")</f>
        <v>show blot</v>
      </c>
      <c r="G5307" t="s">
        <v>5101</v>
      </c>
      <c r="I5307" s="6">
        <v>1.7108806788883648</v>
      </c>
      <c r="K5307" s="8"/>
    </row>
    <row r="5308" spans="1:11" ht="15" x14ac:dyDescent="0.25">
      <c r="A5308" s="3" t="str">
        <f>HYPERLINK("proteomic_fractions_linear_files/Yang_linear_img/254540162.jpg", "254540162")</f>
        <v>254540162</v>
      </c>
      <c r="C5308" s="3" t="str">
        <f>HYPERLINK("http://www.ncbi.nlm.nih.gov/protein/254540162","Pcca")</f>
        <v>Pcca</v>
      </c>
      <c r="E5308" t="str">
        <f>HYPERLINK("J:\Depot - mpkCCD Fractions\Main Web Page\Web Pages_old\proteomic_fractions_linear_files/Yang_linear_img/254540162.jpg","show blot")</f>
        <v>show blot</v>
      </c>
      <c r="G5308" t="s">
        <v>5102</v>
      </c>
      <c r="I5308" s="6">
        <v>5.0875496652275212</v>
      </c>
      <c r="K5308" s="8"/>
    </row>
    <row r="5309" spans="1:11" ht="15" x14ac:dyDescent="0.25">
      <c r="A5309" s="3" t="str">
        <f>HYPERLINK("proteomic_fractions_linear_files/Yang_linear_img/13385310.jpg", "13385310")</f>
        <v>13385310</v>
      </c>
      <c r="C5309" s="3" t="str">
        <f>HYPERLINK("http://www.ncbi.nlm.nih.gov/protein/13385310","Pccb")</f>
        <v>Pccb</v>
      </c>
      <c r="E5309" t="str">
        <f>HYPERLINK("J:\Depot - mpkCCD Fractions\Main Web Page\Web Pages_old\proteomic_fractions_linear_files/Yang_linear_img/13385310.jpg","show blot")</f>
        <v>show blot</v>
      </c>
      <c r="G5309" t="s">
        <v>5103</v>
      </c>
      <c r="I5309" s="6">
        <v>5.1549189858283908</v>
      </c>
      <c r="K5309" s="8"/>
    </row>
    <row r="5310" spans="1:11" ht="15" x14ac:dyDescent="0.25">
      <c r="A5310" s="3" t="str">
        <f>HYPERLINK("proteomic_fractions_linear_files/Yang_linear_img/34328319.jpg", "34328319")</f>
        <v>34328319</v>
      </c>
      <c r="C5310" s="3" t="str">
        <f>HYPERLINK("http://www.ncbi.nlm.nih.gov/protein/34328319","Pcdh1")</f>
        <v>Pcdh1</v>
      </c>
      <c r="E5310" t="str">
        <f>HYPERLINK("J:\Depot - mpkCCD Fractions\Main Web Page\Web Pages_old\proteomic_fractions_linear_files/Yang_linear_img/34328319.jpg","show blot")</f>
        <v>show blot</v>
      </c>
      <c r="G5310" t="s">
        <v>5104</v>
      </c>
      <c r="I5310" s="6">
        <v>1.7715213451091139</v>
      </c>
      <c r="K5310" s="8"/>
    </row>
    <row r="5311" spans="1:11" ht="15" x14ac:dyDescent="0.25">
      <c r="A5311" s="3" t="str">
        <f>HYPERLINK("proteomic_fractions_linear_files/Yang_linear_img/6681021.jpg", "6681021")</f>
        <v>6681021</v>
      </c>
      <c r="C5311" s="3" t="str">
        <f>HYPERLINK("http://www.ncbi.nlm.nih.gov/protein/6681021","Pcdha4")</f>
        <v>Pcdha4</v>
      </c>
      <c r="E5311" t="str">
        <f>HYPERLINK("J:\Depot - mpkCCD Fractions\Main Web Page\Web Pages_old\proteomic_fractions_linear_files/Yang_linear_img/6681021.jpg","show blot")</f>
        <v>show blot</v>
      </c>
      <c r="G5311" t="s">
        <v>5105</v>
      </c>
      <c r="I5311" s="6">
        <v>3.8115999054652487</v>
      </c>
      <c r="K5311" s="8"/>
    </row>
    <row r="5312" spans="1:11" ht="15" x14ac:dyDescent="0.25">
      <c r="A5312" s="3" t="str">
        <f>HYPERLINK("proteomic_fractions_linear_files/Yang_linear_img/292658765.jpg", "292658765")</f>
        <v>292658765</v>
      </c>
      <c r="C5312" s="3" t="str">
        <f>HYPERLINK("http://www.ncbi.nlm.nih.gov/protein/292658765","Pcdha4-g")</f>
        <v>Pcdha4-g</v>
      </c>
      <c r="E5312" t="str">
        <f>HYPERLINK("J:\Depot - mpkCCD Fractions\Main Web Page\Web Pages_old\proteomic_fractions_linear_files/Yang_linear_img/292658765.jpg","show blot")</f>
        <v>show blot</v>
      </c>
      <c r="G5312" t="s">
        <v>5106</v>
      </c>
      <c r="I5312" s="6">
        <v>3.8293286724256803</v>
      </c>
      <c r="K5312" s="8"/>
    </row>
    <row r="5313" spans="1:11" ht="15" x14ac:dyDescent="0.25">
      <c r="A5313" s="3" t="str">
        <f>HYPERLINK("proteomic_fractions_linear_files/Yang_linear_img/119372296.jpg", "119372296")</f>
        <v>119372296</v>
      </c>
      <c r="C5313" s="3" t="str">
        <f>HYPERLINK("http://www.ncbi.nlm.nih.gov/protein/119372296","Pcid2")</f>
        <v>Pcid2</v>
      </c>
      <c r="E5313" t="str">
        <f>HYPERLINK("J:\Depot - mpkCCD Fractions\Main Web Page\Web Pages_old\proteomic_fractions_linear_files/Yang_linear_img/119372296.jpg","show blot")</f>
        <v>show blot</v>
      </c>
      <c r="G5313" t="s">
        <v>5107</v>
      </c>
      <c r="I5313" s="6">
        <v>4.4222400914010258</v>
      </c>
      <c r="K5313" s="8"/>
    </row>
    <row r="5314" spans="1:11" ht="15" x14ac:dyDescent="0.25">
      <c r="A5314" s="3" t="str">
        <f>HYPERLINK("proteomic_fractions_linear_files/Yang_linear_img/22122647.jpg", "22122647")</f>
        <v>22122647</v>
      </c>
      <c r="C5314" s="3" t="str">
        <f>HYPERLINK("http://www.ncbi.nlm.nih.gov/protein/22122647","Pcif1")</f>
        <v>Pcif1</v>
      </c>
      <c r="E5314" t="str">
        <f>HYPERLINK("J:\Depot - mpkCCD Fractions\Main Web Page\Web Pages_old\proteomic_fractions_linear_files/Yang_linear_img/22122647.jpg","show blot")</f>
        <v>show blot</v>
      </c>
      <c r="G5314" t="s">
        <v>5108</v>
      </c>
      <c r="I5314" s="6">
        <v>2.9713854746465409</v>
      </c>
      <c r="K5314" s="8"/>
    </row>
    <row r="5315" spans="1:11" ht="15" x14ac:dyDescent="0.25">
      <c r="A5315" s="3" t="str">
        <f>HYPERLINK("proteomic_fractions_linear_files/Yang_linear_img/28077029.jpg", "28077029")</f>
        <v>28077029</v>
      </c>
      <c r="C5315" s="3" t="str">
        <f>HYPERLINK("http://www.ncbi.nlm.nih.gov/protein/28077029","Pck2")</f>
        <v>Pck2</v>
      </c>
      <c r="E5315" t="str">
        <f>HYPERLINK("J:\Depot - mpkCCD Fractions\Main Web Page\Web Pages_old\proteomic_fractions_linear_files/Yang_linear_img/28077029.jpg","show blot")</f>
        <v>show blot</v>
      </c>
      <c r="G5315" t="s">
        <v>5109</v>
      </c>
      <c r="I5315" s="6">
        <v>5.6754844152620212</v>
      </c>
      <c r="K5315" s="8"/>
    </row>
    <row r="5316" spans="1:11" ht="15" x14ac:dyDescent="0.25">
      <c r="A5316" s="3" t="str">
        <f>HYPERLINK("proteomic_fractions_linear_files/Yang_linear_img/170763496.jpg", "170763496")</f>
        <v>170763496</v>
      </c>
      <c r="C5316" s="3" t="str">
        <f>HYPERLINK("http://www.ncbi.nlm.nih.gov/protein/170763496","Pcm1")</f>
        <v>Pcm1</v>
      </c>
      <c r="E5316" t="str">
        <f>HYPERLINK("J:\Depot - mpkCCD Fractions\Main Web Page\Web Pages_old\proteomic_fractions_linear_files/Yang_linear_img/170763496.jpg","show blot")</f>
        <v>show blot</v>
      </c>
      <c r="G5316" t="s">
        <v>5110</v>
      </c>
      <c r="I5316" s="6">
        <v>3.4725756336231854</v>
      </c>
      <c r="K5316" s="8"/>
    </row>
    <row r="5317" spans="1:11" ht="15" x14ac:dyDescent="0.25">
      <c r="A5317" s="3" t="str">
        <f>HYPERLINK("proteomic_fractions_linear_files/Yang_linear_img/226530884.jpg", "226530884")</f>
        <v>226530884</v>
      </c>
      <c r="C5317" s="3" t="str">
        <f>HYPERLINK("http://www.ncbi.nlm.nih.gov/protein/226530884","Pcmt1")</f>
        <v>Pcmt1</v>
      </c>
      <c r="E5317" t="str">
        <f>HYPERLINK("J:\Depot - mpkCCD Fractions\Main Web Page\Web Pages_old\proteomic_fractions_linear_files/Yang_linear_img/226530884.jpg","show blot")</f>
        <v>show blot</v>
      </c>
      <c r="G5317" t="s">
        <v>5111</v>
      </c>
      <c r="I5317" s="6">
        <v>5.6701678942954317</v>
      </c>
      <c r="K5317" s="8"/>
    </row>
    <row r="5318" spans="1:11" ht="15" x14ac:dyDescent="0.25">
      <c r="A5318" s="3" t="str">
        <f>HYPERLINK("proteomic_fractions_linear_files/Yang_linear_img/33942104.jpg", "33942104")</f>
        <v>33942104</v>
      </c>
      <c r="C5318" s="3" t="str">
        <f>HYPERLINK("http://www.ncbi.nlm.nih.gov/protein/33942104","Pcmtd1")</f>
        <v>Pcmtd1</v>
      </c>
      <c r="E5318" t="str">
        <f>HYPERLINK("J:\Depot - mpkCCD Fractions\Main Web Page\Web Pages_old\proteomic_fractions_linear_files/Yang_linear_img/33942104.jpg","show blot")</f>
        <v>show blot</v>
      </c>
      <c r="G5318" t="s">
        <v>5112</v>
      </c>
      <c r="I5318" s="6">
        <v>3.8245710260988437</v>
      </c>
      <c r="K5318" s="8"/>
    </row>
    <row r="5319" spans="1:11" ht="15" x14ac:dyDescent="0.25">
      <c r="A5319" s="3" t="str">
        <f>HYPERLINK("proteomic_fractions_linear_files/Yang_linear_img/23956398.jpg", "23956398")</f>
        <v>23956398</v>
      </c>
      <c r="C5319" s="3" t="str">
        <f>HYPERLINK("http://www.ncbi.nlm.nih.gov/protein/23956398","Pcmtd2")</f>
        <v>Pcmtd2</v>
      </c>
      <c r="E5319" t="str">
        <f>HYPERLINK("J:\Depot - mpkCCD Fractions\Main Web Page\Web Pages_old\proteomic_fractions_linear_files/Yang_linear_img/23956398.jpg","show blot")</f>
        <v>show blot</v>
      </c>
      <c r="G5319" t="s">
        <v>5113</v>
      </c>
      <c r="I5319" s="6">
        <v>3.5798164618192203</v>
      </c>
      <c r="K5319" s="8"/>
    </row>
    <row r="5320" spans="1:11" ht="15" x14ac:dyDescent="0.25">
      <c r="A5320" s="3" t="str">
        <f>HYPERLINK("proteomic_fractions_linear_files/Yang_linear_img/7242171.jpg", "7242171")</f>
        <v>7242171</v>
      </c>
      <c r="C5320" s="3" t="str">
        <f>HYPERLINK("http://www.ncbi.nlm.nih.gov/protein/7242171","Pcna")</f>
        <v>Pcna</v>
      </c>
      <c r="E5320" t="str">
        <f>HYPERLINK("J:\Depot - mpkCCD Fractions\Main Web Page\Web Pages_old\proteomic_fractions_linear_files/Yang_linear_img/7242171.jpg","show blot")</f>
        <v>show blot</v>
      </c>
      <c r="G5320" t="s">
        <v>5114</v>
      </c>
      <c r="I5320" s="6">
        <v>7.2183913588075947</v>
      </c>
      <c r="K5320" s="8"/>
    </row>
    <row r="5321" spans="1:11" ht="15" x14ac:dyDescent="0.25">
      <c r="A5321" s="3" t="str">
        <f>HYPERLINK("proteomic_fractions_linear_files/Yang_linear_img/71480098.jpg", "71480098")</f>
        <v>71480098</v>
      </c>
      <c r="C5321" s="3" t="str">
        <f>HYPERLINK("http://www.ncbi.nlm.nih.gov/protein/71480098","Pcnp")</f>
        <v>Pcnp</v>
      </c>
      <c r="E5321" t="str">
        <f>HYPERLINK("J:\Depot - mpkCCD Fractions\Main Web Page\Web Pages_old\proteomic_fractions_linear_files/Yang_linear_img/71480098.jpg","show blot")</f>
        <v>show blot</v>
      </c>
      <c r="G5321" t="s">
        <v>5115</v>
      </c>
      <c r="I5321" s="6">
        <v>5.9319305658078942</v>
      </c>
      <c r="K5321" s="8"/>
    </row>
    <row r="5322" spans="1:11" ht="15" x14ac:dyDescent="0.25">
      <c r="A5322" s="3" t="str">
        <f>HYPERLINK("proteomic_fractions_linear_files/Yang_linear_img/93004085.jpg", "93004085")</f>
        <v>93004085</v>
      </c>
      <c r="C5322" s="3" t="str">
        <f>HYPERLINK("http://www.ncbi.nlm.nih.gov/protein/93004085","Pcnt")</f>
        <v>Pcnt</v>
      </c>
      <c r="E5322" t="str">
        <f>HYPERLINK("J:\Depot - mpkCCD Fractions\Main Web Page\Web Pages_old\proteomic_fractions_linear_files/Yang_linear_img/93004085.jpg","show blot")</f>
        <v>show blot</v>
      </c>
      <c r="G5322" t="s">
        <v>5116</v>
      </c>
      <c r="I5322" s="6">
        <v>2.0872887435557188</v>
      </c>
      <c r="K5322" s="8"/>
    </row>
    <row r="5323" spans="1:11" ht="15" x14ac:dyDescent="0.25">
      <c r="A5323" s="3" t="str">
        <f>HYPERLINK("proteomic_fractions_linear_files/Yang_linear_img/126352572.jpg", "126352572")</f>
        <v>126352572</v>
      </c>
      <c r="C5323" s="3" t="str">
        <f>HYPERLINK("http://www.ncbi.nlm.nih.gov/protein/126352572","Pcnxl2")</f>
        <v>Pcnxl2</v>
      </c>
      <c r="E5323" t="str">
        <f>HYPERLINK("J:\Depot - mpkCCD Fractions\Main Web Page\Web Pages_old\proteomic_fractions_linear_files/Yang_linear_img/126352572.jpg","show blot")</f>
        <v>show blot</v>
      </c>
      <c r="G5323" t="s">
        <v>5117</v>
      </c>
      <c r="I5323" s="6">
        <v>3.0382386764130049</v>
      </c>
      <c r="K5323" s="8"/>
    </row>
    <row r="5324" spans="1:11" ht="15" x14ac:dyDescent="0.25">
      <c r="A5324" s="3" t="str">
        <f>HYPERLINK("proteomic_fractions_linear_files/Yang_linear_img/157743254.jpg", "157743254")</f>
        <v>157743254</v>
      </c>
      <c r="C5324" s="3" t="str">
        <f>HYPERLINK("http://www.ncbi.nlm.nih.gov/protein/157743254","Pcnxl3")</f>
        <v>Pcnxl3</v>
      </c>
      <c r="E5324" t="str">
        <f>HYPERLINK("J:\Depot - mpkCCD Fractions\Main Web Page\Web Pages_old\proteomic_fractions_linear_files/Yang_linear_img/157743254.jpg","show blot")</f>
        <v>show blot</v>
      </c>
      <c r="G5324" t="s">
        <v>5118</v>
      </c>
      <c r="I5324" s="6">
        <v>1.1807786584075419</v>
      </c>
      <c r="K5324" s="8"/>
    </row>
    <row r="5325" spans="1:11" ht="15" x14ac:dyDescent="0.25">
      <c r="A5325" s="3" t="str">
        <f>HYPERLINK("proteomic_fractions_linear_files/Yang_linear_img/253314509.jpg", "253314509")</f>
        <v>253314509</v>
      </c>
      <c r="C5325" s="3" t="str">
        <f>HYPERLINK("http://www.ncbi.nlm.nih.gov/protein/253314509","Pcsk5")</f>
        <v>Pcsk5</v>
      </c>
      <c r="E5325" t="str">
        <f>HYPERLINK("J:\Depot - mpkCCD Fractions\Main Web Page\Web Pages_old\proteomic_fractions_linear_files/Yang_linear_img/253314509.jpg","show blot")</f>
        <v>show blot</v>
      </c>
      <c r="G5325" t="s">
        <v>5119</v>
      </c>
      <c r="I5325" s="6">
        <v>4.4713562438655181</v>
      </c>
      <c r="K5325" s="8"/>
    </row>
    <row r="5326" spans="1:11" ht="15" x14ac:dyDescent="0.25">
      <c r="A5326" s="3" t="str">
        <f>HYPERLINK("proteomic_fractions_linear_files/Yang_linear_img/299523019.jpg", "299523019")</f>
        <v>299523019</v>
      </c>
      <c r="C5326" s="3" t="str">
        <f>HYPERLINK("http://www.ncbi.nlm.nih.gov/protein/299523019","Pcsk5")</f>
        <v>Pcsk5</v>
      </c>
      <c r="E5326" t="str">
        <f>HYPERLINK("J:\Depot - mpkCCD Fractions\Main Web Page\Web Pages_old\proteomic_fractions_linear_files/Yang_linear_img/299523019.jpg","show blot")</f>
        <v>show blot</v>
      </c>
      <c r="G5326" t="s">
        <v>5120</v>
      </c>
      <c r="I5326" s="6">
        <v>4.4713562438655181</v>
      </c>
      <c r="K5326" s="8"/>
    </row>
    <row r="5327" spans="1:11" ht="15" x14ac:dyDescent="0.25">
      <c r="A5327" s="3" t="str">
        <f>HYPERLINK("proteomic_fractions_linear_files/Yang_linear_img/117320552.jpg", "117320552")</f>
        <v>117320552</v>
      </c>
      <c r="C5327" s="3" t="str">
        <f>HYPERLINK("http://www.ncbi.nlm.nih.gov/protein/117320552","Pctp")</f>
        <v>Pctp</v>
      </c>
      <c r="E5327" t="str">
        <f>HYPERLINK("J:\Depot - mpkCCD Fractions\Main Web Page\Web Pages_old\proteomic_fractions_linear_files/Yang_linear_img/117320552.jpg","show blot")</f>
        <v>show blot</v>
      </c>
      <c r="G5327" t="s">
        <v>5121</v>
      </c>
      <c r="I5327" s="6">
        <v>4.307611912432475</v>
      </c>
      <c r="K5327" s="8"/>
    </row>
    <row r="5328" spans="1:11" ht="15" x14ac:dyDescent="0.25">
      <c r="A5328" s="3" t="str">
        <f>HYPERLINK("proteomic_fractions_linear_files/Yang_linear_img/251823978.jpg", "251823978")</f>
        <v>251823978</v>
      </c>
      <c r="C5328" s="3" t="str">
        <f>HYPERLINK("http://www.ncbi.nlm.nih.gov/protein/251823978","Pcx")</f>
        <v>Pcx</v>
      </c>
      <c r="E5328" t="str">
        <f>HYPERLINK("J:\Depot - mpkCCD Fractions\Main Web Page\Web Pages_old\proteomic_fractions_linear_files/Yang_linear_img/251823978.jpg","show blot")</f>
        <v>show blot</v>
      </c>
      <c r="G5328" t="s">
        <v>5122</v>
      </c>
      <c r="I5328" s="6">
        <v>5.0821266277768729</v>
      </c>
      <c r="K5328" s="8"/>
    </row>
    <row r="5329" spans="1:11" ht="15" x14ac:dyDescent="0.25">
      <c r="A5329" s="3" t="str">
        <f>HYPERLINK("proteomic_fractions_linear_files/Yang_linear_img/251823980.jpg", "251823980")</f>
        <v>251823980</v>
      </c>
      <c r="C5329" s="3" t="str">
        <f>HYPERLINK("http://www.ncbi.nlm.nih.gov/protein/251823980","Pcx")</f>
        <v>Pcx</v>
      </c>
      <c r="E5329" t="str">
        <f>HYPERLINK("J:\Depot - mpkCCD Fractions\Main Web Page\Web Pages_old\proteomic_fractions_linear_files/Yang_linear_img/251823980.jpg","show blot")</f>
        <v>show blot</v>
      </c>
      <c r="G5329" t="s">
        <v>5123</v>
      </c>
      <c r="I5329" s="6">
        <v>5.0821266277768729</v>
      </c>
      <c r="K5329" s="8"/>
    </row>
    <row r="5330" spans="1:11" ht="15" x14ac:dyDescent="0.25">
      <c r="A5330" s="3" t="str">
        <f>HYPERLINK("proteomic_fractions_linear_files/Yang_linear_img/13385294.jpg", "13385294")</f>
        <v>13385294</v>
      </c>
      <c r="C5330" s="3" t="str">
        <f>HYPERLINK("http://www.ncbi.nlm.nih.gov/protein/13385294","Pcyox1")</f>
        <v>Pcyox1</v>
      </c>
      <c r="E5330" t="str">
        <f>HYPERLINK("J:\Depot - mpkCCD Fractions\Main Web Page\Web Pages_old\proteomic_fractions_linear_files/Yang_linear_img/13385294.jpg","show blot")</f>
        <v>show blot</v>
      </c>
      <c r="G5330" t="s">
        <v>5124</v>
      </c>
      <c r="I5330" s="6">
        <v>5.3388629545488087</v>
      </c>
      <c r="K5330" s="8"/>
    </row>
    <row r="5331" spans="1:11" ht="15" x14ac:dyDescent="0.25">
      <c r="A5331" s="3" t="str">
        <f>HYPERLINK("proteomic_fractions_linear_files/Yang_linear_img/27370248.jpg", "27370248")</f>
        <v>27370248</v>
      </c>
      <c r="C5331" s="3" t="str">
        <f>HYPERLINK("http://www.ncbi.nlm.nih.gov/protein/27370248","Pcyox1l")</f>
        <v>Pcyox1l</v>
      </c>
      <c r="E5331" t="str">
        <f>HYPERLINK("J:\Depot - mpkCCD Fractions\Main Web Page\Web Pages_old\proteomic_fractions_linear_files/Yang_linear_img/27370248.jpg","show blot")</f>
        <v>show blot</v>
      </c>
      <c r="G5331" t="s">
        <v>5125</v>
      </c>
      <c r="I5331" s="6">
        <v>3.6066812600166571</v>
      </c>
      <c r="K5331" s="8"/>
    </row>
    <row r="5332" spans="1:11" ht="15" x14ac:dyDescent="0.25">
      <c r="A5332" s="3" t="str">
        <f>HYPERLINK("proteomic_fractions_linear_files/Yang_linear_img/6753552.jpg", "6753552")</f>
        <v>6753552</v>
      </c>
      <c r="C5332" s="3" t="str">
        <f>HYPERLINK("http://www.ncbi.nlm.nih.gov/protein/6753552","Pcyt1a")</f>
        <v>Pcyt1a</v>
      </c>
      <c r="E5332" t="str">
        <f>HYPERLINK("J:\Depot - mpkCCD Fractions\Main Web Page\Web Pages_old\proteomic_fractions_linear_files/Yang_linear_img/6753552.jpg","show blot")</f>
        <v>show blot</v>
      </c>
      <c r="G5332" t="s">
        <v>5126</v>
      </c>
      <c r="I5332" s="6">
        <v>5.3140150147107432</v>
      </c>
      <c r="K5332" s="8"/>
    </row>
    <row r="5333" spans="1:11" ht="15" x14ac:dyDescent="0.25">
      <c r="A5333" s="3" t="str">
        <f>HYPERLINK("proteomic_fractions_linear_files/Yang_linear_img/29164513.jpg", "29164513")</f>
        <v>29164513</v>
      </c>
      <c r="C5333" s="3" t="str">
        <f>HYPERLINK("http://www.ncbi.nlm.nih.gov/protein/29164513","Pcyt1b")</f>
        <v>Pcyt1b</v>
      </c>
      <c r="E5333" t="str">
        <f>HYPERLINK("J:\Depot - mpkCCD Fractions\Main Web Page\Web Pages_old\proteomic_fractions_linear_files/Yang_linear_img/29164513.jpg","show blot")</f>
        <v>show blot</v>
      </c>
      <c r="G5333" t="s">
        <v>5127</v>
      </c>
      <c r="I5333" s="6">
        <v>4.8704006168656404</v>
      </c>
      <c r="K5333" s="8"/>
    </row>
    <row r="5334" spans="1:11" ht="15" x14ac:dyDescent="0.25">
      <c r="A5334" s="3" t="str">
        <f>HYPERLINK("proteomic_fractions_linear_files/Yang_linear_img/46877071.jpg", "46877071")</f>
        <v>46877071</v>
      </c>
      <c r="C5334" s="3" t="str">
        <f>HYPERLINK("http://www.ncbi.nlm.nih.gov/protein/46877071","Pcyt1b")</f>
        <v>Pcyt1b</v>
      </c>
      <c r="E5334" t="str">
        <f>HYPERLINK("J:\Depot - mpkCCD Fractions\Main Web Page\Web Pages_old\proteomic_fractions_linear_files/Yang_linear_img/46877071.jpg","show blot")</f>
        <v>show blot</v>
      </c>
      <c r="G5334" t="s">
        <v>5128</v>
      </c>
      <c r="I5334" s="6">
        <v>4.8704006168656404</v>
      </c>
      <c r="K5334" s="8"/>
    </row>
    <row r="5335" spans="1:11" ht="15" x14ac:dyDescent="0.25">
      <c r="A5335" s="3" t="str">
        <f>HYPERLINK("proteomic_fractions_linear_files/Yang_linear_img/31980842.jpg", "31980842")</f>
        <v>31980842</v>
      </c>
      <c r="C5335" s="3" t="str">
        <f>HYPERLINK("http://www.ncbi.nlm.nih.gov/protein/31980842","Pcyt2")</f>
        <v>Pcyt2</v>
      </c>
      <c r="E5335" t="str">
        <f>HYPERLINK("J:\Depot - mpkCCD Fractions\Main Web Page\Web Pages_old\proteomic_fractions_linear_files/Yang_linear_img/31980842.jpg","show blot")</f>
        <v>show blot</v>
      </c>
      <c r="G5335" t="s">
        <v>5129</v>
      </c>
      <c r="I5335" s="6">
        <v>4.864134628300266</v>
      </c>
      <c r="K5335" s="8"/>
    </row>
    <row r="5336" spans="1:11" ht="15" x14ac:dyDescent="0.25">
      <c r="A5336" s="3" t="str">
        <f>HYPERLINK("proteomic_fractions_linear_files/Yang_linear_img/84781781.jpg", "84781781")</f>
        <v>84781781</v>
      </c>
      <c r="C5336" s="3" t="str">
        <f>HYPERLINK("http://www.ncbi.nlm.nih.gov/protein/84781781","Pdap1")</f>
        <v>Pdap1</v>
      </c>
      <c r="E5336" t="str">
        <f>HYPERLINK("J:\Depot - mpkCCD Fractions\Main Web Page\Web Pages_old\proteomic_fractions_linear_files/Yang_linear_img/84781781.jpg","show blot")</f>
        <v>show blot</v>
      </c>
      <c r="G5336" t="s">
        <v>5130</v>
      </c>
      <c r="I5336" s="6">
        <v>6.0848902179212727</v>
      </c>
      <c r="K5336" s="8"/>
    </row>
    <row r="5337" spans="1:11" ht="15" x14ac:dyDescent="0.25">
      <c r="A5337" s="3" t="str">
        <f>HYPERLINK("proteomic_fractions_linear_files/Yang_linear_img/31560391.jpg", "31560391")</f>
        <v>31560391</v>
      </c>
      <c r="C5337" s="3" t="str">
        <f>HYPERLINK("http://www.ncbi.nlm.nih.gov/protein/31560391","Pdcd10")</f>
        <v>Pdcd10</v>
      </c>
      <c r="E5337" t="str">
        <f>HYPERLINK("J:\Depot - mpkCCD Fractions\Main Web Page\Web Pages_old\proteomic_fractions_linear_files/Yang_linear_img/31560391.jpg","show blot")</f>
        <v>show blot</v>
      </c>
      <c r="G5337" t="s">
        <v>5131</v>
      </c>
      <c r="I5337" s="6">
        <v>5.9101796565358606</v>
      </c>
      <c r="K5337" s="8"/>
    </row>
    <row r="5338" spans="1:11" ht="15" x14ac:dyDescent="0.25">
      <c r="A5338" s="3" t="str">
        <f>HYPERLINK("proteomic_fractions_linear_files/Yang_linear_img/54607128.jpg", "54607128")</f>
        <v>54607128</v>
      </c>
      <c r="C5338" s="3" t="str">
        <f>HYPERLINK("http://www.ncbi.nlm.nih.gov/protein/54607128","Pdcd11")</f>
        <v>Pdcd11</v>
      </c>
      <c r="E5338" t="str">
        <f>HYPERLINK("J:\Depot - mpkCCD Fractions\Main Web Page\Web Pages_old\proteomic_fractions_linear_files/Yang_linear_img/54607128.jpg","show blot")</f>
        <v>show blot</v>
      </c>
      <c r="G5338" t="s">
        <v>5132</v>
      </c>
      <c r="I5338" s="6">
        <v>3.4618776487960079</v>
      </c>
      <c r="K5338" s="8"/>
    </row>
    <row r="5339" spans="1:11" ht="15" x14ac:dyDescent="0.25">
      <c r="A5339" s="3" t="str">
        <f>HYPERLINK("proteomic_fractions_linear_files/Yang_linear_img/120407033.jpg", "120407033")</f>
        <v>120407033</v>
      </c>
      <c r="C5339" s="3" t="str">
        <f>HYPERLINK("http://www.ncbi.nlm.nih.gov/protein/120407033","Pdcd2")</f>
        <v>Pdcd2</v>
      </c>
      <c r="E5339" t="str">
        <f>HYPERLINK("J:\Depot - mpkCCD Fractions\Main Web Page\Web Pages_old\proteomic_fractions_linear_files/Yang_linear_img/120407033.jpg","show blot")</f>
        <v>show blot</v>
      </c>
      <c r="G5339" t="s">
        <v>5133</v>
      </c>
      <c r="I5339" s="6">
        <v>4.0020804278568098</v>
      </c>
      <c r="K5339" s="8"/>
    </row>
    <row r="5340" spans="1:11" ht="15" x14ac:dyDescent="0.25">
      <c r="A5340" s="3" t="str">
        <f>HYPERLINK("proteomic_fractions_linear_files/Yang_linear_img/110625656.jpg", "110625656")</f>
        <v>110625656</v>
      </c>
      <c r="C5340" s="3" t="str">
        <f>HYPERLINK("http://www.ncbi.nlm.nih.gov/protein/110625656","Pdcd4")</f>
        <v>Pdcd4</v>
      </c>
      <c r="E5340" t="str">
        <f>HYPERLINK("J:\Depot - mpkCCD Fractions\Main Web Page\Web Pages_old\proteomic_fractions_linear_files/Yang_linear_img/110625656.jpg","show blot")</f>
        <v>show blot</v>
      </c>
      <c r="G5340" t="s">
        <v>5134</v>
      </c>
      <c r="I5340" s="6">
        <v>5.9635234137729567</v>
      </c>
      <c r="K5340" s="8"/>
    </row>
    <row r="5341" spans="1:11" ht="15" x14ac:dyDescent="0.25">
      <c r="A5341" s="3" t="str">
        <f>HYPERLINK("proteomic_fractions_linear_files/Yang_linear_img/6755000.jpg", "6755000")</f>
        <v>6755000</v>
      </c>
      <c r="C5341" s="3" t="str">
        <f>HYPERLINK("http://www.ncbi.nlm.nih.gov/protein/6755000","Pdcd6")</f>
        <v>Pdcd6</v>
      </c>
      <c r="E5341" t="str">
        <f>HYPERLINK("J:\Depot - mpkCCD Fractions\Main Web Page\Web Pages_old\proteomic_fractions_linear_files/Yang_linear_img/6755000.jpg","show blot")</f>
        <v>show blot</v>
      </c>
      <c r="G5341" t="s">
        <v>5135</v>
      </c>
      <c r="I5341" s="6">
        <v>5.4060623929234426</v>
      </c>
      <c r="K5341" s="8"/>
    </row>
    <row r="5342" spans="1:11" ht="15" x14ac:dyDescent="0.25">
      <c r="A5342" s="3" t="str">
        <f>HYPERLINK("proteomic_fractions_linear_files/Yang_linear_img/258547152.jpg", "258547152")</f>
        <v>258547152</v>
      </c>
      <c r="C5342" s="3" t="str">
        <f>HYPERLINK("http://www.ncbi.nlm.nih.gov/protein/258547152","Pdcd6ip")</f>
        <v>Pdcd6ip</v>
      </c>
      <c r="E5342" t="str">
        <f>HYPERLINK("J:\Depot - mpkCCD Fractions\Main Web Page\Web Pages_old\proteomic_fractions_linear_files/Yang_linear_img/258547152.jpg","show blot")</f>
        <v>show blot</v>
      </c>
      <c r="G5342" t="s">
        <v>5136</v>
      </c>
      <c r="I5342" s="6">
        <v>5.4671942631208781</v>
      </c>
      <c r="K5342" s="8"/>
    </row>
    <row r="5343" spans="1:11" ht="15" x14ac:dyDescent="0.25">
      <c r="A5343" s="3" t="str">
        <f>HYPERLINK("proteomic_fractions_linear_files/Yang_linear_img/258547154.jpg", "258547154")</f>
        <v>258547154</v>
      </c>
      <c r="C5343" s="3" t="str">
        <f>HYPERLINK("http://www.ncbi.nlm.nih.gov/protein/258547154","Pdcd6ip")</f>
        <v>Pdcd6ip</v>
      </c>
      <c r="E5343" t="str">
        <f>HYPERLINK("J:\Depot - mpkCCD Fractions\Main Web Page\Web Pages_old\proteomic_fractions_linear_files/Yang_linear_img/258547154.jpg","show blot")</f>
        <v>show blot</v>
      </c>
      <c r="G5343" t="s">
        <v>5137</v>
      </c>
      <c r="I5343" s="6">
        <v>5.4671942631208781</v>
      </c>
      <c r="K5343" s="8"/>
    </row>
    <row r="5344" spans="1:11" ht="15" x14ac:dyDescent="0.25">
      <c r="A5344" s="3" t="str">
        <f>HYPERLINK("proteomic_fractions_linear_files/Yang_linear_img/258547156.jpg", "258547156")</f>
        <v>258547156</v>
      </c>
      <c r="C5344" s="3" t="str">
        <f>HYPERLINK("http://www.ncbi.nlm.nih.gov/protein/258547156","Pdcd6ip")</f>
        <v>Pdcd6ip</v>
      </c>
      <c r="E5344" t="str">
        <f>HYPERLINK("J:\Depot - mpkCCD Fractions\Main Web Page\Web Pages_old\proteomic_fractions_linear_files/Yang_linear_img/258547156.jpg","show blot")</f>
        <v>show blot</v>
      </c>
      <c r="G5344" t="s">
        <v>5138</v>
      </c>
      <c r="I5344" s="6">
        <v>5.4671942631208781</v>
      </c>
      <c r="K5344" s="8"/>
    </row>
    <row r="5345" spans="1:11" ht="15" x14ac:dyDescent="0.25">
      <c r="A5345" s="3" t="str">
        <f>HYPERLINK("proteomic_fractions_linear_files/Yang_linear_img/165932326.jpg", "165932326")</f>
        <v>165932326</v>
      </c>
      <c r="C5345" s="3" t="str">
        <f>HYPERLINK("http://www.ncbi.nlm.nih.gov/protein/165932326","Pdcl")</f>
        <v>Pdcl</v>
      </c>
      <c r="E5345" t="str">
        <f>HYPERLINK("J:\Depot - mpkCCD Fractions\Main Web Page\Web Pages_old\proteomic_fractions_linear_files/Yang_linear_img/165932326.jpg","show blot")</f>
        <v>show blot</v>
      </c>
      <c r="G5345" t="s">
        <v>5139</v>
      </c>
      <c r="I5345" s="6">
        <v>4.2990228786460687</v>
      </c>
      <c r="K5345" s="8"/>
    </row>
    <row r="5346" spans="1:11" ht="15" x14ac:dyDescent="0.25">
      <c r="A5346" s="3" t="str">
        <f>HYPERLINK("proteomic_fractions_linear_files/Yang_linear_img/31560120.jpg", "31560120")</f>
        <v>31560120</v>
      </c>
      <c r="C5346" s="3" t="str">
        <f>HYPERLINK("http://www.ncbi.nlm.nih.gov/protein/31560120","Pdcl3")</f>
        <v>Pdcl3</v>
      </c>
      <c r="E5346" t="str">
        <f>HYPERLINK("J:\Depot - mpkCCD Fractions\Main Web Page\Web Pages_old\proteomic_fractions_linear_files/Yang_linear_img/31560120.jpg","show blot")</f>
        <v>show blot</v>
      </c>
      <c r="G5346" t="s">
        <v>5140</v>
      </c>
      <c r="I5346" s="6">
        <v>5.3545594899097066</v>
      </c>
      <c r="K5346" s="8"/>
    </row>
    <row r="5347" spans="1:11" ht="15" x14ac:dyDescent="0.25">
      <c r="A5347" s="3" t="str">
        <f>HYPERLINK("proteomic_fractions_linear_files/Yang_linear_img/157841170.jpg", "157841170")</f>
        <v>157841170</v>
      </c>
      <c r="C5347" s="3" t="str">
        <f>HYPERLINK("http://www.ncbi.nlm.nih.gov/protein/157841170","Pddc1")</f>
        <v>Pddc1</v>
      </c>
      <c r="E5347" t="str">
        <f>HYPERLINK("J:\Depot - mpkCCD Fractions\Main Web Page\Web Pages_old\proteomic_fractions_linear_files/Yang_linear_img/157841170.jpg","show blot")</f>
        <v>show blot</v>
      </c>
      <c r="G5347" t="s">
        <v>5141</v>
      </c>
      <c r="I5347" s="6">
        <v>5.1450925275432065</v>
      </c>
      <c r="K5347" s="8"/>
    </row>
    <row r="5348" spans="1:11" ht="15" x14ac:dyDescent="0.25">
      <c r="A5348" s="3" t="str">
        <f>HYPERLINK("proteomic_fractions_linear_files/Yang_linear_img/40538842.jpg", "40538842")</f>
        <v>40538842</v>
      </c>
      <c r="C5348" s="3" t="str">
        <f>HYPERLINK("http://www.ncbi.nlm.nih.gov/protein/40538842","Pde12")</f>
        <v>Pde12</v>
      </c>
      <c r="E5348" t="str">
        <f>HYPERLINK("J:\Depot - mpkCCD Fractions\Main Web Page\Web Pages_old\proteomic_fractions_linear_files/Yang_linear_img/40538842.jpg","show blot")</f>
        <v>show blot</v>
      </c>
      <c r="G5348" t="s">
        <v>5142</v>
      </c>
      <c r="I5348" s="6">
        <v>4.1991808139607203</v>
      </c>
      <c r="K5348" s="8"/>
    </row>
    <row r="5349" spans="1:11" ht="15" x14ac:dyDescent="0.25">
      <c r="A5349" s="3" t="str">
        <f>HYPERLINK("proteomic_fractions_linear_files/Yang_linear_img/42475542.jpg", "42475542")</f>
        <v>42475542</v>
      </c>
      <c r="C5349" s="3" t="str">
        <f>HYPERLINK("http://www.ncbi.nlm.nih.gov/protein/42475542","Pde4c")</f>
        <v>Pde4c</v>
      </c>
      <c r="E5349" t="str">
        <f>HYPERLINK("J:\Depot - mpkCCD Fractions\Main Web Page\Web Pages_old\proteomic_fractions_linear_files/Yang_linear_img/42475542.jpg","show blot")</f>
        <v>show blot</v>
      </c>
      <c r="G5349" t="s">
        <v>5143</v>
      </c>
      <c r="I5349" s="6">
        <v>3.7340431603103035</v>
      </c>
      <c r="K5349" s="8"/>
    </row>
    <row r="5350" spans="1:11" ht="15" x14ac:dyDescent="0.25">
      <c r="A5350" s="3" t="str">
        <f>HYPERLINK("proteomic_fractions_linear_files/Yang_linear_img/158749578.jpg", "158749578")</f>
        <v>158749578</v>
      </c>
      <c r="C5350" s="3" t="str">
        <f>HYPERLINK("http://www.ncbi.nlm.nih.gov/protein/158749578","Pde4dip")</f>
        <v>Pde4dip</v>
      </c>
      <c r="E5350" t="str">
        <f>HYPERLINK("J:\Depot - mpkCCD Fractions\Main Web Page\Web Pages_old\proteomic_fractions_linear_files/Yang_linear_img/158749578.jpg","show blot")</f>
        <v>show blot</v>
      </c>
      <c r="G5350" t="s">
        <v>5144</v>
      </c>
      <c r="I5350" s="6">
        <v>2.7941820652214919</v>
      </c>
      <c r="K5350" s="8"/>
    </row>
    <row r="5351" spans="1:11" ht="15" x14ac:dyDescent="0.25">
      <c r="A5351" s="3" t="str">
        <f>HYPERLINK("proteomic_fractions_linear_files/Yang_linear_img/158749580.jpg", "158749580")</f>
        <v>158749580</v>
      </c>
      <c r="C5351" s="3" t="str">
        <f>HYPERLINK("http://www.ncbi.nlm.nih.gov/protein/158749580","Pde4dip")</f>
        <v>Pde4dip</v>
      </c>
      <c r="E5351" t="str">
        <f>HYPERLINK("J:\Depot - mpkCCD Fractions\Main Web Page\Web Pages_old\proteomic_fractions_linear_files/Yang_linear_img/158749580.jpg","show blot")</f>
        <v>show blot</v>
      </c>
      <c r="G5351" t="s">
        <v>5145</v>
      </c>
      <c r="I5351" s="6">
        <v>2.7941820652214919</v>
      </c>
      <c r="K5351" s="8"/>
    </row>
    <row r="5352" spans="1:11" ht="15" x14ac:dyDescent="0.25">
      <c r="A5352" s="3" t="str">
        <f>HYPERLINK("proteomic_fractions_linear_files/Yang_linear_img/31542051.jpg", "31542051")</f>
        <v>31542051</v>
      </c>
      <c r="C5352" s="3" t="str">
        <f>HYPERLINK("http://www.ncbi.nlm.nih.gov/protein/31542051","Pde4dip")</f>
        <v>Pde4dip</v>
      </c>
      <c r="E5352" t="str">
        <f>HYPERLINK("J:\Depot - mpkCCD Fractions\Main Web Page\Web Pages_old\proteomic_fractions_linear_files/Yang_linear_img/31542051.jpg","show blot")</f>
        <v>show blot</v>
      </c>
      <c r="G5352" t="s">
        <v>5146</v>
      </c>
      <c r="I5352" s="6">
        <v>2.7941820652214919</v>
      </c>
      <c r="K5352" s="8"/>
    </row>
    <row r="5353" spans="1:11" ht="15" x14ac:dyDescent="0.25">
      <c r="A5353" s="3" t="str">
        <f>HYPERLINK("proteomic_fractions_linear_files/Yang_linear_img/6679245.jpg", "6679245")</f>
        <v>6679245</v>
      </c>
      <c r="C5353" s="3" t="str">
        <f>HYPERLINK("http://www.ncbi.nlm.nih.gov/protein/6679245","Pde6d")</f>
        <v>Pde6d</v>
      </c>
      <c r="E5353" t="str">
        <f>HYPERLINK("J:\Depot - mpkCCD Fractions\Main Web Page\Web Pages_old\proteomic_fractions_linear_files/Yang_linear_img/6679245.jpg","show blot")</f>
        <v>show blot</v>
      </c>
      <c r="G5353" t="s">
        <v>5147</v>
      </c>
      <c r="I5353" s="6">
        <v>5.0377143707860093</v>
      </c>
      <c r="K5353" s="8"/>
    </row>
    <row r="5354" spans="1:11" ht="15" x14ac:dyDescent="0.25">
      <c r="A5354" s="3" t="str">
        <f>HYPERLINK("proteomic_fractions_linear_files/Yang_linear_img/170295853.jpg", "170295853")</f>
        <v>170295853</v>
      </c>
      <c r="C5354" s="3" t="str">
        <f>HYPERLINK("http://www.ncbi.nlm.nih.gov/protein/170295853","Pde7a")</f>
        <v>Pde7a</v>
      </c>
      <c r="E5354" t="str">
        <f>HYPERLINK("J:\Depot - mpkCCD Fractions\Main Web Page\Web Pages_old\proteomic_fractions_linear_files/Yang_linear_img/170295853.jpg","show blot")</f>
        <v>show blot</v>
      </c>
      <c r="G5354" t="s">
        <v>5148</v>
      </c>
      <c r="I5354" s="6">
        <v>3.4463838306439087</v>
      </c>
      <c r="K5354" s="8"/>
    </row>
    <row r="5355" spans="1:11" ht="15" x14ac:dyDescent="0.25">
      <c r="A5355" s="3" t="str">
        <f>HYPERLINK("proteomic_fractions_linear_files/Yang_linear_img/170295857.jpg", "170295857")</f>
        <v>170295857</v>
      </c>
      <c r="C5355" s="3" t="str">
        <f>HYPERLINK("http://www.ncbi.nlm.nih.gov/protein/170295857","Pde7a")</f>
        <v>Pde7a</v>
      </c>
      <c r="E5355" t="str">
        <f>HYPERLINK("J:\Depot - mpkCCD Fractions\Main Web Page\Web Pages_old\proteomic_fractions_linear_files/Yang_linear_img/170295857.jpg","show blot")</f>
        <v>show blot</v>
      </c>
      <c r="G5355" t="s">
        <v>5149</v>
      </c>
      <c r="I5355" s="6">
        <v>3.4463838306439087</v>
      </c>
      <c r="K5355" s="8"/>
    </row>
    <row r="5356" spans="1:11" ht="15" x14ac:dyDescent="0.25">
      <c r="A5356" s="3" t="str">
        <f>HYPERLINK("proteomic_fractions_linear_files/Yang_linear_img/255003823.jpg", "255003823")</f>
        <v>255003823</v>
      </c>
      <c r="C5356" s="3" t="str">
        <f>HYPERLINK("http://www.ncbi.nlm.nih.gov/protein/255003823","Pdf")</f>
        <v>Pdf</v>
      </c>
      <c r="E5356" t="str">
        <f>HYPERLINK("J:\Depot - mpkCCD Fractions\Main Web Page\Web Pages_old\proteomic_fractions_linear_files/Yang_linear_img/255003823.jpg","show blot")</f>
        <v>show blot</v>
      </c>
      <c r="G5356" t="s">
        <v>5150</v>
      </c>
      <c r="I5356" s="6">
        <v>3.8954901887437314</v>
      </c>
      <c r="K5356" s="8"/>
    </row>
    <row r="5357" spans="1:11" ht="15" x14ac:dyDescent="0.25">
      <c r="A5357" s="3" t="str">
        <f>HYPERLINK("proteomic_fractions_linear_files/Yang_linear_img/134032050.jpg", "134032050")</f>
        <v>134032050</v>
      </c>
      <c r="C5357" s="3" t="str">
        <f>HYPERLINK("http://www.ncbi.nlm.nih.gov/protein/134032050","Pdgfra")</f>
        <v>Pdgfra</v>
      </c>
      <c r="E5357" t="str">
        <f>HYPERLINK("J:\Depot - mpkCCD Fractions\Main Web Page\Web Pages_old\proteomic_fractions_linear_files/Yang_linear_img/134032050.jpg","show blot")</f>
        <v>show blot</v>
      </c>
      <c r="G5357" t="s">
        <v>5151</v>
      </c>
      <c r="I5357" s="6">
        <v>5.2995531286546731</v>
      </c>
      <c r="K5357" s="8"/>
    </row>
    <row r="5358" spans="1:11" ht="15" x14ac:dyDescent="0.25">
      <c r="A5358" s="3" t="str">
        <f>HYPERLINK("proteomic_fractions_linear_files/Yang_linear_img/226342982.jpg", "226342982")</f>
        <v>226342982</v>
      </c>
      <c r="C5358" s="3" t="str">
        <f>HYPERLINK("http://www.ncbi.nlm.nih.gov/protein/226342982","Pdgfrb")</f>
        <v>Pdgfrb</v>
      </c>
      <c r="E5358" t="str">
        <f>HYPERLINK("J:\Depot - mpkCCD Fractions\Main Web Page\Web Pages_old\proteomic_fractions_linear_files/Yang_linear_img/226342982.jpg","show blot")</f>
        <v>show blot</v>
      </c>
      <c r="G5358" t="s">
        <v>5152</v>
      </c>
      <c r="I5358" s="6">
        <v>5.2995531286546731</v>
      </c>
      <c r="K5358" s="8"/>
    </row>
    <row r="5359" spans="1:11" ht="15" x14ac:dyDescent="0.25">
      <c r="A5359" s="3" t="str">
        <f>HYPERLINK("proteomic_fractions_linear_files/Yang_linear_img/226371752.jpg", "226371752")</f>
        <v>226371752</v>
      </c>
      <c r="C5359" s="3" t="str">
        <f>HYPERLINK("http://www.ncbi.nlm.nih.gov/protein/226371752","Pdgfrb")</f>
        <v>Pdgfrb</v>
      </c>
      <c r="E5359" t="str">
        <f>HYPERLINK("J:\Depot - mpkCCD Fractions\Main Web Page\Web Pages_old\proteomic_fractions_linear_files/Yang_linear_img/226371752.jpg","show blot")</f>
        <v>show blot</v>
      </c>
      <c r="G5359" t="s">
        <v>5153</v>
      </c>
      <c r="I5359" s="6">
        <v>5.2995531286546731</v>
      </c>
      <c r="K5359" s="8"/>
    </row>
    <row r="5360" spans="1:11" ht="15" x14ac:dyDescent="0.25">
      <c r="A5360" s="3" t="str">
        <f>HYPERLINK("proteomic_fractions_linear_files/Yang_linear_img/6679261.jpg", "6679261")</f>
        <v>6679261</v>
      </c>
      <c r="C5360" s="3" t="str">
        <f>HYPERLINK("http://www.ncbi.nlm.nih.gov/protein/6679261","Pdha1")</f>
        <v>Pdha1</v>
      </c>
      <c r="E5360" t="str">
        <f>HYPERLINK("J:\Depot - mpkCCD Fractions\Main Web Page\Web Pages_old\proteomic_fractions_linear_files/Yang_linear_img/6679261.jpg","show blot")</f>
        <v>show blot</v>
      </c>
      <c r="G5360" t="s">
        <v>5154</v>
      </c>
      <c r="I5360" s="6">
        <v>5.6282884975528917</v>
      </c>
      <c r="K5360" s="8"/>
    </row>
    <row r="5361" spans="1:11" ht="15" x14ac:dyDescent="0.25">
      <c r="A5361" s="3" t="str">
        <f>HYPERLINK("proteomic_fractions_linear_files/Yang_linear_img/6679263.jpg", "6679263")</f>
        <v>6679263</v>
      </c>
      <c r="C5361" s="3" t="str">
        <f>HYPERLINK("http://www.ncbi.nlm.nih.gov/protein/6679263","Pdha2")</f>
        <v>Pdha2</v>
      </c>
      <c r="E5361" t="str">
        <f>HYPERLINK("J:\Depot - mpkCCD Fractions\Main Web Page\Web Pages_old\proteomic_fractions_linear_files/Yang_linear_img/6679263.jpg","show blot")</f>
        <v>show blot</v>
      </c>
      <c r="G5361" t="s">
        <v>5155</v>
      </c>
      <c r="I5361" s="6">
        <v>4.2543926703958359</v>
      </c>
      <c r="K5361" s="8"/>
    </row>
    <row r="5362" spans="1:11" ht="15" x14ac:dyDescent="0.25">
      <c r="A5362" s="3" t="str">
        <f>HYPERLINK("proteomic_fractions_linear_files/Yang_linear_img/18152793.jpg", "18152793")</f>
        <v>18152793</v>
      </c>
      <c r="C5362" s="3" t="str">
        <f>HYPERLINK("http://www.ncbi.nlm.nih.gov/protein/18152793","Pdhb")</f>
        <v>Pdhb</v>
      </c>
      <c r="E5362" t="str">
        <f>HYPERLINK("J:\Depot - mpkCCD Fractions\Main Web Page\Web Pages_old\proteomic_fractions_linear_files/Yang_linear_img/18152793.jpg","show blot")</f>
        <v>show blot</v>
      </c>
      <c r="G5362" t="s">
        <v>5156</v>
      </c>
      <c r="I5362" s="6">
        <v>5.7759180287408576</v>
      </c>
      <c r="K5362" s="8"/>
    </row>
    <row r="5363" spans="1:11" ht="15" x14ac:dyDescent="0.25">
      <c r="A5363" s="3" t="str">
        <f>HYPERLINK("proteomic_fractions_linear_files/Yang_linear_img/28201978.jpg", "28201978")</f>
        <v>28201978</v>
      </c>
      <c r="C5363" s="3" t="str">
        <f>HYPERLINK("http://www.ncbi.nlm.nih.gov/protein/28201978","Pdhx")</f>
        <v>Pdhx</v>
      </c>
      <c r="E5363" t="str">
        <f>HYPERLINK("J:\Depot - mpkCCD Fractions\Main Web Page\Web Pages_old\proteomic_fractions_linear_files/Yang_linear_img/28201978.jpg","show blot")</f>
        <v>show blot</v>
      </c>
      <c r="G5363" t="s">
        <v>5157</v>
      </c>
      <c r="I5363" s="6">
        <v>4.590243930007472</v>
      </c>
      <c r="K5363" s="8"/>
    </row>
    <row r="5364" spans="1:11" ht="15" x14ac:dyDescent="0.25">
      <c r="A5364" s="3" t="str">
        <f>HYPERLINK("proteomic_fractions_linear_files/Yang_linear_img/112293264.jpg", "112293264")</f>
        <v>112293264</v>
      </c>
      <c r="C5364" s="3" t="str">
        <f>HYPERLINK("http://www.ncbi.nlm.nih.gov/protein/112293264","Pdia3")</f>
        <v>Pdia3</v>
      </c>
      <c r="E5364" t="str">
        <f>HYPERLINK("J:\Depot - mpkCCD Fractions\Main Web Page\Web Pages_old\proteomic_fractions_linear_files/Yang_linear_img/112293264.jpg","show blot")</f>
        <v>show blot</v>
      </c>
      <c r="G5364" t="s">
        <v>5158</v>
      </c>
      <c r="I5364" s="6">
        <v>6.8112664493379569</v>
      </c>
      <c r="K5364" s="8"/>
    </row>
    <row r="5365" spans="1:11" ht="15" x14ac:dyDescent="0.25">
      <c r="A5365" s="3" t="str">
        <f>HYPERLINK("proteomic_fractions_linear_files/Yang_linear_img/86198316.jpg", "86198316")</f>
        <v>86198316</v>
      </c>
      <c r="C5365" s="3" t="str">
        <f>HYPERLINK("http://www.ncbi.nlm.nih.gov/protein/86198316","Pdia4")</f>
        <v>Pdia4</v>
      </c>
      <c r="E5365" t="str">
        <f>HYPERLINK("J:\Depot - mpkCCD Fractions\Main Web Page\Web Pages_old\proteomic_fractions_linear_files/Yang_linear_img/86198316.jpg","show blot")</f>
        <v>show blot</v>
      </c>
      <c r="G5365" t="s">
        <v>5159</v>
      </c>
      <c r="I5365" s="6">
        <v>5.8773506168943195</v>
      </c>
      <c r="K5365" s="8"/>
    </row>
    <row r="5366" spans="1:11" ht="15" x14ac:dyDescent="0.25">
      <c r="A5366" s="3" t="str">
        <f>HYPERLINK("proteomic_fractions_linear_files/Yang_linear_img/30794140.jpg", "30794140")</f>
        <v>30794140</v>
      </c>
      <c r="C5366" s="3" t="str">
        <f>HYPERLINK("http://www.ncbi.nlm.nih.gov/protein/30794140","Pdia5")</f>
        <v>Pdia5</v>
      </c>
      <c r="E5366" t="str">
        <f>HYPERLINK("J:\Depot - mpkCCD Fractions\Main Web Page\Web Pages_old\proteomic_fractions_linear_files/Yang_linear_img/30794140.jpg","show blot")</f>
        <v>show blot</v>
      </c>
      <c r="G5366" t="s">
        <v>5160</v>
      </c>
      <c r="I5366" s="6">
        <v>2.7250533362749905</v>
      </c>
      <c r="K5366" s="8"/>
    </row>
    <row r="5367" spans="1:11" ht="15" x14ac:dyDescent="0.25">
      <c r="A5367" s="3" t="str">
        <f>HYPERLINK("proteomic_fractions_linear_files/Yang_linear_img/377833208.jpg", "377833208")</f>
        <v>377833208</v>
      </c>
      <c r="C5367" s="3" t="str">
        <f>HYPERLINK("http://www.ncbi.nlm.nih.gov/protein/377833208","Pdia6")</f>
        <v>Pdia6</v>
      </c>
      <c r="E5367" t="str">
        <f>HYPERLINK("J:\Depot - mpkCCD Fractions\Main Web Page\Web Pages_old\proteomic_fractions_linear_files/Yang_linear_img/377833208.jpg","show blot")</f>
        <v>show blot</v>
      </c>
      <c r="G5367" t="s">
        <v>5161</v>
      </c>
      <c r="I5367" s="6">
        <v>6.4544116177345989</v>
      </c>
      <c r="K5367" s="8"/>
    </row>
    <row r="5368" spans="1:11" ht="15" x14ac:dyDescent="0.25">
      <c r="A5368" s="3" t="str">
        <f>HYPERLINK("proteomic_fractions_linear_files/Yang_linear_img/58037267.jpg", "58037267")</f>
        <v>58037267</v>
      </c>
      <c r="C5368" s="3" t="str">
        <f>HYPERLINK("http://www.ncbi.nlm.nih.gov/protein/58037267","Pdia6")</f>
        <v>Pdia6</v>
      </c>
      <c r="E5368" t="str">
        <f>HYPERLINK("J:\Depot - mpkCCD Fractions\Main Web Page\Web Pages_old\proteomic_fractions_linear_files/Yang_linear_img/58037267.jpg","show blot")</f>
        <v>show blot</v>
      </c>
      <c r="G5368" t="s">
        <v>5162</v>
      </c>
      <c r="I5368" s="6">
        <v>6.4544116177345989</v>
      </c>
      <c r="K5368" s="8"/>
    </row>
    <row r="5369" spans="1:11" ht="15" x14ac:dyDescent="0.25">
      <c r="A5369" s="3" t="str">
        <f>HYPERLINK("proteomic_fractions_linear_files/Yang_linear_img/110625975.jpg", "110625975")</f>
        <v>110625975</v>
      </c>
      <c r="C5369" s="3" t="str">
        <f>HYPERLINK("http://www.ncbi.nlm.nih.gov/protein/110625975","Pdk1")</f>
        <v>Pdk1</v>
      </c>
      <c r="E5369" t="str">
        <f>HYPERLINK("J:\Depot - mpkCCD Fractions\Main Web Page\Web Pages_old\proteomic_fractions_linear_files/Yang_linear_img/110625975.jpg","show blot")</f>
        <v>show blot</v>
      </c>
      <c r="G5369" t="s">
        <v>5163</v>
      </c>
      <c r="I5369" s="6">
        <v>5.2864391136747058</v>
      </c>
      <c r="K5369" s="8"/>
    </row>
    <row r="5370" spans="1:11" ht="15" x14ac:dyDescent="0.25">
      <c r="A5370" s="3" t="str">
        <f>HYPERLINK("proteomic_fractions_linear_files/Yang_linear_img/226958643.jpg", "226958643")</f>
        <v>226958643</v>
      </c>
      <c r="C5370" s="3" t="str">
        <f>HYPERLINK("http://www.ncbi.nlm.nih.gov/protein/226958643","Pdk2")</f>
        <v>Pdk2</v>
      </c>
      <c r="E5370" t="str">
        <f>HYPERLINK("J:\Depot - mpkCCD Fractions\Main Web Page\Web Pages_old\proteomic_fractions_linear_files/Yang_linear_img/226958643.jpg","show blot")</f>
        <v>show blot</v>
      </c>
      <c r="G5370" t="s">
        <v>5164</v>
      </c>
      <c r="I5370" s="6">
        <v>2.6135514287986696</v>
      </c>
      <c r="K5370" s="8"/>
    </row>
    <row r="5371" spans="1:11" ht="15" x14ac:dyDescent="0.25">
      <c r="A5371" s="3" t="str">
        <f>HYPERLINK("proteomic_fractions_linear_files/Yang_linear_img/21704122.jpg", "21704122")</f>
        <v>21704122</v>
      </c>
      <c r="C5371" s="3" t="str">
        <f>HYPERLINK("http://www.ncbi.nlm.nih.gov/protein/21704122","Pdk3")</f>
        <v>Pdk3</v>
      </c>
      <c r="E5371" t="str">
        <f>HYPERLINK("J:\Depot - mpkCCD Fractions\Main Web Page\Web Pages_old\proteomic_fractions_linear_files/Yang_linear_img/21704122.jpg","show blot")</f>
        <v>show blot</v>
      </c>
      <c r="G5371" t="s">
        <v>5165</v>
      </c>
      <c r="I5371" s="6">
        <v>4.6635142414637771</v>
      </c>
      <c r="K5371" s="8"/>
    </row>
    <row r="5372" spans="1:11" ht="15" x14ac:dyDescent="0.25">
      <c r="A5372" s="3" t="str">
        <f>HYPERLINK("proteomic_fractions_linear_files/Yang_linear_img/158635992.jpg", "158635992")</f>
        <v>158635992</v>
      </c>
      <c r="C5372" s="3" t="str">
        <f>HYPERLINK("http://www.ncbi.nlm.nih.gov/protein/158635992","Pdlim1")</f>
        <v>Pdlim1</v>
      </c>
      <c r="E5372" t="str">
        <f>HYPERLINK("J:\Depot - mpkCCD Fractions\Main Web Page\Web Pages_old\proteomic_fractions_linear_files/Yang_linear_img/158635992.jpg","show blot")</f>
        <v>show blot</v>
      </c>
      <c r="G5372" t="s">
        <v>5166</v>
      </c>
      <c r="I5372" s="6">
        <v>5.7904677434435854</v>
      </c>
      <c r="K5372" s="8"/>
    </row>
    <row r="5373" spans="1:11" ht="15" x14ac:dyDescent="0.25">
      <c r="A5373" s="3" t="str">
        <f>HYPERLINK("proteomic_fractions_linear_files/Yang_linear_img/22122423.jpg", "22122423")</f>
        <v>22122423</v>
      </c>
      <c r="C5373" s="3" t="str">
        <f>HYPERLINK("http://www.ncbi.nlm.nih.gov/protein/22122423","Pdlim2")</f>
        <v>Pdlim2</v>
      </c>
      <c r="E5373" t="str">
        <f>HYPERLINK("J:\Depot - mpkCCD Fractions\Main Web Page\Web Pages_old\proteomic_fractions_linear_files/Yang_linear_img/22122423.jpg","show blot")</f>
        <v>show blot</v>
      </c>
      <c r="G5373" t="s">
        <v>5167</v>
      </c>
      <c r="I5373" s="6">
        <v>4.2830409417551385</v>
      </c>
      <c r="K5373" s="8"/>
    </row>
    <row r="5374" spans="1:11" ht="15" x14ac:dyDescent="0.25">
      <c r="A5374" s="3" t="str">
        <f>HYPERLINK("proteomic_fractions_linear_files/Yang_linear_img/170650625.jpg", "170650625")</f>
        <v>170650625</v>
      </c>
      <c r="C5374" s="3" t="str">
        <f>HYPERLINK("http://www.ncbi.nlm.nih.gov/protein/170650625","Pdlim5")</f>
        <v>Pdlim5</v>
      </c>
      <c r="E5374" t="str">
        <f>HYPERLINK("J:\Depot - mpkCCD Fractions\Main Web Page\Web Pages_old\proteomic_fractions_linear_files/Yang_linear_img/170650625.jpg","show blot")</f>
        <v>show blot</v>
      </c>
      <c r="G5374" t="s">
        <v>5168</v>
      </c>
      <c r="I5374" s="6">
        <v>5.9502013698241836</v>
      </c>
      <c r="K5374" s="8"/>
    </row>
    <row r="5375" spans="1:11" ht="15" x14ac:dyDescent="0.25">
      <c r="A5375" s="3" t="str">
        <f>HYPERLINK("proteomic_fractions_linear_files/Yang_linear_img/170650627.jpg", "170650627")</f>
        <v>170650627</v>
      </c>
      <c r="C5375" s="3" t="str">
        <f>HYPERLINK("http://www.ncbi.nlm.nih.gov/protein/170650627","Pdlim5")</f>
        <v>Pdlim5</v>
      </c>
      <c r="E5375" t="str">
        <f>HYPERLINK("J:\Depot - mpkCCD Fractions\Main Web Page\Web Pages_old\proteomic_fractions_linear_files/Yang_linear_img/170650627.jpg","show blot")</f>
        <v>show blot</v>
      </c>
      <c r="G5375" t="s">
        <v>5169</v>
      </c>
      <c r="I5375" s="6">
        <v>5.9502013698241836</v>
      </c>
      <c r="K5375" s="8"/>
    </row>
    <row r="5376" spans="1:11" ht="15" x14ac:dyDescent="0.25">
      <c r="A5376" s="3" t="str">
        <f>HYPERLINK("proteomic_fractions_linear_files/Yang_linear_img/300069034.jpg", "300069034")</f>
        <v>300069034</v>
      </c>
      <c r="C5376" s="3" t="str">
        <f>HYPERLINK("http://www.ncbi.nlm.nih.gov/protein/300069034","Pdlim5")</f>
        <v>Pdlim5</v>
      </c>
      <c r="E5376" t="str">
        <f>HYPERLINK("J:\Depot - mpkCCD Fractions\Main Web Page\Web Pages_old\proteomic_fractions_linear_files/Yang_linear_img/300069034.jpg","show blot")</f>
        <v>show blot</v>
      </c>
      <c r="G5376" t="s">
        <v>5170</v>
      </c>
      <c r="I5376" s="6">
        <v>5.9502013698241836</v>
      </c>
      <c r="K5376" s="8"/>
    </row>
    <row r="5377" spans="1:11" ht="15" x14ac:dyDescent="0.25">
      <c r="A5377" s="3" t="str">
        <f>HYPERLINK("proteomic_fractions_linear_files/Yang_linear_img/300069043.jpg", "300069043")</f>
        <v>300069043</v>
      </c>
      <c r="C5377" s="3" t="str">
        <f>HYPERLINK("http://www.ncbi.nlm.nih.gov/protein/300069043","Pdlim5")</f>
        <v>Pdlim5</v>
      </c>
      <c r="E5377" t="str">
        <f>HYPERLINK("J:\Depot - mpkCCD Fractions\Main Web Page\Web Pages_old\proteomic_fractions_linear_files/Yang_linear_img/300069043.jpg","show blot")</f>
        <v>show blot</v>
      </c>
      <c r="G5377" t="s">
        <v>5171</v>
      </c>
      <c r="I5377" s="6">
        <v>5.9502013698241836</v>
      </c>
      <c r="K5377" s="8"/>
    </row>
    <row r="5378" spans="1:11" ht="15" x14ac:dyDescent="0.25">
      <c r="A5378" s="3" t="str">
        <f>HYPERLINK("proteomic_fractions_linear_files/Yang_linear_img/170650623.jpg", "170650623")</f>
        <v>170650623</v>
      </c>
      <c r="C5378" s="3" t="str">
        <f>HYPERLINK("http://www.ncbi.nlm.nih.gov/protein/170650623","Pdlim5")</f>
        <v>Pdlim5</v>
      </c>
      <c r="E5378" t="str">
        <f>HYPERLINK("J:\Depot - mpkCCD Fractions\Main Web Page\Web Pages_old\proteomic_fractions_linear_files/Yang_linear_img/170650623.jpg","show blot")</f>
        <v>show blot</v>
      </c>
      <c r="G5378" t="s">
        <v>5172</v>
      </c>
      <c r="I5378" s="6">
        <v>5.9502013698241836</v>
      </c>
      <c r="K5378" s="8"/>
    </row>
    <row r="5379" spans="1:11" ht="15" x14ac:dyDescent="0.25">
      <c r="A5379" s="3" t="str">
        <f>HYPERLINK("proteomic_fractions_linear_files/Yang_linear_img/300069024.jpg", "300069024")</f>
        <v>300069024</v>
      </c>
      <c r="C5379" s="3" t="str">
        <f>HYPERLINK("http://www.ncbi.nlm.nih.gov/protein/300069024","Pdlim5")</f>
        <v>Pdlim5</v>
      </c>
      <c r="E5379" t="str">
        <f>HYPERLINK("J:\Depot - mpkCCD Fractions\Main Web Page\Web Pages_old\proteomic_fractions_linear_files/Yang_linear_img/300069024.jpg","show blot")</f>
        <v>show blot</v>
      </c>
      <c r="G5379" t="s">
        <v>5173</v>
      </c>
      <c r="I5379" s="6">
        <v>5.9502013698241836</v>
      </c>
      <c r="K5379" s="8"/>
    </row>
    <row r="5380" spans="1:11" ht="15" x14ac:dyDescent="0.25">
      <c r="A5380" s="3" t="str">
        <f>HYPERLINK("proteomic_fractions_linear_files/Yang_linear_img/300069036.jpg", "300069036")</f>
        <v>300069036</v>
      </c>
      <c r="C5380" s="3" t="str">
        <f>HYPERLINK("http://www.ncbi.nlm.nih.gov/protein/300069036","Pdlim5")</f>
        <v>Pdlim5</v>
      </c>
      <c r="E5380" t="str">
        <f>HYPERLINK("J:\Depot - mpkCCD Fractions\Main Web Page\Web Pages_old\proteomic_fractions_linear_files/Yang_linear_img/300069036.jpg","show blot")</f>
        <v>show blot</v>
      </c>
      <c r="G5380" t="s">
        <v>5174</v>
      </c>
      <c r="I5380" s="6">
        <v>5.9502013698241836</v>
      </c>
      <c r="K5380" s="8"/>
    </row>
    <row r="5381" spans="1:11" ht="15" x14ac:dyDescent="0.25">
      <c r="A5381" s="3" t="str">
        <f>HYPERLINK("proteomic_fractions_linear_files/Yang_linear_img/300069038.jpg", "300069038")</f>
        <v>300069038</v>
      </c>
      <c r="C5381" s="3" t="str">
        <f>HYPERLINK("http://www.ncbi.nlm.nih.gov/protein/300069038","Pdlim5")</f>
        <v>Pdlim5</v>
      </c>
      <c r="E5381" t="str">
        <f>HYPERLINK("J:\Depot - mpkCCD Fractions\Main Web Page\Web Pages_old\proteomic_fractions_linear_files/Yang_linear_img/300069038.jpg","show blot")</f>
        <v>show blot</v>
      </c>
      <c r="G5381" t="s">
        <v>5175</v>
      </c>
      <c r="I5381" s="6">
        <v>5.9502013698241836</v>
      </c>
      <c r="K5381" s="8"/>
    </row>
    <row r="5382" spans="1:11" ht="15" x14ac:dyDescent="0.25">
      <c r="A5382" s="3" t="str">
        <f>HYPERLINK("proteomic_fractions_linear_files/Yang_linear_img/300069041.jpg", "300069041")</f>
        <v>300069041</v>
      </c>
      <c r="C5382" s="3" t="str">
        <f>HYPERLINK("http://www.ncbi.nlm.nih.gov/protein/300069041","Pdlim5")</f>
        <v>Pdlim5</v>
      </c>
      <c r="E5382" t="str">
        <f>HYPERLINK("J:\Depot - mpkCCD Fractions\Main Web Page\Web Pages_old\proteomic_fractions_linear_files/Yang_linear_img/300069041.jpg","show blot")</f>
        <v>show blot</v>
      </c>
      <c r="G5382" t="s">
        <v>5176</v>
      </c>
      <c r="I5382" s="6">
        <v>5.9502013698241836</v>
      </c>
      <c r="K5382" s="8"/>
    </row>
    <row r="5383" spans="1:11" ht="15" x14ac:dyDescent="0.25">
      <c r="A5383" s="3" t="str">
        <f>HYPERLINK("proteomic_fractions_linear_files/Yang_linear_img/166197677.jpg", "166197677")</f>
        <v>166197677</v>
      </c>
      <c r="C5383" s="3" t="str">
        <f>HYPERLINK("http://www.ncbi.nlm.nih.gov/protein/166197677","Pdlim7")</f>
        <v>Pdlim7</v>
      </c>
      <c r="E5383" t="str">
        <f>HYPERLINK("J:\Depot - mpkCCD Fractions\Main Web Page\Web Pages_old\proteomic_fractions_linear_files/Yang_linear_img/166197677.jpg","show blot")</f>
        <v>show blot</v>
      </c>
      <c r="G5383" t="s">
        <v>5177</v>
      </c>
      <c r="I5383" s="6">
        <v>4.7014203565829389</v>
      </c>
      <c r="K5383" s="8"/>
    </row>
    <row r="5384" spans="1:11" ht="15" x14ac:dyDescent="0.25">
      <c r="A5384" s="3" t="str">
        <f>HYPERLINK("proteomic_fractions_linear_files/Yang_linear_img/166197679.jpg", "166197679")</f>
        <v>166197679</v>
      </c>
      <c r="C5384" s="3" t="str">
        <f>HYPERLINK("http://www.ncbi.nlm.nih.gov/protein/166197679","Pdlim7")</f>
        <v>Pdlim7</v>
      </c>
      <c r="E5384" t="str">
        <f>HYPERLINK("J:\Depot - mpkCCD Fractions\Main Web Page\Web Pages_old\proteomic_fractions_linear_files/Yang_linear_img/166197679.jpg","show blot")</f>
        <v>show blot</v>
      </c>
      <c r="G5384" t="s">
        <v>5178</v>
      </c>
      <c r="I5384" s="6">
        <v>4.7014203565829389</v>
      </c>
      <c r="K5384" s="8"/>
    </row>
    <row r="5385" spans="1:11" ht="15" x14ac:dyDescent="0.25">
      <c r="A5385" s="3" t="str">
        <f>HYPERLINK("proteomic_fractions_linear_files/Yang_linear_img/166197681.jpg", "166197681")</f>
        <v>166197681</v>
      </c>
      <c r="C5385" s="3" t="str">
        <f>HYPERLINK("http://www.ncbi.nlm.nih.gov/protein/166197681","Pdlim7")</f>
        <v>Pdlim7</v>
      </c>
      <c r="E5385" t="str">
        <f>HYPERLINK("J:\Depot - mpkCCD Fractions\Main Web Page\Web Pages_old\proteomic_fractions_linear_files/Yang_linear_img/166197681.jpg","show blot")</f>
        <v>show blot</v>
      </c>
      <c r="G5385" t="s">
        <v>5179</v>
      </c>
      <c r="I5385" s="6">
        <v>4.7014203565829389</v>
      </c>
      <c r="K5385" s="8"/>
    </row>
    <row r="5386" spans="1:11" ht="15" x14ac:dyDescent="0.25">
      <c r="A5386" s="3" t="str">
        <f>HYPERLINK("proteomic_fractions_linear_files/Yang_linear_img/148277602.jpg", "148277602")</f>
        <v>148277602</v>
      </c>
      <c r="C5386" s="3" t="str">
        <f>HYPERLINK("http://www.ncbi.nlm.nih.gov/protein/148277602","Pdp1")</f>
        <v>Pdp1</v>
      </c>
      <c r="E5386" t="str">
        <f>HYPERLINK("J:\Depot - mpkCCD Fractions\Main Web Page\Web Pages_old\proteomic_fractions_linear_files/Yang_linear_img/148277602.jpg","show blot")</f>
        <v>show blot</v>
      </c>
      <c r="G5386" t="s">
        <v>5180</v>
      </c>
      <c r="I5386" s="6">
        <v>3.1509590653078616</v>
      </c>
      <c r="K5386" s="8"/>
    </row>
    <row r="5387" spans="1:11" ht="15" x14ac:dyDescent="0.25">
      <c r="A5387" s="3" t="str">
        <f>HYPERLINK("proteomic_fractions_linear_files/Yang_linear_img/148277650.jpg", "148277650")</f>
        <v>148277650</v>
      </c>
      <c r="C5387" s="3" t="str">
        <f>HYPERLINK("http://www.ncbi.nlm.nih.gov/protein/148277650","Pdp1")</f>
        <v>Pdp1</v>
      </c>
      <c r="E5387" t="str">
        <f>HYPERLINK("J:\Depot - mpkCCD Fractions\Main Web Page\Web Pages_old\proteomic_fractions_linear_files/Yang_linear_img/148277650.jpg","show blot")</f>
        <v>show blot</v>
      </c>
      <c r="G5387" t="s">
        <v>5181</v>
      </c>
      <c r="I5387" s="6">
        <v>3.1509590653078616</v>
      </c>
      <c r="K5387" s="8"/>
    </row>
    <row r="5388" spans="1:11" ht="15" x14ac:dyDescent="0.25">
      <c r="A5388" s="3" t="str">
        <f>HYPERLINK("proteomic_fractions_linear_files/Yang_linear_img/84794625.jpg", "84794625")</f>
        <v>84794625</v>
      </c>
      <c r="C5388" s="3" t="str">
        <f>HYPERLINK("http://www.ncbi.nlm.nih.gov/protein/84794625","Pdp1")</f>
        <v>Pdp1</v>
      </c>
      <c r="E5388" t="str">
        <f>HYPERLINK("J:\Depot - mpkCCD Fractions\Main Web Page\Web Pages_old\proteomic_fractions_linear_files/Yang_linear_img/84794625.jpg","show blot")</f>
        <v>show blot</v>
      </c>
      <c r="G5388" t="s">
        <v>5182</v>
      </c>
      <c r="I5388" s="6">
        <v>3.1509590653078616</v>
      </c>
      <c r="K5388" s="8"/>
    </row>
    <row r="5389" spans="1:11" ht="15" x14ac:dyDescent="0.25">
      <c r="A5389" s="3" t="str">
        <f>HYPERLINK("proteomic_fractions_linear_files/Yang_linear_img/124107594.jpg", "124107594")</f>
        <v>124107594</v>
      </c>
      <c r="C5389" s="3" t="str">
        <f>HYPERLINK("http://www.ncbi.nlm.nih.gov/protein/124107594","Pdpk1")</f>
        <v>Pdpk1</v>
      </c>
      <c r="E5389" t="str">
        <f>HYPERLINK("J:\Depot - mpkCCD Fractions\Main Web Page\Web Pages_old\proteomic_fractions_linear_files/Yang_linear_img/124107594.jpg","show blot")</f>
        <v>show blot</v>
      </c>
      <c r="G5389" t="s">
        <v>5183</v>
      </c>
      <c r="I5389" s="6">
        <v>4.0168235135694932</v>
      </c>
      <c r="K5389" s="8"/>
    </row>
    <row r="5390" spans="1:11" ht="15" x14ac:dyDescent="0.25">
      <c r="A5390" s="3" t="str">
        <f>HYPERLINK("proteomic_fractions_linear_files/Yang_linear_img/124107598.jpg", "124107598")</f>
        <v>124107598</v>
      </c>
      <c r="C5390" s="3" t="str">
        <f>HYPERLINK("http://www.ncbi.nlm.nih.gov/protein/124107598","Pdpk1")</f>
        <v>Pdpk1</v>
      </c>
      <c r="E5390" t="str">
        <f>HYPERLINK("J:\Depot - mpkCCD Fractions\Main Web Page\Web Pages_old\proteomic_fractions_linear_files/Yang_linear_img/124107598.jpg","show blot")</f>
        <v>show blot</v>
      </c>
      <c r="G5390" t="s">
        <v>5184</v>
      </c>
      <c r="I5390" s="6">
        <v>4.0168235135694932</v>
      </c>
      <c r="K5390" s="8"/>
    </row>
    <row r="5391" spans="1:11" ht="15" x14ac:dyDescent="0.25">
      <c r="A5391" s="3" t="str">
        <f>HYPERLINK("proteomic_fractions_linear_files/Yang_linear_img/38142488.jpg", "38142488")</f>
        <v>38142488</v>
      </c>
      <c r="C5391" s="3" t="str">
        <f>HYPERLINK("http://www.ncbi.nlm.nih.gov/protein/38142488","Pdpr")</f>
        <v>Pdpr</v>
      </c>
      <c r="E5391" t="str">
        <f>HYPERLINK("J:\Depot - mpkCCD Fractions\Main Web Page\Web Pages_old\proteomic_fractions_linear_files/Yang_linear_img/38142488.jpg","show blot")</f>
        <v>show blot</v>
      </c>
      <c r="G5391" t="s">
        <v>5185</v>
      </c>
      <c r="I5391" s="6">
        <v>3.2811617632746559</v>
      </c>
      <c r="K5391" s="8"/>
    </row>
    <row r="5392" spans="1:11" ht="15" x14ac:dyDescent="0.25">
      <c r="A5392" s="3" t="str">
        <f>HYPERLINK("proteomic_fractions_linear_files/Yang_linear_img/32490570.jpg", "32490570")</f>
        <v>32490570</v>
      </c>
      <c r="C5392" s="3" t="str">
        <f>HYPERLINK("http://www.ncbi.nlm.nih.gov/protein/32490570","Pdrg1")</f>
        <v>Pdrg1</v>
      </c>
      <c r="E5392" t="str">
        <f>HYPERLINK("J:\Depot - mpkCCD Fractions\Main Web Page\Web Pages_old\proteomic_fractions_linear_files/Yang_linear_img/32490570.jpg","show blot")</f>
        <v>show blot</v>
      </c>
      <c r="G5392" t="s">
        <v>5186</v>
      </c>
      <c r="I5392" s="6">
        <v>4.1198597921501152</v>
      </c>
      <c r="K5392" s="8"/>
    </row>
    <row r="5393" spans="1:11" ht="15" x14ac:dyDescent="0.25">
      <c r="A5393" s="3" t="str">
        <f>HYPERLINK("proteomic_fractions_linear_files/Yang_linear_img/124486765.jpg", "124486765")</f>
        <v>124486765</v>
      </c>
      <c r="C5393" s="3" t="str">
        <f>HYPERLINK("http://www.ncbi.nlm.nih.gov/protein/124486765","Pds5a")</f>
        <v>Pds5a</v>
      </c>
      <c r="E5393" t="str">
        <f>HYPERLINK("J:\Depot - mpkCCD Fractions\Main Web Page\Web Pages_old\proteomic_fractions_linear_files/Yang_linear_img/124486765.jpg","show blot")</f>
        <v>show blot</v>
      </c>
      <c r="G5393" t="s">
        <v>5187</v>
      </c>
      <c r="I5393" s="6">
        <v>4.2077469859995267</v>
      </c>
      <c r="K5393" s="8"/>
    </row>
    <row r="5394" spans="1:11" ht="15" x14ac:dyDescent="0.25">
      <c r="A5394" s="3" t="str">
        <f>HYPERLINK("proteomic_fractions_linear_files/Yang_linear_img/66955886.jpg", "66955886")</f>
        <v>66955886</v>
      </c>
      <c r="C5394" s="3" t="str">
        <f>HYPERLINK("http://www.ncbi.nlm.nih.gov/protein/66955886","Pds5b")</f>
        <v>Pds5b</v>
      </c>
      <c r="E5394" t="str">
        <f>HYPERLINK("J:\Depot - mpkCCD Fractions\Main Web Page\Web Pages_old\proteomic_fractions_linear_files/Yang_linear_img/66955886.jpg","show blot")</f>
        <v>show blot</v>
      </c>
      <c r="G5394" t="s">
        <v>5188</v>
      </c>
      <c r="I5394" s="6">
        <v>3.980524467808022</v>
      </c>
      <c r="K5394" s="8"/>
    </row>
    <row r="5395" spans="1:11" ht="15" x14ac:dyDescent="0.25">
      <c r="A5395" s="3" t="str">
        <f>HYPERLINK("proteomic_fractions_linear_files/Yang_linear_img/88758582.jpg", "88758582")</f>
        <v>88758582</v>
      </c>
      <c r="C5395" s="3" t="str">
        <f>HYPERLINK("http://www.ncbi.nlm.nih.gov/protein/88758582","Pdxdc1")</f>
        <v>Pdxdc1</v>
      </c>
      <c r="E5395" t="str">
        <f>HYPERLINK("J:\Depot - mpkCCD Fractions\Main Web Page\Web Pages_old\proteomic_fractions_linear_files/Yang_linear_img/88758582.jpg","show blot")</f>
        <v>show blot</v>
      </c>
      <c r="G5395" t="s">
        <v>5189</v>
      </c>
      <c r="I5395" s="6">
        <v>5.5159066679530868</v>
      </c>
      <c r="K5395" s="8"/>
    </row>
    <row r="5396" spans="1:11" ht="15" x14ac:dyDescent="0.25">
      <c r="A5396" s="3" t="str">
        <f>HYPERLINK("proteomic_fractions_linear_files/Yang_linear_img/88758584.jpg", "88758584")</f>
        <v>88758584</v>
      </c>
      <c r="C5396" s="3" t="str">
        <f>HYPERLINK("http://www.ncbi.nlm.nih.gov/protein/88758584","Pdxdc1")</f>
        <v>Pdxdc1</v>
      </c>
      <c r="E5396" t="str">
        <f>HYPERLINK("J:\Depot - mpkCCD Fractions\Main Web Page\Web Pages_old\proteomic_fractions_linear_files/Yang_linear_img/88758584.jpg","show blot")</f>
        <v>show blot</v>
      </c>
      <c r="G5396" t="s">
        <v>5190</v>
      </c>
      <c r="I5396" s="6">
        <v>5.5159066679530868</v>
      </c>
      <c r="K5396" s="8"/>
    </row>
    <row r="5397" spans="1:11" ht="15" x14ac:dyDescent="0.25">
      <c r="A5397" s="3" t="str">
        <f>HYPERLINK("proteomic_fractions_linear_files/Yang_linear_img/26006861.jpg", "26006861")</f>
        <v>26006861</v>
      </c>
      <c r="C5397" s="3" t="str">
        <f>HYPERLINK("http://www.ncbi.nlm.nih.gov/protein/26006861","Pdxk")</f>
        <v>Pdxk</v>
      </c>
      <c r="E5397" t="str">
        <f>HYPERLINK("J:\Depot - mpkCCD Fractions\Main Web Page\Web Pages_old\proteomic_fractions_linear_files/Yang_linear_img/26006861.jpg","show blot")</f>
        <v>show blot</v>
      </c>
      <c r="G5397" t="s">
        <v>5191</v>
      </c>
      <c r="I5397" s="6">
        <v>5.8337284677230778</v>
      </c>
      <c r="K5397" s="8"/>
    </row>
    <row r="5398" spans="1:11" ht="15" x14ac:dyDescent="0.25">
      <c r="A5398" s="3" t="str">
        <f>HYPERLINK("proteomic_fractions_linear_files/Yang_linear_img/21312244.jpg", "21312244")</f>
        <v>21312244</v>
      </c>
      <c r="C5398" s="3" t="str">
        <f>HYPERLINK("http://www.ncbi.nlm.nih.gov/protein/21312244","Pdzd11")</f>
        <v>Pdzd11</v>
      </c>
      <c r="E5398" t="str">
        <f>HYPERLINK("J:\Depot - mpkCCD Fractions\Main Web Page\Web Pages_old\proteomic_fractions_linear_files/Yang_linear_img/21312244.jpg","show blot")</f>
        <v>show blot</v>
      </c>
      <c r="G5398" t="s">
        <v>5192</v>
      </c>
      <c r="I5398" s="6">
        <v>3.7370830999726525</v>
      </c>
      <c r="K5398" s="8"/>
    </row>
    <row r="5399" spans="1:11" ht="15" x14ac:dyDescent="0.25">
      <c r="A5399" s="3" t="str">
        <f>HYPERLINK("proteomic_fractions_linear_files/Yang_linear_img/305682586.jpg", "305682586")</f>
        <v>305682586</v>
      </c>
      <c r="C5399" s="3" t="str">
        <f>HYPERLINK("http://www.ncbi.nlm.nih.gov/protein/305682586","Pdzd7")</f>
        <v>Pdzd7</v>
      </c>
      <c r="E5399" t="str">
        <f>HYPERLINK("J:\Depot - mpkCCD Fractions\Main Web Page\Web Pages_old\proteomic_fractions_linear_files/Yang_linear_img/305682586.jpg","show blot")</f>
        <v>show blot</v>
      </c>
      <c r="G5399" t="s">
        <v>5193</v>
      </c>
      <c r="I5399" s="6">
        <v>4.367038114506502</v>
      </c>
      <c r="K5399" s="8"/>
    </row>
    <row r="5400" spans="1:11" ht="15" x14ac:dyDescent="0.25">
      <c r="A5400" s="3" t="str">
        <f>HYPERLINK("proteomic_fractions_linear_files/Yang_linear_img/164698472.jpg", "164698472")</f>
        <v>164698472</v>
      </c>
      <c r="C5400" s="3" t="str">
        <f>HYPERLINK("http://www.ncbi.nlm.nih.gov/protein/164698472","Pdzd8")</f>
        <v>Pdzd8</v>
      </c>
      <c r="E5400" t="str">
        <f>HYPERLINK("J:\Depot - mpkCCD Fractions\Main Web Page\Web Pages_old\proteomic_fractions_linear_files/Yang_linear_img/164698472.jpg","show blot")</f>
        <v>show blot</v>
      </c>
      <c r="G5400" t="s">
        <v>5194</v>
      </c>
      <c r="I5400" s="6">
        <v>2.6454493234486702</v>
      </c>
      <c r="K5400" s="8"/>
    </row>
    <row r="5401" spans="1:11" ht="15" x14ac:dyDescent="0.25">
      <c r="A5401" s="3" t="str">
        <f>HYPERLINK("proteomic_fractions_linear_files/Yang_linear_img/13385522.jpg", "13385522")</f>
        <v>13385522</v>
      </c>
      <c r="C5401" s="3" t="str">
        <f>HYPERLINK("http://www.ncbi.nlm.nih.gov/protein/13385522","Pdzk1ip1")</f>
        <v>Pdzk1ip1</v>
      </c>
      <c r="E5401" t="str">
        <f>HYPERLINK("J:\Depot - mpkCCD Fractions\Main Web Page\Web Pages_old\proteomic_fractions_linear_files/Yang_linear_img/13385522.jpg","show blot")</f>
        <v>show blot</v>
      </c>
      <c r="G5401" t="s">
        <v>5195</v>
      </c>
      <c r="I5401" s="6">
        <v>5.1406929361493479</v>
      </c>
      <c r="K5401" s="8"/>
    </row>
    <row r="5402" spans="1:11" ht="15" x14ac:dyDescent="0.25">
      <c r="A5402" s="3" t="str">
        <f>HYPERLINK("proteomic_fractions_linear_files/Yang_linear_img/257095992.jpg", "257095992")</f>
        <v>257095992</v>
      </c>
      <c r="C5402" s="3" t="str">
        <f>HYPERLINK("http://www.ncbi.nlm.nih.gov/protein/257095992","Pdzk1ip1")</f>
        <v>Pdzk1ip1</v>
      </c>
      <c r="E5402" t="str">
        <f>HYPERLINK("J:\Depot - mpkCCD Fractions\Main Web Page\Web Pages_old\proteomic_fractions_linear_files/Yang_linear_img/257095992.jpg","show blot")</f>
        <v>show blot</v>
      </c>
      <c r="G5402" t="s">
        <v>5196</v>
      </c>
      <c r="I5402" s="6">
        <v>5.1406929361493479</v>
      </c>
      <c r="K5402" s="8"/>
    </row>
    <row r="5403" spans="1:11" ht="15" x14ac:dyDescent="0.25">
      <c r="A5403" s="3" t="str">
        <f>HYPERLINK("proteomic_fractions_linear_files/Yang_linear_img/21426847.jpg", "21426847")</f>
        <v>21426847</v>
      </c>
      <c r="C5403" s="3" t="str">
        <f>HYPERLINK("http://www.ncbi.nlm.nih.gov/protein/21426847","Pea15a")</f>
        <v>Pea15a</v>
      </c>
      <c r="E5403" t="str">
        <f>HYPERLINK("J:\Depot - mpkCCD Fractions\Main Web Page\Web Pages_old\proteomic_fractions_linear_files/Yang_linear_img/21426847.jpg","show blot")</f>
        <v>show blot</v>
      </c>
      <c r="G5403" t="s">
        <v>5197</v>
      </c>
      <c r="I5403" s="6">
        <v>5.5195144078936105</v>
      </c>
      <c r="K5403" s="8"/>
    </row>
    <row r="5404" spans="1:11" ht="15" x14ac:dyDescent="0.25">
      <c r="A5404" s="3" t="str">
        <f>HYPERLINK("proteomic_fractions_linear_files/Yang_linear_img/84794552.jpg", "84794552")</f>
        <v>84794552</v>
      </c>
      <c r="C5404" s="3" t="str">
        <f>HYPERLINK("http://www.ncbi.nlm.nih.gov/protein/84794552","Pebp1")</f>
        <v>Pebp1</v>
      </c>
      <c r="E5404" t="str">
        <f>HYPERLINK("J:\Depot - mpkCCD Fractions\Main Web Page\Web Pages_old\proteomic_fractions_linear_files/Yang_linear_img/84794552.jpg","show blot")</f>
        <v>show blot</v>
      </c>
      <c r="G5404" t="s">
        <v>5198</v>
      </c>
      <c r="I5404" s="6">
        <v>6.6429760357909275</v>
      </c>
      <c r="K5404" s="8"/>
    </row>
    <row r="5405" spans="1:11" ht="15" x14ac:dyDescent="0.25">
      <c r="A5405" s="3" t="str">
        <f>HYPERLINK("proteomic_fractions_linear_files/Yang_linear_img/227908837.jpg", "227908837")</f>
        <v>227908837</v>
      </c>
      <c r="C5405" s="3" t="str">
        <f>HYPERLINK("http://www.ncbi.nlm.nih.gov/protein/227908837","Pecr")</f>
        <v>Pecr</v>
      </c>
      <c r="E5405" t="str">
        <f>HYPERLINK("J:\Depot - mpkCCD Fractions\Main Web Page\Web Pages_old\proteomic_fractions_linear_files/Yang_linear_img/227908837.jpg","show blot")</f>
        <v>show blot</v>
      </c>
      <c r="G5405" t="s">
        <v>5199</v>
      </c>
      <c r="I5405" s="6">
        <v>4.2394784558753278</v>
      </c>
      <c r="K5405" s="8"/>
    </row>
    <row r="5406" spans="1:11" ht="15" x14ac:dyDescent="0.25">
      <c r="A5406" s="3" t="str">
        <f>HYPERLINK("proteomic_fractions_linear_files/Yang_linear_img/31980937.jpg", "31980937")</f>
        <v>31980937</v>
      </c>
      <c r="C5406" s="3" t="str">
        <f>HYPERLINK("http://www.ncbi.nlm.nih.gov/protein/31980937","Pef1")</f>
        <v>Pef1</v>
      </c>
      <c r="E5406" t="str">
        <f>HYPERLINK("J:\Depot - mpkCCD Fractions\Main Web Page\Web Pages_old\proteomic_fractions_linear_files/Yang_linear_img/31980937.jpg","show blot")</f>
        <v>show blot</v>
      </c>
      <c r="G5406" t="s">
        <v>5200</v>
      </c>
      <c r="I5406" s="6">
        <v>4.3791199301441557</v>
      </c>
      <c r="K5406" s="8"/>
    </row>
    <row r="5407" spans="1:11" ht="15" x14ac:dyDescent="0.25">
      <c r="A5407" s="3" t="str">
        <f>HYPERLINK("proteomic_fractions_linear_files/Yang_linear_img/164698448.jpg", "164698448")</f>
        <v>164698448</v>
      </c>
      <c r="C5407" s="3" t="str">
        <f>HYPERLINK("http://www.ncbi.nlm.nih.gov/protein/164698448","Pelo")</f>
        <v>Pelo</v>
      </c>
      <c r="E5407" t="str">
        <f>HYPERLINK("J:\Depot - mpkCCD Fractions\Main Web Page\Web Pages_old\proteomic_fractions_linear_files/Yang_linear_img/164698448.jpg","show blot")</f>
        <v>show blot</v>
      </c>
      <c r="G5407" t="s">
        <v>5201</v>
      </c>
      <c r="I5407" s="6">
        <v>4.7903965870033671</v>
      </c>
      <c r="K5407" s="8"/>
    </row>
    <row r="5408" spans="1:11" ht="15" x14ac:dyDescent="0.25">
      <c r="A5408" s="3" t="str">
        <f>HYPERLINK("proteomic_fractions_linear_files/Yang_linear_img/257900472.jpg", "257900472")</f>
        <v>257900472</v>
      </c>
      <c r="C5408" s="3" t="str">
        <f>HYPERLINK("http://www.ncbi.nlm.nih.gov/protein/257900472","Pelp1")</f>
        <v>Pelp1</v>
      </c>
      <c r="E5408" t="str">
        <f>HYPERLINK("J:\Depot - mpkCCD Fractions\Main Web Page\Web Pages_old\proteomic_fractions_linear_files/Yang_linear_img/257900472.jpg","show blot")</f>
        <v>show blot</v>
      </c>
      <c r="G5408" t="s">
        <v>5202</v>
      </c>
      <c r="I5408" s="6">
        <v>3.5533456923338957</v>
      </c>
      <c r="K5408" s="8"/>
    </row>
    <row r="5409" spans="1:11" ht="15" x14ac:dyDescent="0.25">
      <c r="A5409" s="3" t="str">
        <f>HYPERLINK("proteomic_fractions_linear_files/Yang_linear_img/170650724.jpg", "170650724")</f>
        <v>170650724</v>
      </c>
      <c r="C5409" s="3" t="str">
        <f>HYPERLINK("http://www.ncbi.nlm.nih.gov/protein/170650724","Pepd")</f>
        <v>Pepd</v>
      </c>
      <c r="E5409" t="str">
        <f>HYPERLINK("J:\Depot - mpkCCD Fractions\Main Web Page\Web Pages_old\proteomic_fractions_linear_files/Yang_linear_img/170650724.jpg","show blot")</f>
        <v>show blot</v>
      </c>
      <c r="G5409" t="s">
        <v>5203</v>
      </c>
      <c r="I5409" s="6">
        <v>5.3224242923680656</v>
      </c>
      <c r="K5409" s="8"/>
    </row>
    <row r="5410" spans="1:11" ht="15" x14ac:dyDescent="0.25">
      <c r="A5410" s="3" t="str">
        <f>HYPERLINK("proteomic_fractions_linear_files/Yang_linear_img/12584984.jpg", "12584984")</f>
        <v>12584984</v>
      </c>
      <c r="C5410" s="3" t="str">
        <f>HYPERLINK("http://www.ncbi.nlm.nih.gov/protein/12584984","Pes1")</f>
        <v>Pes1</v>
      </c>
      <c r="E5410" t="str">
        <f>HYPERLINK("J:\Depot - mpkCCD Fractions\Main Web Page\Web Pages_old\proteomic_fractions_linear_files/Yang_linear_img/12584984.jpg","show blot")</f>
        <v>show blot</v>
      </c>
      <c r="G5410" t="s">
        <v>5204</v>
      </c>
      <c r="I5410" s="6">
        <v>4.5548672654483759</v>
      </c>
      <c r="K5410" s="8"/>
    </row>
    <row r="5411" spans="1:11" ht="15" x14ac:dyDescent="0.25">
      <c r="A5411" s="3" t="str">
        <f>HYPERLINK("proteomic_fractions_linear_files/Yang_linear_img/21450279.jpg", "21450279")</f>
        <v>21450279</v>
      </c>
      <c r="C5411" s="3" t="str">
        <f>HYPERLINK("http://www.ncbi.nlm.nih.gov/protein/21450279","Pet112")</f>
        <v>Pet112</v>
      </c>
      <c r="E5411" t="str">
        <f>HYPERLINK("J:\Depot - mpkCCD Fractions\Main Web Page\Web Pages_old\proteomic_fractions_linear_files/Yang_linear_img/21450279.jpg","show blot")</f>
        <v>show blot</v>
      </c>
      <c r="G5411" t="s">
        <v>5205</v>
      </c>
      <c r="I5411" s="6">
        <v>2.4060726167021875</v>
      </c>
      <c r="K5411" s="8"/>
    </row>
    <row r="5412" spans="1:11" ht="15" x14ac:dyDescent="0.25">
      <c r="A5412" s="3" t="str">
        <f>HYPERLINK("proteomic_fractions_linear_files/Yang_linear_img/258679439.jpg", "258679439")</f>
        <v>258679439</v>
      </c>
      <c r="C5412" s="3" t="str">
        <f>HYPERLINK("http://www.ncbi.nlm.nih.gov/protein/258679439","Pet117")</f>
        <v>Pet117</v>
      </c>
      <c r="E5412" t="str">
        <f>HYPERLINK("J:\Depot - mpkCCD Fractions\Main Web Page\Web Pages_old\proteomic_fractions_linear_files/Yang_linear_img/258679439.jpg","show blot")</f>
        <v>show blot</v>
      </c>
      <c r="G5412" t="s">
        <v>5206</v>
      </c>
      <c r="I5412" s="6">
        <v>4.4099725669460952</v>
      </c>
      <c r="K5412" s="8"/>
    </row>
    <row r="5413" spans="1:11" ht="15" x14ac:dyDescent="0.25">
      <c r="A5413" s="3" t="str">
        <f>HYPERLINK("proteomic_fractions_linear_files/Yang_linear_img/61657895.jpg", "61657895")</f>
        <v>61657895</v>
      </c>
      <c r="C5413" s="3" t="str">
        <f>HYPERLINK("http://www.ncbi.nlm.nih.gov/protein/61657895","Pex1")</f>
        <v>Pex1</v>
      </c>
      <c r="E5413" t="str">
        <f>HYPERLINK("J:\Depot - mpkCCD Fractions\Main Web Page\Web Pages_old\proteomic_fractions_linear_files/Yang_linear_img/61657895.jpg","show blot")</f>
        <v>show blot</v>
      </c>
      <c r="G5413" t="s">
        <v>5207</v>
      </c>
      <c r="I5413" s="6">
        <v>2.9842249939855976</v>
      </c>
      <c r="K5413" s="8"/>
    </row>
    <row r="5414" spans="1:11" ht="15" x14ac:dyDescent="0.25">
      <c r="A5414" s="3" t="str">
        <f>HYPERLINK("proteomic_fractions_linear_files/Yang_linear_img/109150414.jpg", "109150414")</f>
        <v>109150414</v>
      </c>
      <c r="C5414" s="3" t="str">
        <f>HYPERLINK("http://www.ncbi.nlm.nih.gov/protein/109150414","Pex10")</f>
        <v>Pex10</v>
      </c>
      <c r="E5414" t="str">
        <f>HYPERLINK("J:\Depot - mpkCCD Fractions\Main Web Page\Web Pages_old\proteomic_fractions_linear_files/Yang_linear_img/109150414.jpg","show blot")</f>
        <v>show blot</v>
      </c>
      <c r="G5414" t="s">
        <v>5208</v>
      </c>
      <c r="I5414" s="6">
        <v>4.385667012963073</v>
      </c>
      <c r="K5414" s="8"/>
    </row>
    <row r="5415" spans="1:11" ht="15" x14ac:dyDescent="0.25">
      <c r="A5415" s="3" t="str">
        <f>HYPERLINK("proteomic_fractions_linear_files/Yang_linear_img/241666481.jpg", "241666481")</f>
        <v>241666481</v>
      </c>
      <c r="C5415" s="3" t="str">
        <f>HYPERLINK("http://www.ncbi.nlm.nih.gov/protein/241666481","Pex11b")</f>
        <v>Pex11b</v>
      </c>
      <c r="E5415" t="str">
        <f>HYPERLINK("J:\Depot - mpkCCD Fractions\Main Web Page\Web Pages_old\proteomic_fractions_linear_files/Yang_linear_img/241666481.jpg","show blot")</f>
        <v>show blot</v>
      </c>
      <c r="G5415" t="s">
        <v>5209</v>
      </c>
      <c r="I5415" s="6">
        <v>5.2380945005816066</v>
      </c>
      <c r="K5415" s="8"/>
    </row>
    <row r="5416" spans="1:11" ht="15" x14ac:dyDescent="0.25">
      <c r="A5416" s="3" t="str">
        <f>HYPERLINK("proteomic_fractions_linear_files/Yang_linear_img/241666485.jpg", "241666485")</f>
        <v>241666485</v>
      </c>
      <c r="C5416" s="3" t="str">
        <f>HYPERLINK("http://www.ncbi.nlm.nih.gov/protein/241666485","Pex11b")</f>
        <v>Pex11b</v>
      </c>
      <c r="E5416" t="str">
        <f>HYPERLINK("J:\Depot - mpkCCD Fractions\Main Web Page\Web Pages_old\proteomic_fractions_linear_files/Yang_linear_img/241666485.jpg","show blot")</f>
        <v>show blot</v>
      </c>
      <c r="G5416" t="s">
        <v>5210</v>
      </c>
      <c r="I5416" s="6">
        <v>5.2380945005816066</v>
      </c>
      <c r="K5416" s="8"/>
    </row>
    <row r="5417" spans="1:11" ht="15" x14ac:dyDescent="0.25">
      <c r="A5417" s="3" t="str">
        <f>HYPERLINK("proteomic_fractions_linear_files/Yang_linear_img/21735445.jpg", "21735445")</f>
        <v>21735445</v>
      </c>
      <c r="C5417" s="3" t="str">
        <f>HYPERLINK("http://www.ncbi.nlm.nih.gov/protein/21735445","Pex11g")</f>
        <v>Pex11g</v>
      </c>
      <c r="E5417" t="str">
        <f>HYPERLINK("J:\Depot - mpkCCD Fractions\Main Web Page\Web Pages_old\proteomic_fractions_linear_files/Yang_linear_img/21735445.jpg","show blot")</f>
        <v>show blot</v>
      </c>
      <c r="G5417" t="s">
        <v>5211</v>
      </c>
      <c r="I5417" s="6">
        <v>3.9322464502421099</v>
      </c>
      <c r="K5417" s="8"/>
    </row>
    <row r="5418" spans="1:11" ht="15" x14ac:dyDescent="0.25">
      <c r="A5418" s="3" t="str">
        <f>HYPERLINK("proteomic_fractions_linear_files/Yang_linear_img/9790153.jpg", "9790153")</f>
        <v>9790153</v>
      </c>
      <c r="C5418" s="3" t="str">
        <f>HYPERLINK("http://www.ncbi.nlm.nih.gov/protein/9790153","Pex14")</f>
        <v>Pex14</v>
      </c>
      <c r="E5418" t="str">
        <f>HYPERLINK("J:\Depot - mpkCCD Fractions\Main Web Page\Web Pages_old\proteomic_fractions_linear_files/Yang_linear_img/9790153.jpg","show blot")</f>
        <v>show blot</v>
      </c>
      <c r="G5418" t="s">
        <v>5212</v>
      </c>
      <c r="I5418" s="6">
        <v>4.1847470386050309</v>
      </c>
      <c r="K5418" s="8"/>
    </row>
    <row r="5419" spans="1:11" ht="15" x14ac:dyDescent="0.25">
      <c r="A5419" s="3" t="str">
        <f>HYPERLINK("proteomic_fractions_linear_files/Yang_linear_img/254750742.jpg", "254750742")</f>
        <v>254750742</v>
      </c>
      <c r="C5419" s="3" t="str">
        <f>HYPERLINK("http://www.ncbi.nlm.nih.gov/protein/254750742","Pex16")</f>
        <v>Pex16</v>
      </c>
      <c r="E5419" t="str">
        <f>HYPERLINK("J:\Depot - mpkCCD Fractions\Main Web Page\Web Pages_old\proteomic_fractions_linear_files/Yang_linear_img/254750742.jpg","show blot")</f>
        <v>show blot</v>
      </c>
      <c r="G5419" t="s">
        <v>5213</v>
      </c>
      <c r="I5419" s="6">
        <v>4.5954298165490579</v>
      </c>
      <c r="K5419" s="8"/>
    </row>
    <row r="5420" spans="1:11" ht="15" x14ac:dyDescent="0.25">
      <c r="A5420" s="3" t="str">
        <f>HYPERLINK("proteomic_fractions_linear_files/Yang_linear_img/226958492.jpg", "226958492")</f>
        <v>226958492</v>
      </c>
      <c r="C5420" s="3" t="str">
        <f>HYPERLINK("http://www.ncbi.nlm.nih.gov/protein/226958492","Pex19")</f>
        <v>Pex19</v>
      </c>
      <c r="E5420" t="str">
        <f>HYPERLINK("J:\Depot - mpkCCD Fractions\Main Web Page\Web Pages_old\proteomic_fractions_linear_files/Yang_linear_img/226958492.jpg","show blot")</f>
        <v>show blot</v>
      </c>
      <c r="G5420" t="s">
        <v>5214</v>
      </c>
      <c r="I5420" s="6">
        <v>5.6269482770250105</v>
      </c>
      <c r="K5420" s="8"/>
    </row>
    <row r="5421" spans="1:11" ht="15" x14ac:dyDescent="0.25">
      <c r="A5421" s="3" t="str">
        <f>HYPERLINK("proteomic_fractions_linear_files/Yang_linear_img/226958490.jpg", "226958490")</f>
        <v>226958490</v>
      </c>
      <c r="C5421" s="3" t="str">
        <f>HYPERLINK("http://www.ncbi.nlm.nih.gov/protein/226958490","Pex19")</f>
        <v>Pex19</v>
      </c>
      <c r="E5421" t="str">
        <f>HYPERLINK("J:\Depot - mpkCCD Fractions\Main Web Page\Web Pages_old\proteomic_fractions_linear_files/Yang_linear_img/226958490.jpg","show blot")</f>
        <v>show blot</v>
      </c>
      <c r="G5421" t="s">
        <v>5215</v>
      </c>
      <c r="I5421" s="6">
        <v>5.6269482770250105</v>
      </c>
      <c r="K5421" s="8"/>
    </row>
    <row r="5422" spans="1:11" ht="15" x14ac:dyDescent="0.25">
      <c r="A5422" s="3" t="str">
        <f>HYPERLINK("proteomic_fractions_linear_files/Yang_linear_img/255958309.jpg", "255958309")</f>
        <v>255958309</v>
      </c>
      <c r="C5422" s="3" t="str">
        <f>HYPERLINK("http://www.ncbi.nlm.nih.gov/protein/255958309","Pex3")</f>
        <v>Pex3</v>
      </c>
      <c r="E5422" t="str">
        <f>HYPERLINK("J:\Depot - mpkCCD Fractions\Main Web Page\Web Pages_old\proteomic_fractions_linear_files/Yang_linear_img/255958309.jpg","show blot")</f>
        <v>show blot</v>
      </c>
      <c r="G5422" t="s">
        <v>5216</v>
      </c>
      <c r="I5422" s="6">
        <v>3.7510517554880756</v>
      </c>
      <c r="K5422" s="8"/>
    </row>
    <row r="5423" spans="1:11" ht="15" x14ac:dyDescent="0.25">
      <c r="A5423" s="3" t="str">
        <f>HYPERLINK("proteomic_fractions_linear_files/Yang_linear_img/9910484.jpg", "9910484")</f>
        <v>9910484</v>
      </c>
      <c r="C5423" s="3" t="str">
        <f>HYPERLINK("http://www.ncbi.nlm.nih.gov/protein/9910484","Pex3")</f>
        <v>Pex3</v>
      </c>
      <c r="E5423" t="str">
        <f>HYPERLINK("J:\Depot - mpkCCD Fractions\Main Web Page\Web Pages_old\proteomic_fractions_linear_files/Yang_linear_img/9910484.jpg","show blot")</f>
        <v>show blot</v>
      </c>
      <c r="G5423" t="s">
        <v>5217</v>
      </c>
      <c r="I5423" s="6">
        <v>3.7510517554880756</v>
      </c>
      <c r="K5423" s="8"/>
    </row>
    <row r="5424" spans="1:11" ht="15" x14ac:dyDescent="0.25">
      <c r="A5424" s="3" t="str">
        <f>HYPERLINK("proteomic_fractions_linear_files/Yang_linear_img/21703962.jpg", "21703962")</f>
        <v>21703962</v>
      </c>
      <c r="C5424" s="3" t="str">
        <f>HYPERLINK("http://www.ncbi.nlm.nih.gov/protein/21703962","Pex6")</f>
        <v>Pex6</v>
      </c>
      <c r="E5424" t="str">
        <f>HYPERLINK("J:\Depot - mpkCCD Fractions\Main Web Page\Web Pages_old\proteomic_fractions_linear_files/Yang_linear_img/21703962.jpg","show blot")</f>
        <v>show blot</v>
      </c>
      <c r="G5424" t="s">
        <v>5218</v>
      </c>
      <c r="I5424" s="6">
        <v>2.8596568135968194</v>
      </c>
      <c r="K5424" s="8"/>
    </row>
    <row r="5425" spans="1:11" ht="15" x14ac:dyDescent="0.25">
      <c r="A5425" s="3" t="str">
        <f>HYPERLINK("proteomic_fractions_linear_files/Yang_linear_img/240120097.jpg", "240120097")</f>
        <v>240120097</v>
      </c>
      <c r="C5425" s="3" t="str">
        <f>HYPERLINK("http://www.ncbi.nlm.nih.gov/protein/240120097","Pex7")</f>
        <v>Pex7</v>
      </c>
      <c r="E5425" t="str">
        <f>HYPERLINK("J:\Depot - mpkCCD Fractions\Main Web Page\Web Pages_old\proteomic_fractions_linear_files/Yang_linear_img/240120097.jpg","show blot")</f>
        <v>show blot</v>
      </c>
      <c r="G5425" t="s">
        <v>5219</v>
      </c>
      <c r="I5425" s="6">
        <v>4.1410426236968121</v>
      </c>
      <c r="K5425" s="8"/>
    </row>
    <row r="5426" spans="1:11" ht="15" x14ac:dyDescent="0.25">
      <c r="A5426" s="3" t="str">
        <f>HYPERLINK("proteomic_fractions_linear_files/Yang_linear_img/6679283.jpg", "6679283")</f>
        <v>6679283</v>
      </c>
      <c r="C5426" s="3" t="str">
        <f>HYPERLINK("http://www.ncbi.nlm.nih.gov/protein/6679283","Pex7")</f>
        <v>Pex7</v>
      </c>
      <c r="E5426" t="str">
        <f>HYPERLINK("J:\Depot - mpkCCD Fractions\Main Web Page\Web Pages_old\proteomic_fractions_linear_files/Yang_linear_img/6679283.jpg","show blot")</f>
        <v>show blot</v>
      </c>
      <c r="G5426" t="s">
        <v>5220</v>
      </c>
      <c r="I5426" s="6">
        <v>4.1410426236968121</v>
      </c>
      <c r="K5426" s="8"/>
    </row>
    <row r="5427" spans="1:11" ht="15" x14ac:dyDescent="0.25">
      <c r="A5427" s="3" t="str">
        <f>HYPERLINK("proteomic_fractions_linear_files/Yang_linear_img/226958458.jpg", "226958458")</f>
        <v>226958458</v>
      </c>
      <c r="C5427" s="3" t="str">
        <f>HYPERLINK("http://www.ncbi.nlm.nih.gov/protein/226958458","Pfas")</f>
        <v>Pfas</v>
      </c>
      <c r="E5427" t="str">
        <f>HYPERLINK("J:\Depot - mpkCCD Fractions\Main Web Page\Web Pages_old\proteomic_fractions_linear_files/Yang_linear_img/226958458.jpg","show blot")</f>
        <v>show blot</v>
      </c>
      <c r="G5427" t="s">
        <v>5221</v>
      </c>
      <c r="I5427" s="6">
        <v>5.3452423859936333</v>
      </c>
      <c r="K5427" s="8"/>
    </row>
    <row r="5428" spans="1:11" ht="15" x14ac:dyDescent="0.25">
      <c r="A5428" s="3" t="str">
        <f>HYPERLINK("proteomic_fractions_linear_files/Yang_linear_img/13385532.jpg", "13385532")</f>
        <v>13385532</v>
      </c>
      <c r="C5428" s="3" t="str">
        <f>HYPERLINK("http://www.ncbi.nlm.nih.gov/protein/13385532","Pfdn1")</f>
        <v>Pfdn1</v>
      </c>
      <c r="E5428" t="str">
        <f>HYPERLINK("J:\Depot - mpkCCD Fractions\Main Web Page\Web Pages_old\proteomic_fractions_linear_files/Yang_linear_img/13385532.jpg","show blot")</f>
        <v>show blot</v>
      </c>
      <c r="G5428" t="s">
        <v>5222</v>
      </c>
      <c r="I5428" s="6">
        <v>5.5298233842563853</v>
      </c>
      <c r="K5428" s="8"/>
    </row>
    <row r="5429" spans="1:11" ht="15" x14ac:dyDescent="0.25">
      <c r="A5429" s="3" t="str">
        <f>HYPERLINK("proteomic_fractions_linear_files/Yang_linear_img/31981577.jpg", "31981577")</f>
        <v>31981577</v>
      </c>
      <c r="C5429" s="3" t="str">
        <f>HYPERLINK("http://www.ncbi.nlm.nih.gov/protein/31981577","Pfdn2")</f>
        <v>Pfdn2</v>
      </c>
      <c r="E5429" t="str">
        <f>HYPERLINK("J:\Depot - mpkCCD Fractions\Main Web Page\Web Pages_old\proteomic_fractions_linear_files/Yang_linear_img/31981577.jpg","show blot")</f>
        <v>show blot</v>
      </c>
      <c r="G5429" t="s">
        <v>5223</v>
      </c>
      <c r="I5429" s="6">
        <v>5.5747416480395557</v>
      </c>
      <c r="K5429" s="8"/>
    </row>
    <row r="5430" spans="1:11" ht="15" x14ac:dyDescent="0.25">
      <c r="A5430" s="3" t="str">
        <f>HYPERLINK("proteomic_fractions_linear_files/Yang_linear_img/158711747.jpg", "158711747")</f>
        <v>158711747</v>
      </c>
      <c r="C5430" s="3" t="str">
        <f>HYPERLINK("http://www.ncbi.nlm.nih.gov/protein/158711747","Pfdn4")</f>
        <v>Pfdn4</v>
      </c>
      <c r="E5430" t="str">
        <f>HYPERLINK("J:\Depot - mpkCCD Fractions\Main Web Page\Web Pages_old\proteomic_fractions_linear_files/Yang_linear_img/158711747.jpg","show blot")</f>
        <v>show blot</v>
      </c>
      <c r="G5430" t="s">
        <v>5224</v>
      </c>
      <c r="I5430" s="6">
        <v>4.7992892238540774</v>
      </c>
      <c r="K5430" s="8"/>
    </row>
    <row r="5431" spans="1:11" ht="15" x14ac:dyDescent="0.25">
      <c r="A5431" s="3" t="str">
        <f>HYPERLINK("proteomic_fractions_linear_files/Yang_linear_img/315507139.jpg", "315507139")</f>
        <v>315507139</v>
      </c>
      <c r="C5431" s="3" t="str">
        <f>HYPERLINK("http://www.ncbi.nlm.nih.gov/protein/315507139","Pfdn4")</f>
        <v>Pfdn4</v>
      </c>
      <c r="E5431" t="str">
        <f>HYPERLINK("J:\Depot - mpkCCD Fractions\Main Web Page\Web Pages_old\proteomic_fractions_linear_files/Yang_linear_img/315507139.jpg","show blot")</f>
        <v>show blot</v>
      </c>
      <c r="G5431" t="s">
        <v>5225</v>
      </c>
      <c r="I5431" s="6">
        <v>4.7992892238540774</v>
      </c>
      <c r="K5431" s="8"/>
    </row>
    <row r="5432" spans="1:11" ht="15" x14ac:dyDescent="0.25">
      <c r="A5432" s="3" t="str">
        <f>HYPERLINK("proteomic_fractions_linear_files/Yang_linear_img/61656178.jpg", "61656178")</f>
        <v>61656178</v>
      </c>
      <c r="C5432" s="3" t="str">
        <f>HYPERLINK("http://www.ncbi.nlm.nih.gov/protein/61656178","Pfdn4")</f>
        <v>Pfdn4</v>
      </c>
      <c r="E5432" t="str">
        <f>HYPERLINK("J:\Depot - mpkCCD Fractions\Main Web Page\Web Pages_old\proteomic_fractions_linear_files/Yang_linear_img/61656178.jpg","show blot")</f>
        <v>show blot</v>
      </c>
      <c r="G5432" t="s">
        <v>5226</v>
      </c>
      <c r="I5432" s="6">
        <v>4.7992892238540774</v>
      </c>
      <c r="K5432" s="8"/>
    </row>
    <row r="5433" spans="1:11" ht="15" x14ac:dyDescent="0.25">
      <c r="A5433" s="3" t="str">
        <f>HYPERLINK("proteomic_fractions_linear_files/Yang_linear_img/55741463.jpg", "55741463")</f>
        <v>55741463</v>
      </c>
      <c r="C5433" s="3" t="str">
        <f>HYPERLINK("http://www.ncbi.nlm.nih.gov/protein/55741463","Pfdn5")</f>
        <v>Pfdn5</v>
      </c>
      <c r="E5433" t="str">
        <f>HYPERLINK("J:\Depot - mpkCCD Fractions\Main Web Page\Web Pages_old\proteomic_fractions_linear_files/Yang_linear_img/55741463.jpg","show blot")</f>
        <v>show blot</v>
      </c>
      <c r="G5433" t="s">
        <v>5227</v>
      </c>
      <c r="I5433" s="6">
        <v>5.2715898892085402</v>
      </c>
      <c r="K5433" s="8"/>
    </row>
    <row r="5434" spans="1:11" ht="15" x14ac:dyDescent="0.25">
      <c r="A5434" s="3" t="str">
        <f>HYPERLINK("proteomic_fractions_linear_files/Yang_linear_img/295293207.jpg", "295293207")</f>
        <v>295293207</v>
      </c>
      <c r="C5434" s="3" t="str">
        <f>HYPERLINK("http://www.ncbi.nlm.nih.gov/protein/295293207","Pfkfb3")</f>
        <v>Pfkfb3</v>
      </c>
      <c r="E5434" t="str">
        <f>HYPERLINK("J:\Depot - mpkCCD Fractions\Main Web Page\Web Pages_old\proteomic_fractions_linear_files/Yang_linear_img/295293207.jpg","show blot")</f>
        <v>show blot</v>
      </c>
      <c r="G5434" t="s">
        <v>5228</v>
      </c>
      <c r="I5434" s="6">
        <v>3.7359919706512046</v>
      </c>
      <c r="K5434" s="8"/>
    </row>
    <row r="5435" spans="1:11" ht="15" x14ac:dyDescent="0.25">
      <c r="A5435" s="3" t="str">
        <f>HYPERLINK("proteomic_fractions_linear_files/Yang_linear_img/295293209.jpg", "295293209")</f>
        <v>295293209</v>
      </c>
      <c r="C5435" s="3" t="str">
        <f>HYPERLINK("http://www.ncbi.nlm.nih.gov/protein/295293209","Pfkfb3")</f>
        <v>Pfkfb3</v>
      </c>
      <c r="E5435" t="str">
        <f>HYPERLINK("J:\Depot - mpkCCD Fractions\Main Web Page\Web Pages_old\proteomic_fractions_linear_files/Yang_linear_img/295293209.jpg","show blot")</f>
        <v>show blot</v>
      </c>
      <c r="G5435" t="s">
        <v>5229</v>
      </c>
      <c r="I5435" s="6">
        <v>3.7359919706512046</v>
      </c>
      <c r="K5435" s="8"/>
    </row>
    <row r="5436" spans="1:11" ht="15" x14ac:dyDescent="0.25">
      <c r="A5436" s="3" t="str">
        <f>HYPERLINK("proteomic_fractions_linear_files/Yang_linear_img/295293211.jpg", "295293211")</f>
        <v>295293211</v>
      </c>
      <c r="C5436" s="3" t="str">
        <f>HYPERLINK("http://www.ncbi.nlm.nih.gov/protein/295293211","Pfkfb3")</f>
        <v>Pfkfb3</v>
      </c>
      <c r="E5436" t="str">
        <f>HYPERLINK("J:\Depot - mpkCCD Fractions\Main Web Page\Web Pages_old\proteomic_fractions_linear_files/Yang_linear_img/295293211.jpg","show blot")</f>
        <v>show blot</v>
      </c>
      <c r="G5436" t="s">
        <v>5230</v>
      </c>
      <c r="I5436" s="6">
        <v>3.7359919706512046</v>
      </c>
      <c r="K5436" s="8"/>
    </row>
    <row r="5437" spans="1:11" ht="15" x14ac:dyDescent="0.25">
      <c r="A5437" s="3" t="str">
        <f>HYPERLINK("proteomic_fractions_linear_files/Yang_linear_img/295293213.jpg", "295293213")</f>
        <v>295293213</v>
      </c>
      <c r="C5437" s="3" t="str">
        <f>HYPERLINK("http://www.ncbi.nlm.nih.gov/protein/295293213","Pfkfb3")</f>
        <v>Pfkfb3</v>
      </c>
      <c r="E5437" t="str">
        <f>HYPERLINK("J:\Depot - mpkCCD Fractions\Main Web Page\Web Pages_old\proteomic_fractions_linear_files/Yang_linear_img/295293213.jpg","show blot")</f>
        <v>show blot</v>
      </c>
      <c r="G5437" t="s">
        <v>5231</v>
      </c>
      <c r="I5437" s="6">
        <v>3.7359919706512046</v>
      </c>
      <c r="K5437" s="8"/>
    </row>
    <row r="5438" spans="1:11" ht="15" x14ac:dyDescent="0.25">
      <c r="A5438" s="3" t="str">
        <f>HYPERLINK("proteomic_fractions_linear_files/Yang_linear_img/295293215.jpg", "295293215")</f>
        <v>295293215</v>
      </c>
      <c r="C5438" s="3" t="str">
        <f>HYPERLINK("http://www.ncbi.nlm.nih.gov/protein/295293215","Pfkfb3")</f>
        <v>Pfkfb3</v>
      </c>
      <c r="E5438" t="str">
        <f>HYPERLINK("J:\Depot - mpkCCD Fractions\Main Web Page\Web Pages_old\proteomic_fractions_linear_files/Yang_linear_img/295293215.jpg","show blot")</f>
        <v>show blot</v>
      </c>
      <c r="G5438" t="s">
        <v>5232</v>
      </c>
      <c r="I5438" s="6">
        <v>3.7359919706512046</v>
      </c>
      <c r="K5438" s="8"/>
    </row>
    <row r="5439" spans="1:11" ht="15" x14ac:dyDescent="0.25">
      <c r="A5439" s="3" t="str">
        <f>HYPERLINK("proteomic_fractions_linear_files/Yang_linear_img/295293217.jpg", "295293217")</f>
        <v>295293217</v>
      </c>
      <c r="C5439" s="3" t="str">
        <f>HYPERLINK("http://www.ncbi.nlm.nih.gov/protein/295293217","Pfkfb3")</f>
        <v>Pfkfb3</v>
      </c>
      <c r="E5439" t="str">
        <f>HYPERLINK("J:\Depot - mpkCCD Fractions\Main Web Page\Web Pages_old\proteomic_fractions_linear_files/Yang_linear_img/295293217.jpg","show blot")</f>
        <v>show blot</v>
      </c>
      <c r="G5439" t="s">
        <v>5233</v>
      </c>
      <c r="I5439" s="6">
        <v>3.7359919706512046</v>
      </c>
      <c r="K5439" s="8"/>
    </row>
    <row r="5440" spans="1:11" ht="15" x14ac:dyDescent="0.25">
      <c r="A5440" s="3" t="str">
        <f>HYPERLINK("proteomic_fractions_linear_files/Yang_linear_img/295293220.jpg", "295293220")</f>
        <v>295293220</v>
      </c>
      <c r="C5440" s="3" t="str">
        <f>HYPERLINK("http://www.ncbi.nlm.nih.gov/protein/295293220","Pfkfb3")</f>
        <v>Pfkfb3</v>
      </c>
      <c r="E5440" t="str">
        <f>HYPERLINK("J:\Depot - mpkCCD Fractions\Main Web Page\Web Pages_old\proteomic_fractions_linear_files/Yang_linear_img/295293220.jpg","show blot")</f>
        <v>show blot</v>
      </c>
      <c r="G5440" t="s">
        <v>5234</v>
      </c>
      <c r="I5440" s="6">
        <v>3.7359919706512046</v>
      </c>
      <c r="K5440" s="8"/>
    </row>
    <row r="5441" spans="1:11" ht="15" x14ac:dyDescent="0.25">
      <c r="A5441" s="3" t="str">
        <f>HYPERLINK("proteomic_fractions_linear_files/Yang_linear_img/87298847.jpg", "87298847")</f>
        <v>87298847</v>
      </c>
      <c r="C5441" s="3" t="str">
        <f>HYPERLINK("http://www.ncbi.nlm.nih.gov/protein/87298847","Pfkfb3")</f>
        <v>Pfkfb3</v>
      </c>
      <c r="E5441" t="str">
        <f>HYPERLINK("J:\Depot - mpkCCD Fractions\Main Web Page\Web Pages_old\proteomic_fractions_linear_files/Yang_linear_img/87298847.jpg","show blot")</f>
        <v>show blot</v>
      </c>
      <c r="G5441" t="s">
        <v>5235</v>
      </c>
      <c r="I5441" s="6">
        <v>3.7359919706512046</v>
      </c>
      <c r="K5441" s="8"/>
    </row>
    <row r="5442" spans="1:11" ht="15" x14ac:dyDescent="0.25">
      <c r="A5442" s="3" t="str">
        <f>HYPERLINK("proteomic_fractions_linear_files/Yang_linear_img/31560653.jpg", "31560653")</f>
        <v>31560653</v>
      </c>
      <c r="C5442" s="3" t="str">
        <f>HYPERLINK("http://www.ncbi.nlm.nih.gov/protein/31560653","Pfkl")</f>
        <v>Pfkl</v>
      </c>
      <c r="E5442" t="str">
        <f>HYPERLINK("J:\Depot - mpkCCD Fractions\Main Web Page\Web Pages_old\proteomic_fractions_linear_files/Yang_linear_img/31560653.jpg","show blot")</f>
        <v>show blot</v>
      </c>
      <c r="G5442" t="s">
        <v>5236</v>
      </c>
      <c r="I5442" s="6">
        <v>6.4464089144293961</v>
      </c>
      <c r="K5442" s="8"/>
    </row>
    <row r="5443" spans="1:11" ht="15" x14ac:dyDescent="0.25">
      <c r="A5443" s="3" t="str">
        <f>HYPERLINK("proteomic_fractions_linear_files/Yang_linear_img/254553348;254553344.jpg", "254553348;254553344")</f>
        <v>254553348;254553344</v>
      </c>
      <c r="C5443" s="3" t="str">
        <f>HYPERLINK("http://www.ncbi.nlm.nih.gov/protein/254553348;254553344","Pfkm")</f>
        <v>Pfkm</v>
      </c>
      <c r="E5443" t="str">
        <f>HYPERLINK("J:\Depot - mpkCCD Fractions\Main Web Page\Web Pages_old\proteomic_fractions_linear_files/Yang_linear_img/254553348;254553344.jpg","show blot")</f>
        <v>show blot</v>
      </c>
      <c r="G5443" t="s">
        <v>5237</v>
      </c>
      <c r="I5443" s="6">
        <v>5.6952481126869605</v>
      </c>
      <c r="K5443" s="8"/>
    </row>
    <row r="5444" spans="1:11" ht="15" x14ac:dyDescent="0.25">
      <c r="A5444" s="3" t="str">
        <f>HYPERLINK("proteomic_fractions_linear_files/Yang_linear_img/9790051.jpg", "9790051")</f>
        <v>9790051</v>
      </c>
      <c r="C5444" s="3" t="str">
        <f>HYPERLINK("http://www.ncbi.nlm.nih.gov/protein/9790051","Pfkp")</f>
        <v>Pfkp</v>
      </c>
      <c r="E5444" t="str">
        <f>HYPERLINK("J:\Depot - mpkCCD Fractions\Main Web Page\Web Pages_old\proteomic_fractions_linear_files/Yang_linear_img/9790051.jpg","show blot")</f>
        <v>show blot</v>
      </c>
      <c r="G5444" t="s">
        <v>5238</v>
      </c>
      <c r="I5444" s="6">
        <v>5.9809047191617504</v>
      </c>
      <c r="K5444" s="8"/>
    </row>
    <row r="5445" spans="1:11" ht="15" x14ac:dyDescent="0.25">
      <c r="A5445" s="3" t="str">
        <f>HYPERLINK("proteomic_fractions_linear_files/Yang_linear_img/6755040.jpg", "6755040")</f>
        <v>6755040</v>
      </c>
      <c r="C5445" s="3" t="str">
        <f>HYPERLINK("http://www.ncbi.nlm.nih.gov/protein/6755040","Pfn1")</f>
        <v>Pfn1</v>
      </c>
      <c r="E5445" t="str">
        <f>HYPERLINK("J:\Depot - mpkCCD Fractions\Main Web Page\Web Pages_old\proteomic_fractions_linear_files/Yang_linear_img/6755040.jpg","show blot")</f>
        <v>show blot</v>
      </c>
      <c r="G5445" t="s">
        <v>5239</v>
      </c>
      <c r="I5445" s="6">
        <v>7.0740772483070478</v>
      </c>
      <c r="K5445" s="8"/>
    </row>
    <row r="5446" spans="1:11" ht="15" x14ac:dyDescent="0.25">
      <c r="A5446" s="3" t="str">
        <f>HYPERLINK("proteomic_fractions_linear_files/Yang_linear_img/9506971.jpg", "9506971")</f>
        <v>9506971</v>
      </c>
      <c r="C5446" s="3" t="str">
        <f>HYPERLINK("http://www.ncbi.nlm.nih.gov/protein/9506971","Pfn2")</f>
        <v>Pfn2</v>
      </c>
      <c r="E5446" t="str">
        <f>HYPERLINK("J:\Depot - mpkCCD Fractions\Main Web Page\Web Pages_old\proteomic_fractions_linear_files/Yang_linear_img/9506971.jpg","show blot")</f>
        <v>show blot</v>
      </c>
      <c r="G5446" t="s">
        <v>5240</v>
      </c>
      <c r="I5446" s="6">
        <v>5.2787986919005183</v>
      </c>
      <c r="K5446" s="8"/>
    </row>
    <row r="5447" spans="1:11" ht="15" x14ac:dyDescent="0.25">
      <c r="A5447" s="3" t="str">
        <f>HYPERLINK("proteomic_fractions_linear_files/Yang_linear_img/114326546.jpg", "114326546")</f>
        <v>114326546</v>
      </c>
      <c r="C5447" s="3" t="str">
        <f>HYPERLINK("http://www.ncbi.nlm.nih.gov/protein/114326546","Pgam1")</f>
        <v>Pgam1</v>
      </c>
      <c r="E5447" t="str">
        <f>HYPERLINK("J:\Depot - mpkCCD Fractions\Main Web Page\Web Pages_old\proteomic_fractions_linear_files/Yang_linear_img/114326546.jpg","show blot")</f>
        <v>show blot</v>
      </c>
      <c r="G5447" t="s">
        <v>5241</v>
      </c>
      <c r="I5447" s="6">
        <v>7.1532566780833413</v>
      </c>
      <c r="K5447" s="8"/>
    </row>
    <row r="5448" spans="1:11" ht="15" x14ac:dyDescent="0.25">
      <c r="A5448" s="3" t="str">
        <f>HYPERLINK("proteomic_fractions_linear_files/Yang_linear_img/9256624.jpg", "9256624")</f>
        <v>9256624</v>
      </c>
      <c r="C5448" s="3" t="str">
        <f>HYPERLINK("http://www.ncbi.nlm.nih.gov/protein/9256624","Pgam2")</f>
        <v>Pgam2</v>
      </c>
      <c r="E5448" t="str">
        <f>HYPERLINK("J:\Depot - mpkCCD Fractions\Main Web Page\Web Pages_old\proteomic_fractions_linear_files/Yang_linear_img/9256624.jpg","show blot")</f>
        <v>show blot</v>
      </c>
      <c r="G5448" t="s">
        <v>5242</v>
      </c>
      <c r="I5448" s="6">
        <v>6.7278642426331379</v>
      </c>
      <c r="K5448" s="8"/>
    </row>
    <row r="5449" spans="1:11" ht="15" x14ac:dyDescent="0.25">
      <c r="A5449" s="3" t="str">
        <f>HYPERLINK("proteomic_fractions_linear_files/Yang_linear_img/254587960.jpg", "254587960")</f>
        <v>254587960</v>
      </c>
      <c r="C5449" s="3" t="str">
        <f>HYPERLINK("http://www.ncbi.nlm.nih.gov/protein/254587960","Pgam5")</f>
        <v>Pgam5</v>
      </c>
      <c r="E5449" t="str">
        <f>HYPERLINK("J:\Depot - mpkCCD Fractions\Main Web Page\Web Pages_old\proteomic_fractions_linear_files/Yang_linear_img/254587960.jpg","show blot")</f>
        <v>show blot</v>
      </c>
      <c r="G5449" t="s">
        <v>5243</v>
      </c>
      <c r="I5449" s="6">
        <v>5.3861962544763147</v>
      </c>
      <c r="K5449" s="8"/>
    </row>
    <row r="5450" spans="1:11" ht="15" x14ac:dyDescent="0.25">
      <c r="A5450" s="3" t="str">
        <f>HYPERLINK("proteomic_fractions_linear_files/Yang_linear_img/254587962.jpg", "254587962")</f>
        <v>254587962</v>
      </c>
      <c r="C5450" s="3" t="str">
        <f>HYPERLINK("http://www.ncbi.nlm.nih.gov/protein/254587962","Pgam5")</f>
        <v>Pgam5</v>
      </c>
      <c r="E5450" t="str">
        <f>HYPERLINK("J:\Depot - mpkCCD Fractions\Main Web Page\Web Pages_old\proteomic_fractions_linear_files/Yang_linear_img/254587962.jpg","show blot")</f>
        <v>show blot</v>
      </c>
      <c r="G5450" t="s">
        <v>5244</v>
      </c>
      <c r="I5450" s="6">
        <v>5.3861962544763147</v>
      </c>
      <c r="K5450" s="8"/>
    </row>
    <row r="5451" spans="1:11" ht="15" x14ac:dyDescent="0.25">
      <c r="A5451" s="3" t="str">
        <f>HYPERLINK("proteomic_fractions_linear_files/Yang_linear_img/254028203.jpg", "254028203")</f>
        <v>254028203</v>
      </c>
      <c r="C5451" s="3" t="str">
        <f>HYPERLINK("http://www.ncbi.nlm.nih.gov/protein/254028203","Pgap1")</f>
        <v>Pgap1</v>
      </c>
      <c r="E5451" t="str">
        <f>HYPERLINK("J:\Depot - mpkCCD Fractions\Main Web Page\Web Pages_old\proteomic_fractions_linear_files/Yang_linear_img/254028203.jpg","show blot")</f>
        <v>show blot</v>
      </c>
      <c r="G5451" t="s">
        <v>5245</v>
      </c>
      <c r="I5451" s="6">
        <v>4.818816484547721</v>
      </c>
      <c r="K5451" s="8"/>
    </row>
    <row r="5452" spans="1:11" ht="15" x14ac:dyDescent="0.25">
      <c r="A5452" s="3" t="str">
        <f>HYPERLINK("proteomic_fractions_linear_files/Yang_linear_img/114326508.jpg", "114326508")</f>
        <v>114326508</v>
      </c>
      <c r="C5452" s="3" t="str">
        <f>HYPERLINK("http://www.ncbi.nlm.nih.gov/protein/114326508","Pgap3")</f>
        <v>Pgap3</v>
      </c>
      <c r="E5452" t="str">
        <f>HYPERLINK("J:\Depot - mpkCCD Fractions\Main Web Page\Web Pages_old\proteomic_fractions_linear_files/Yang_linear_img/114326508.jpg","show blot")</f>
        <v>show blot</v>
      </c>
      <c r="G5452" t="s">
        <v>5246</v>
      </c>
      <c r="I5452" s="6">
        <v>2.5637756648507573</v>
      </c>
      <c r="K5452" s="8"/>
    </row>
    <row r="5453" spans="1:11" ht="15" x14ac:dyDescent="0.25">
      <c r="A5453" s="3" t="str">
        <f>HYPERLINK("proteomic_fractions_linear_files/Yang_linear_img/124486895.jpg", "124486895")</f>
        <v>124486895</v>
      </c>
      <c r="C5453" s="3" t="str">
        <f>HYPERLINK("http://www.ncbi.nlm.nih.gov/protein/124486895","Pgd")</f>
        <v>Pgd</v>
      </c>
      <c r="E5453" t="str">
        <f>HYPERLINK("J:\Depot - mpkCCD Fractions\Main Web Page\Web Pages_old\proteomic_fractions_linear_files/Yang_linear_img/124486895.jpg","show blot")</f>
        <v>show blot</v>
      </c>
      <c r="G5453" t="s">
        <v>5247</v>
      </c>
      <c r="I5453" s="6">
        <v>6.4670955429741275</v>
      </c>
      <c r="K5453" s="8"/>
    </row>
    <row r="5454" spans="1:11" ht="15" x14ac:dyDescent="0.25">
      <c r="A5454" s="3" t="str">
        <f>HYPERLINK("proteomic_fractions_linear_files/Yang_linear_img/27369904.jpg", "27369904")</f>
        <v>27369904</v>
      </c>
      <c r="C5454" s="3" t="str">
        <f>HYPERLINK("http://www.ncbi.nlm.nih.gov/protein/27369904","Pggt1b")</f>
        <v>Pggt1b</v>
      </c>
      <c r="E5454" t="str">
        <f>HYPERLINK("J:\Depot - mpkCCD Fractions\Main Web Page\Web Pages_old\proteomic_fractions_linear_files/Yang_linear_img/27369904.jpg","show blot")</f>
        <v>show blot</v>
      </c>
      <c r="G5454" t="s">
        <v>5248</v>
      </c>
      <c r="I5454" s="6">
        <v>4.4545470837871761</v>
      </c>
      <c r="K5454" s="8"/>
    </row>
    <row r="5455" spans="1:11" ht="15" x14ac:dyDescent="0.25">
      <c r="A5455" s="3" t="str">
        <f>HYPERLINK("proteomic_fractions_linear_files/Yang_linear_img/70778976.jpg", "70778976")</f>
        <v>70778976</v>
      </c>
      <c r="C5455" s="3" t="str">
        <f>HYPERLINK("http://www.ncbi.nlm.nih.gov/protein/70778976","Pgk1")</f>
        <v>Pgk1</v>
      </c>
      <c r="E5455" t="str">
        <f>HYPERLINK("J:\Depot - mpkCCD Fractions\Main Web Page\Web Pages_old\proteomic_fractions_linear_files/Yang_linear_img/70778976.jpg","show blot")</f>
        <v>show blot</v>
      </c>
      <c r="G5455" t="s">
        <v>5249</v>
      </c>
      <c r="I5455" s="6">
        <v>7.3143022315715438</v>
      </c>
      <c r="K5455" s="8"/>
    </row>
    <row r="5456" spans="1:11" ht="15" x14ac:dyDescent="0.25">
      <c r="A5456" s="3" t="str">
        <f>HYPERLINK("proteomic_fractions_linear_files/Yang_linear_img/226246531.jpg", "226246531")</f>
        <v>226246531</v>
      </c>
      <c r="C5456" s="3" t="str">
        <f>HYPERLINK("http://www.ncbi.nlm.nih.gov/protein/226246531","Pgk2")</f>
        <v>Pgk2</v>
      </c>
      <c r="E5456" t="str">
        <f>HYPERLINK("J:\Depot - mpkCCD Fractions\Main Web Page\Web Pages_old\proteomic_fractions_linear_files/Yang_linear_img/226246531.jpg","show blot")</f>
        <v>show blot</v>
      </c>
      <c r="G5456" t="s">
        <v>5250</v>
      </c>
      <c r="I5456" s="6">
        <v>6.7162347681526304</v>
      </c>
      <c r="K5456" s="8"/>
    </row>
    <row r="5457" spans="1:11" ht="15" x14ac:dyDescent="0.25">
      <c r="A5457" s="3" t="str">
        <f>HYPERLINK("proteomic_fractions_linear_files/Yang_linear_img/13384778.jpg", "13384778")</f>
        <v>13384778</v>
      </c>
      <c r="C5457" s="3" t="str">
        <f>HYPERLINK("http://www.ncbi.nlm.nih.gov/protein/13384778","Pgls")</f>
        <v>Pgls</v>
      </c>
      <c r="E5457" t="str">
        <f>HYPERLINK("J:\Depot - mpkCCD Fractions\Main Web Page\Web Pages_old\proteomic_fractions_linear_files/Yang_linear_img/13384778.jpg","show blot")</f>
        <v>show blot</v>
      </c>
      <c r="G5457" t="s">
        <v>5251</v>
      </c>
      <c r="I5457" s="6">
        <v>5.9798864345487068</v>
      </c>
      <c r="K5457" s="8"/>
    </row>
    <row r="5458" spans="1:11" ht="15" x14ac:dyDescent="0.25">
      <c r="A5458" s="3" t="str">
        <f>HYPERLINK("proteomic_fractions_linear_files/Yang_linear_img/33859686.jpg", "33859686")</f>
        <v>33859686</v>
      </c>
      <c r="C5458" s="3" t="str">
        <f>HYPERLINK("http://www.ncbi.nlm.nih.gov/protein/33859686","Pgm1")</f>
        <v>Pgm1</v>
      </c>
      <c r="E5458" t="str">
        <f>HYPERLINK("J:\Depot - mpkCCD Fractions\Main Web Page\Web Pages_old\proteomic_fractions_linear_files/Yang_linear_img/33859686.jpg","show blot")</f>
        <v>show blot</v>
      </c>
      <c r="G5458" t="s">
        <v>5252</v>
      </c>
      <c r="I5458" s="6">
        <v>5.1750770607709127</v>
      </c>
      <c r="K5458" s="8"/>
    </row>
    <row r="5459" spans="1:11" ht="15" x14ac:dyDescent="0.25">
      <c r="A5459" s="3" t="str">
        <f>HYPERLINK("proteomic_fractions_linear_files/Yang_linear_img/227330633.jpg", "227330633")</f>
        <v>227330633</v>
      </c>
      <c r="C5459" s="3" t="str">
        <f>HYPERLINK("http://www.ncbi.nlm.nih.gov/protein/227330633","Pgm2")</f>
        <v>Pgm2</v>
      </c>
      <c r="E5459" t="str">
        <f>HYPERLINK("J:\Depot - mpkCCD Fractions\Main Web Page\Web Pages_old\proteomic_fractions_linear_files/Yang_linear_img/227330633.jpg","show blot")</f>
        <v>show blot</v>
      </c>
      <c r="G5459" t="s">
        <v>5253</v>
      </c>
      <c r="I5459" s="6">
        <v>6.0626595264574954</v>
      </c>
      <c r="K5459" s="8"/>
    </row>
    <row r="5460" spans="1:11" ht="15" x14ac:dyDescent="0.25">
      <c r="A5460" s="3" t="str">
        <f>HYPERLINK("proteomic_fractions_linear_files/Yang_linear_img/28076969.jpg", "28076969")</f>
        <v>28076969</v>
      </c>
      <c r="C5460" s="3" t="str">
        <f>HYPERLINK("http://www.ncbi.nlm.nih.gov/protein/28076969","Pgm2l1")</f>
        <v>Pgm2l1</v>
      </c>
      <c r="E5460" t="str">
        <f>HYPERLINK("J:\Depot - mpkCCD Fractions\Main Web Page\Web Pages_old\proteomic_fractions_linear_files/Yang_linear_img/28076969.jpg","show blot")</f>
        <v>show blot</v>
      </c>
      <c r="G5460" t="s">
        <v>5254</v>
      </c>
      <c r="I5460" s="6">
        <v>4.3134762529062396</v>
      </c>
      <c r="K5460" s="8"/>
    </row>
    <row r="5461" spans="1:11" ht="15" x14ac:dyDescent="0.25">
      <c r="A5461" s="3" t="str">
        <f>HYPERLINK("proteomic_fractions_linear_files/Yang_linear_img/255522939.jpg", "255522939")</f>
        <v>255522939</v>
      </c>
      <c r="C5461" s="3" t="str">
        <f>HYPERLINK("http://www.ncbi.nlm.nih.gov/protein/255522939","Pgm3")</f>
        <v>Pgm3</v>
      </c>
      <c r="E5461" t="str">
        <f>HYPERLINK("J:\Depot - mpkCCD Fractions\Main Web Page\Web Pages_old\proteomic_fractions_linear_files/Yang_linear_img/255522939.jpg","show blot")</f>
        <v>show blot</v>
      </c>
      <c r="G5461" t="s">
        <v>5255</v>
      </c>
      <c r="I5461" s="6">
        <v>4.5581873859656152</v>
      </c>
      <c r="K5461" s="8"/>
    </row>
    <row r="5462" spans="1:11" ht="15" x14ac:dyDescent="0.25">
      <c r="A5462" s="3" t="str">
        <f>HYPERLINK("proteomic_fractions_linear_files/Yang_linear_img/255522941.jpg", "255522941")</f>
        <v>255522941</v>
      </c>
      <c r="C5462" s="3" t="str">
        <f>HYPERLINK("http://www.ncbi.nlm.nih.gov/protein/255522941","Pgm3")</f>
        <v>Pgm3</v>
      </c>
      <c r="E5462" t="str">
        <f>HYPERLINK("J:\Depot - mpkCCD Fractions\Main Web Page\Web Pages_old\proteomic_fractions_linear_files/Yang_linear_img/255522941.jpg","show blot")</f>
        <v>show blot</v>
      </c>
      <c r="G5462" t="s">
        <v>5256</v>
      </c>
      <c r="I5462" s="6">
        <v>4.5581873859656152</v>
      </c>
      <c r="K5462" s="8"/>
    </row>
    <row r="5463" spans="1:11" ht="15" x14ac:dyDescent="0.25">
      <c r="A5463" s="3" t="str">
        <f>HYPERLINK("proteomic_fractions_linear_files/Yang_linear_img/40254507.jpg", "40254507")</f>
        <v>40254507</v>
      </c>
      <c r="C5463" s="3" t="str">
        <f>HYPERLINK("http://www.ncbi.nlm.nih.gov/protein/40254507","Pgp")</f>
        <v>Pgp</v>
      </c>
      <c r="E5463" t="str">
        <f>HYPERLINK("J:\Depot - mpkCCD Fractions\Main Web Page\Web Pages_old\proteomic_fractions_linear_files/Yang_linear_img/40254507.jpg","show blot")</f>
        <v>show blot</v>
      </c>
      <c r="G5463" t="s">
        <v>5257</v>
      </c>
      <c r="I5463" s="6">
        <v>6.0713282644449187</v>
      </c>
      <c r="K5463" s="8"/>
    </row>
    <row r="5464" spans="1:11" ht="15" x14ac:dyDescent="0.25">
      <c r="A5464" s="3" t="str">
        <f>HYPERLINK("proteomic_fractions_linear_files/Yang_linear_img/31980806.jpg", "31980806")</f>
        <v>31980806</v>
      </c>
      <c r="C5464" s="3" t="str">
        <f>HYPERLINK("http://www.ncbi.nlm.nih.gov/protein/31980806","Pgrmc1")</f>
        <v>Pgrmc1</v>
      </c>
      <c r="E5464" t="str">
        <f>HYPERLINK("J:\Depot - mpkCCD Fractions\Main Web Page\Web Pages_old\proteomic_fractions_linear_files/Yang_linear_img/31980806.jpg","show blot")</f>
        <v>show blot</v>
      </c>
      <c r="G5464" t="s">
        <v>5258</v>
      </c>
      <c r="I5464" s="6">
        <v>5.417645410907812</v>
      </c>
      <c r="K5464" s="8"/>
    </row>
    <row r="5465" spans="1:11" ht="15" x14ac:dyDescent="0.25">
      <c r="A5465" s="3" t="str">
        <f>HYPERLINK("proteomic_fractions_linear_files/Yang_linear_img/226442772.jpg", "226442772")</f>
        <v>226442772</v>
      </c>
      <c r="C5465" s="3" t="str">
        <f>HYPERLINK("http://www.ncbi.nlm.nih.gov/protein/226442772","Pgrmc2")</f>
        <v>Pgrmc2</v>
      </c>
      <c r="E5465" t="str">
        <f>HYPERLINK("J:\Depot - mpkCCD Fractions\Main Web Page\Web Pages_old\proteomic_fractions_linear_files/Yang_linear_img/226442772.jpg","show blot")</f>
        <v>show blot</v>
      </c>
      <c r="G5465" t="s">
        <v>5259</v>
      </c>
      <c r="I5465" s="6">
        <v>5.6200810331326325</v>
      </c>
      <c r="K5465" s="8"/>
    </row>
    <row r="5466" spans="1:11" ht="15" x14ac:dyDescent="0.25">
      <c r="A5466" s="3" t="str">
        <f>HYPERLINK("proteomic_fractions_linear_files/Yang_linear_img/110626163.jpg", "110626163")</f>
        <v>110626163</v>
      </c>
      <c r="C5466" s="3" t="str">
        <f>HYPERLINK("http://www.ncbi.nlm.nih.gov/protein/110626163","Pgs1")</f>
        <v>Pgs1</v>
      </c>
      <c r="E5466" t="str">
        <f>HYPERLINK("J:\Depot - mpkCCD Fractions\Main Web Page\Web Pages_old\proteomic_fractions_linear_files/Yang_linear_img/110626163.jpg","show blot")</f>
        <v>show blot</v>
      </c>
      <c r="G5466" t="s">
        <v>5260</v>
      </c>
      <c r="I5466" s="6">
        <v>3.2838241075625434</v>
      </c>
      <c r="K5466" s="8"/>
    </row>
    <row r="5467" spans="1:11" ht="15" x14ac:dyDescent="0.25">
      <c r="A5467" s="3" t="str">
        <f>HYPERLINK("proteomic_fractions_linear_files/Yang_linear_img/54144633.jpg", "54144633")</f>
        <v>54144633</v>
      </c>
      <c r="C5467" s="3" t="str">
        <f>HYPERLINK("http://www.ncbi.nlm.nih.gov/protein/54144633","Phactr1")</f>
        <v>Phactr1</v>
      </c>
      <c r="E5467" t="str">
        <f>HYPERLINK("J:\Depot - mpkCCD Fractions\Main Web Page\Web Pages_old\proteomic_fractions_linear_files/Yang_linear_img/54144633.jpg","show blot")</f>
        <v>show blot</v>
      </c>
      <c r="G5467" t="s">
        <v>5261</v>
      </c>
      <c r="I5467" s="6">
        <v>2.8018929792096925</v>
      </c>
      <c r="K5467" s="8"/>
    </row>
    <row r="5468" spans="1:11" ht="15" x14ac:dyDescent="0.25">
      <c r="A5468" s="3" t="str">
        <f>HYPERLINK("proteomic_fractions_linear_files/Yang_linear_img/54144635.jpg", "54144635")</f>
        <v>54144635</v>
      </c>
      <c r="C5468" s="3" t="str">
        <f>HYPERLINK("http://www.ncbi.nlm.nih.gov/protein/54144635","Phactr1")</f>
        <v>Phactr1</v>
      </c>
      <c r="E5468" t="str">
        <f>HYPERLINK("J:\Depot - mpkCCD Fractions\Main Web Page\Web Pages_old\proteomic_fractions_linear_files/Yang_linear_img/54144635.jpg","show blot")</f>
        <v>show blot</v>
      </c>
      <c r="G5468" t="s">
        <v>5262</v>
      </c>
      <c r="I5468" s="6">
        <v>2.8018929792096925</v>
      </c>
      <c r="K5468" s="8"/>
    </row>
    <row r="5469" spans="1:11" ht="15" x14ac:dyDescent="0.25">
      <c r="A5469" s="3" t="str">
        <f>HYPERLINK("proteomic_fractions_linear_files/Yang_linear_img/54144637.jpg", "54144637")</f>
        <v>54144637</v>
      </c>
      <c r="C5469" s="3" t="str">
        <f>HYPERLINK("http://www.ncbi.nlm.nih.gov/protein/54144637","Phactr1")</f>
        <v>Phactr1</v>
      </c>
      <c r="E5469" t="str">
        <f>HYPERLINK("J:\Depot - mpkCCD Fractions\Main Web Page\Web Pages_old\proteomic_fractions_linear_files/Yang_linear_img/54144637.jpg","show blot")</f>
        <v>show blot</v>
      </c>
      <c r="G5469" t="s">
        <v>5263</v>
      </c>
      <c r="I5469" s="6">
        <v>2.8018929792096925</v>
      </c>
      <c r="K5469" s="8"/>
    </row>
    <row r="5470" spans="1:11" ht="15" x14ac:dyDescent="0.25">
      <c r="A5470" s="3" t="str">
        <f>HYPERLINK("proteomic_fractions_linear_files/Yang_linear_img/304361725.jpg", "304361725")</f>
        <v>304361725</v>
      </c>
      <c r="C5470" s="3" t="str">
        <f>HYPERLINK("http://www.ncbi.nlm.nih.gov/protein/304361725","Phactr2")</f>
        <v>Phactr2</v>
      </c>
      <c r="E5470" t="str">
        <f>HYPERLINK("J:\Depot - mpkCCD Fractions\Main Web Page\Web Pages_old\proteomic_fractions_linear_files/Yang_linear_img/304361725.jpg","show blot")</f>
        <v>show blot</v>
      </c>
      <c r="G5470" t="s">
        <v>5264</v>
      </c>
      <c r="I5470" s="6">
        <v>4.3980785599728245</v>
      </c>
      <c r="K5470" s="8"/>
    </row>
    <row r="5471" spans="1:11" ht="15" x14ac:dyDescent="0.25">
      <c r="A5471" s="3" t="str">
        <f>HYPERLINK("proteomic_fractions_linear_files/Yang_linear_img/304361727.jpg", "304361727")</f>
        <v>304361727</v>
      </c>
      <c r="C5471" s="3" t="str">
        <f>HYPERLINK("http://www.ncbi.nlm.nih.gov/protein/304361727","Phactr2")</f>
        <v>Phactr2</v>
      </c>
      <c r="E5471" t="str">
        <f>HYPERLINK("J:\Depot - mpkCCD Fractions\Main Web Page\Web Pages_old\proteomic_fractions_linear_files/Yang_linear_img/304361727.jpg","show blot")</f>
        <v>show blot</v>
      </c>
      <c r="G5471" t="s">
        <v>5265</v>
      </c>
      <c r="I5471" s="6">
        <v>4.3980785599728245</v>
      </c>
      <c r="K5471" s="8"/>
    </row>
    <row r="5472" spans="1:11" ht="15" x14ac:dyDescent="0.25">
      <c r="A5472" s="3" t="str">
        <f>HYPERLINK("proteomic_fractions_linear_files/Yang_linear_img/304361740.jpg", "304361740")</f>
        <v>304361740</v>
      </c>
      <c r="C5472" s="3" t="str">
        <f>HYPERLINK("http://www.ncbi.nlm.nih.gov/protein/304361740","Phactr2")</f>
        <v>Phactr2</v>
      </c>
      <c r="E5472" t="str">
        <f>HYPERLINK("J:\Depot - mpkCCD Fractions\Main Web Page\Web Pages_old\proteomic_fractions_linear_files/Yang_linear_img/304361740.jpg","show blot")</f>
        <v>show blot</v>
      </c>
      <c r="G5472" t="s">
        <v>5266</v>
      </c>
      <c r="I5472" s="6">
        <v>4.3980785599728245</v>
      </c>
      <c r="K5472" s="8"/>
    </row>
    <row r="5473" spans="1:11" ht="15" x14ac:dyDescent="0.25">
      <c r="A5473" s="3" t="str">
        <f>HYPERLINK("proteomic_fractions_linear_files/Yang_linear_img/84781783.jpg", "84781783")</f>
        <v>84781783</v>
      </c>
      <c r="C5473" s="3" t="str">
        <f>HYPERLINK("http://www.ncbi.nlm.nih.gov/protein/84781783","Phactr2")</f>
        <v>Phactr2</v>
      </c>
      <c r="E5473" t="str">
        <f>HYPERLINK("J:\Depot - mpkCCD Fractions\Main Web Page\Web Pages_old\proteomic_fractions_linear_files/Yang_linear_img/84781783.jpg","show blot")</f>
        <v>show blot</v>
      </c>
      <c r="G5473" t="s">
        <v>5267</v>
      </c>
      <c r="I5473" s="6">
        <v>4.3980785599728245</v>
      </c>
      <c r="K5473" s="8"/>
    </row>
    <row r="5474" spans="1:11" ht="15" x14ac:dyDescent="0.25">
      <c r="A5474" s="3" t="str">
        <f>HYPERLINK("proteomic_fractions_linear_files/Yang_linear_img/239985486.jpg", "239985486")</f>
        <v>239985486</v>
      </c>
      <c r="C5474" s="3" t="str">
        <f>HYPERLINK("http://www.ncbi.nlm.nih.gov/protein/239985486","Phactr4")</f>
        <v>Phactr4</v>
      </c>
      <c r="E5474" t="str">
        <f>HYPERLINK("J:\Depot - mpkCCD Fractions\Main Web Page\Web Pages_old\proteomic_fractions_linear_files/Yang_linear_img/239985486.jpg","show blot")</f>
        <v>show blot</v>
      </c>
      <c r="G5474" t="s">
        <v>5268</v>
      </c>
      <c r="I5474" s="6">
        <v>3.9781501305491505</v>
      </c>
      <c r="K5474" s="8"/>
    </row>
    <row r="5475" spans="1:11" ht="15" x14ac:dyDescent="0.25">
      <c r="A5475" s="3" t="str">
        <f>HYPERLINK("proteomic_fractions_linear_files/Yang_linear_img/239985488.jpg", "239985488")</f>
        <v>239985488</v>
      </c>
      <c r="C5475" s="3" t="str">
        <f>HYPERLINK("http://www.ncbi.nlm.nih.gov/protein/239985488","Phactr4")</f>
        <v>Phactr4</v>
      </c>
      <c r="E5475" t="str">
        <f>HYPERLINK("J:\Depot - mpkCCD Fractions\Main Web Page\Web Pages_old\proteomic_fractions_linear_files/Yang_linear_img/239985488.jpg","show blot")</f>
        <v>show blot</v>
      </c>
      <c r="G5475" t="s">
        <v>5269</v>
      </c>
      <c r="I5475" s="6">
        <v>3.9781501305491505</v>
      </c>
      <c r="K5475" s="8"/>
    </row>
    <row r="5476" spans="1:11" ht="15" x14ac:dyDescent="0.25">
      <c r="A5476" s="3" t="str">
        <f>HYPERLINK("proteomic_fractions_linear_files/Yang_linear_img/253314458.jpg", "253314458")</f>
        <v>253314458</v>
      </c>
      <c r="C5476" s="3" t="str">
        <f>HYPERLINK("http://www.ncbi.nlm.nih.gov/protein/253314458","Phax")</f>
        <v>Phax</v>
      </c>
      <c r="E5476" t="str">
        <f>HYPERLINK("J:\Depot - mpkCCD Fractions\Main Web Page\Web Pages_old\proteomic_fractions_linear_files/Yang_linear_img/253314458.jpg","show blot")</f>
        <v>show blot</v>
      </c>
      <c r="G5476" t="s">
        <v>5270</v>
      </c>
      <c r="I5476" s="6">
        <v>4.6465613553836302</v>
      </c>
      <c r="K5476" s="8"/>
    </row>
    <row r="5477" spans="1:11" ht="15" x14ac:dyDescent="0.25">
      <c r="A5477" s="3" t="str">
        <f>HYPERLINK("proteomic_fractions_linear_files/Yang_linear_img/253314461.jpg", "253314461")</f>
        <v>253314461</v>
      </c>
      <c r="C5477" s="3" t="str">
        <f>HYPERLINK("http://www.ncbi.nlm.nih.gov/protein/253314461","Phax")</f>
        <v>Phax</v>
      </c>
      <c r="E5477" t="str">
        <f>HYPERLINK("J:\Depot - mpkCCD Fractions\Main Web Page\Web Pages_old\proteomic_fractions_linear_files/Yang_linear_img/253314461.jpg","show blot")</f>
        <v>show blot</v>
      </c>
      <c r="G5477" t="s">
        <v>5271</v>
      </c>
      <c r="I5477" s="6">
        <v>4.6465613553836302</v>
      </c>
      <c r="K5477" s="8"/>
    </row>
    <row r="5478" spans="1:11" ht="15" x14ac:dyDescent="0.25">
      <c r="A5478" s="3" t="str">
        <f>HYPERLINK("proteomic_fractions_linear_files/Yang_linear_img/6679299.jpg", "6679299")</f>
        <v>6679299</v>
      </c>
      <c r="C5478" s="3" t="str">
        <f>HYPERLINK("http://www.ncbi.nlm.nih.gov/protein/6679299","Phb")</f>
        <v>Phb</v>
      </c>
      <c r="E5478" t="str">
        <f>HYPERLINK("J:\Depot - mpkCCD Fractions\Main Web Page\Web Pages_old\proteomic_fractions_linear_files/Yang_linear_img/6679299.jpg","show blot")</f>
        <v>show blot</v>
      </c>
      <c r="G5478" t="s">
        <v>5272</v>
      </c>
      <c r="I5478" s="6">
        <v>6.5756078917245615</v>
      </c>
      <c r="K5478" s="8"/>
    </row>
    <row r="5479" spans="1:11" ht="15" x14ac:dyDescent="0.25">
      <c r="A5479" s="3" t="str">
        <f>HYPERLINK("proteomic_fractions_linear_files/Yang_linear_img/126723336.jpg", "126723336")</f>
        <v>126723336</v>
      </c>
      <c r="C5479" s="3" t="str">
        <f>HYPERLINK("http://www.ncbi.nlm.nih.gov/protein/126723336","Phb2")</f>
        <v>Phb2</v>
      </c>
      <c r="E5479" t="str">
        <f>HYPERLINK("J:\Depot - mpkCCD Fractions\Main Web Page\Web Pages_old\proteomic_fractions_linear_files/Yang_linear_img/126723336.jpg","show blot")</f>
        <v>show blot</v>
      </c>
      <c r="G5479" t="s">
        <v>5273</v>
      </c>
      <c r="I5479" s="6">
        <v>6.8326395098565422</v>
      </c>
      <c r="K5479" s="8"/>
    </row>
    <row r="5480" spans="1:11" ht="15" x14ac:dyDescent="0.25">
      <c r="A5480" s="3" t="str">
        <f>HYPERLINK("proteomic_fractions_linear_files/Yang_linear_img/270288742.jpg", "270288742")</f>
        <v>270288742</v>
      </c>
      <c r="C5480" s="3" t="str">
        <f>HYPERLINK("http://www.ncbi.nlm.nih.gov/protein/270288742","Phf14")</f>
        <v>Phf14</v>
      </c>
      <c r="E5480" t="str">
        <f>HYPERLINK("J:\Depot - mpkCCD Fractions\Main Web Page\Web Pages_old\proteomic_fractions_linear_files/Yang_linear_img/270288742.jpg","show blot")</f>
        <v>show blot</v>
      </c>
      <c r="G5480" t="s">
        <v>5274</v>
      </c>
      <c r="I5480" s="6">
        <v>3.3956131758523309</v>
      </c>
      <c r="K5480" s="8"/>
    </row>
    <row r="5481" spans="1:11" ht="15" x14ac:dyDescent="0.25">
      <c r="A5481" s="3" t="str">
        <f>HYPERLINK("proteomic_fractions_linear_files/Yang_linear_img/270288744.jpg", "270288744")</f>
        <v>270288744</v>
      </c>
      <c r="C5481" s="3" t="str">
        <f>HYPERLINK("http://www.ncbi.nlm.nih.gov/protein/270288744","Phf14")</f>
        <v>Phf14</v>
      </c>
      <c r="E5481" t="str">
        <f>HYPERLINK("J:\Depot - mpkCCD Fractions\Main Web Page\Web Pages_old\proteomic_fractions_linear_files/Yang_linear_img/270288744.jpg","show blot")</f>
        <v>show blot</v>
      </c>
      <c r="G5481" t="s">
        <v>5275</v>
      </c>
      <c r="I5481" s="6">
        <v>3.3956131758523309</v>
      </c>
      <c r="K5481" s="8"/>
    </row>
    <row r="5482" spans="1:11" ht="15" x14ac:dyDescent="0.25">
      <c r="A5482" s="3" t="str">
        <f>HYPERLINK("proteomic_fractions_linear_files/Yang_linear_img/24415990.jpg", "24415990")</f>
        <v>24415990</v>
      </c>
      <c r="C5482" s="3" t="str">
        <f>HYPERLINK("http://www.ncbi.nlm.nih.gov/protein/24415990","Phf5a")</f>
        <v>Phf5a</v>
      </c>
      <c r="E5482" t="str">
        <f>HYPERLINK("J:\Depot - mpkCCD Fractions\Main Web Page\Web Pages_old\proteomic_fractions_linear_files/Yang_linear_img/24415990.jpg","show blot")</f>
        <v>show blot</v>
      </c>
      <c r="G5482" t="s">
        <v>5276</v>
      </c>
      <c r="I5482" s="6">
        <v>5.5468899346018654</v>
      </c>
      <c r="K5482" s="8"/>
    </row>
    <row r="5483" spans="1:11" ht="15" x14ac:dyDescent="0.25">
      <c r="A5483" s="3" t="str">
        <f>HYPERLINK("proteomic_fractions_linear_files/Yang_linear_img/33563292.jpg", "33563292")</f>
        <v>33563292</v>
      </c>
      <c r="C5483" s="3" t="str">
        <f>HYPERLINK("http://www.ncbi.nlm.nih.gov/protein/33563292","Phf6")</f>
        <v>Phf6</v>
      </c>
      <c r="E5483" t="str">
        <f>HYPERLINK("J:\Depot - mpkCCD Fractions\Main Web Page\Web Pages_old\proteomic_fractions_linear_files/Yang_linear_img/33563292.jpg","show blot")</f>
        <v>show blot</v>
      </c>
      <c r="G5483" t="s">
        <v>5277</v>
      </c>
      <c r="I5483" s="6">
        <v>3.8687899025839672</v>
      </c>
      <c r="K5483" s="8"/>
    </row>
    <row r="5484" spans="1:11" ht="15" x14ac:dyDescent="0.25">
      <c r="A5484" s="3" t="str">
        <f>HYPERLINK("proteomic_fractions_linear_files/Yang_linear_img/164518891.jpg", "164518891")</f>
        <v>164518891</v>
      </c>
      <c r="C5484" s="3" t="str">
        <f>HYPERLINK("http://www.ncbi.nlm.nih.gov/protein/164518891","Phf8")</f>
        <v>Phf8</v>
      </c>
      <c r="E5484" t="str">
        <f>HYPERLINK("J:\Depot - mpkCCD Fractions\Main Web Page\Web Pages_old\proteomic_fractions_linear_files/Yang_linear_img/164518891.jpg","show blot")</f>
        <v>show blot</v>
      </c>
      <c r="G5484" t="s">
        <v>5278</v>
      </c>
      <c r="I5484" s="6">
        <v>1.5046692981580485</v>
      </c>
      <c r="K5484" s="8"/>
    </row>
    <row r="5485" spans="1:11" ht="15" x14ac:dyDescent="0.25">
      <c r="A5485" s="3" t="str">
        <f>HYPERLINK("proteomic_fractions_linear_files/Yang_linear_img/52353955.jpg", "52353955")</f>
        <v>52353955</v>
      </c>
      <c r="C5485" s="3" t="str">
        <f>HYPERLINK("http://www.ncbi.nlm.nih.gov/protein/52353955","Phgdh")</f>
        <v>Phgdh</v>
      </c>
      <c r="E5485" t="str">
        <f>HYPERLINK("J:\Depot - mpkCCD Fractions\Main Web Page\Web Pages_old\proteomic_fractions_linear_files/Yang_linear_img/52353955.jpg","show blot")</f>
        <v>show blot</v>
      </c>
      <c r="G5485" t="s">
        <v>5279</v>
      </c>
      <c r="I5485" s="6">
        <v>6.6263384449850458</v>
      </c>
      <c r="K5485" s="8"/>
    </row>
    <row r="5486" spans="1:11" ht="15" x14ac:dyDescent="0.25">
      <c r="A5486" s="3" t="str">
        <f>HYPERLINK("proteomic_fractions_linear_files/Yang_linear_img/40789096.jpg", "40789096")</f>
        <v>40789096</v>
      </c>
      <c r="C5486" s="3" t="str">
        <f>HYPERLINK("http://www.ncbi.nlm.nih.gov/protein/40789096","Phkb")</f>
        <v>Phkb</v>
      </c>
      <c r="E5486" t="str">
        <f>HYPERLINK("J:\Depot - mpkCCD Fractions\Main Web Page\Web Pages_old\proteomic_fractions_linear_files/Yang_linear_img/40789096.jpg","show blot")</f>
        <v>show blot</v>
      </c>
      <c r="G5486" t="s">
        <v>5280</v>
      </c>
      <c r="I5486" s="6">
        <v>3.2424613328284915</v>
      </c>
      <c r="K5486" s="8"/>
    </row>
    <row r="5487" spans="1:11" ht="15" x14ac:dyDescent="0.25">
      <c r="A5487" s="3" t="str">
        <f>HYPERLINK("proteomic_fractions_linear_files/Yang_linear_img/226442929.jpg", "226442929")</f>
        <v>226442929</v>
      </c>
      <c r="C5487" s="3" t="str">
        <f>HYPERLINK("http://www.ncbi.nlm.nih.gov/protein/226442929","Phlda1")</f>
        <v>Phlda1</v>
      </c>
      <c r="E5487" t="str">
        <f>HYPERLINK("J:\Depot - mpkCCD Fractions\Main Web Page\Web Pages_old\proteomic_fractions_linear_files/Yang_linear_img/226442929.jpg","show blot")</f>
        <v>show blot</v>
      </c>
      <c r="G5487" t="s">
        <v>5281</v>
      </c>
      <c r="I5487" s="6">
        <v>2.4051375784353102</v>
      </c>
      <c r="K5487" s="8"/>
    </row>
    <row r="5488" spans="1:11" ht="15" x14ac:dyDescent="0.25">
      <c r="A5488" s="3" t="str">
        <f>HYPERLINK("proteomic_fractions_linear_files/Yang_linear_img/7305377.jpg", "7305377")</f>
        <v>7305377</v>
      </c>
      <c r="C5488" s="3" t="str">
        <f>HYPERLINK("http://www.ncbi.nlm.nih.gov/protein/7305377","Phlda3")</f>
        <v>Phlda3</v>
      </c>
      <c r="E5488" t="str">
        <f>HYPERLINK("J:\Depot - mpkCCD Fractions\Main Web Page\Web Pages_old\proteomic_fractions_linear_files/Yang_linear_img/7305377.jpg","show blot")</f>
        <v>show blot</v>
      </c>
      <c r="G5488" t="s">
        <v>5282</v>
      </c>
      <c r="I5488" s="6">
        <v>2.2866809693549301</v>
      </c>
      <c r="K5488" s="8"/>
    </row>
    <row r="5489" spans="1:11" ht="15" x14ac:dyDescent="0.25">
      <c r="A5489" s="3" t="str">
        <f>HYPERLINK("proteomic_fractions_linear_files/Yang_linear_img/188528897.jpg", "188528897")</f>
        <v>188528897</v>
      </c>
      <c r="C5489" s="3" t="str">
        <f>HYPERLINK("http://www.ncbi.nlm.nih.gov/protein/188528897","Phldb2")</f>
        <v>Phldb2</v>
      </c>
      <c r="E5489" t="str">
        <f>HYPERLINK("J:\Depot - mpkCCD Fractions\Main Web Page\Web Pages_old\proteomic_fractions_linear_files/Yang_linear_img/188528897.jpg","show blot")</f>
        <v>show blot</v>
      </c>
      <c r="G5489" t="s">
        <v>5283</v>
      </c>
      <c r="I5489" s="6">
        <v>3.4416920530406538</v>
      </c>
      <c r="K5489" s="8"/>
    </row>
    <row r="5490" spans="1:11" ht="15" x14ac:dyDescent="0.25">
      <c r="A5490" s="3" t="str">
        <f>HYPERLINK("proteomic_fractions_linear_files/Yang_linear_img/356995938.jpg", "356995938")</f>
        <v>356995938</v>
      </c>
      <c r="C5490" s="3" t="str">
        <f>HYPERLINK("http://www.ncbi.nlm.nih.gov/protein/356995938","Phldb2")</f>
        <v>Phldb2</v>
      </c>
      <c r="E5490" t="str">
        <f>HYPERLINK("J:\Depot - mpkCCD Fractions\Main Web Page\Web Pages_old\proteomic_fractions_linear_files/Yang_linear_img/356995938.jpg","show blot")</f>
        <v>show blot</v>
      </c>
      <c r="G5490" t="s">
        <v>5284</v>
      </c>
      <c r="I5490" s="6">
        <v>3.4416920530406538</v>
      </c>
      <c r="K5490" s="8"/>
    </row>
    <row r="5491" spans="1:11" ht="15" x14ac:dyDescent="0.25">
      <c r="A5491" s="3" t="str">
        <f>HYPERLINK("proteomic_fractions_linear_files/Yang_linear_img/156616318.jpg", "156616318")</f>
        <v>156616318</v>
      </c>
      <c r="C5491" s="3" t="str">
        <f>HYPERLINK("http://www.ncbi.nlm.nih.gov/protein/156616318","Phldb3")</f>
        <v>Phldb3</v>
      </c>
      <c r="E5491" t="str">
        <f>HYPERLINK("J:\Depot - mpkCCD Fractions\Main Web Page\Web Pages_old\proteomic_fractions_linear_files/Yang_linear_img/156616318.jpg","show blot")</f>
        <v>show blot</v>
      </c>
      <c r="G5491" t="s">
        <v>5285</v>
      </c>
      <c r="I5491" s="6">
        <v>3.6891886990184046</v>
      </c>
      <c r="K5491" s="8"/>
    </row>
    <row r="5492" spans="1:11" ht="15" x14ac:dyDescent="0.25">
      <c r="A5492" s="3" t="str">
        <f>HYPERLINK("proteomic_fractions_linear_files/Yang_linear_img/21312114.jpg", "21312114")</f>
        <v>21312114</v>
      </c>
      <c r="C5492" s="3" t="str">
        <f>HYPERLINK("http://www.ncbi.nlm.nih.gov/protein/21312114","Phospho2")</f>
        <v>Phospho2</v>
      </c>
      <c r="E5492" t="str">
        <f>HYPERLINK("J:\Depot - mpkCCD Fractions\Main Web Page\Web Pages_old\proteomic_fractions_linear_files/Yang_linear_img/21312114.jpg","show blot")</f>
        <v>show blot</v>
      </c>
      <c r="G5492" t="s">
        <v>5286</v>
      </c>
      <c r="I5492" s="6">
        <v>3.5451012360168286</v>
      </c>
      <c r="K5492" s="8"/>
    </row>
    <row r="5493" spans="1:11" ht="15" x14ac:dyDescent="0.25">
      <c r="A5493" s="3" t="str">
        <f>HYPERLINK("proteomic_fractions_linear_files/Yang_linear_img/58037409.jpg", "58037409")</f>
        <v>58037409</v>
      </c>
      <c r="C5493" s="3" t="str">
        <f>HYPERLINK("http://www.ncbi.nlm.nih.gov/protein/58037409","Phpt1")</f>
        <v>Phpt1</v>
      </c>
      <c r="E5493" t="str">
        <f>HYPERLINK("J:\Depot - mpkCCD Fractions\Main Web Page\Web Pages_old\proteomic_fractions_linear_files/Yang_linear_img/58037409.jpg","show blot")</f>
        <v>show blot</v>
      </c>
      <c r="G5493" t="s">
        <v>5287</v>
      </c>
      <c r="I5493" s="6">
        <v>5.429434069446919</v>
      </c>
      <c r="K5493" s="8"/>
    </row>
    <row r="5494" spans="1:11" ht="15" x14ac:dyDescent="0.25">
      <c r="A5494" s="3" t="str">
        <f>HYPERLINK("proteomic_fractions_linear_files/Yang_linear_img/26986561.jpg", "26986561")</f>
        <v>26986561</v>
      </c>
      <c r="C5494" s="3" t="str">
        <f>HYPERLINK("http://www.ncbi.nlm.nih.gov/protein/26986561","Phyhd1")</f>
        <v>Phyhd1</v>
      </c>
      <c r="E5494" t="str">
        <f>HYPERLINK("J:\Depot - mpkCCD Fractions\Main Web Page\Web Pages_old\proteomic_fractions_linear_files/Yang_linear_img/26986561.jpg","show blot")</f>
        <v>show blot</v>
      </c>
      <c r="G5494" t="s">
        <v>5288</v>
      </c>
      <c r="I5494" s="6">
        <v>3.3555856719042501</v>
      </c>
      <c r="K5494" s="8"/>
    </row>
    <row r="5495" spans="1:11" ht="15" x14ac:dyDescent="0.25">
      <c r="A5495" s="3" t="str">
        <f>HYPERLINK("proteomic_fractions_linear_files/Yang_linear_img/357540869.jpg", "357540869")</f>
        <v>357540869</v>
      </c>
      <c r="C5495" s="3" t="str">
        <f>HYPERLINK("http://www.ncbi.nlm.nih.gov/protein/357540869","Phyhd1")</f>
        <v>Phyhd1</v>
      </c>
      <c r="E5495" t="str">
        <f>HYPERLINK("J:\Depot - mpkCCD Fractions\Main Web Page\Web Pages_old\proteomic_fractions_linear_files/Yang_linear_img/357540869.jpg","show blot")</f>
        <v>show blot</v>
      </c>
      <c r="G5495" t="s">
        <v>5289</v>
      </c>
      <c r="I5495" s="6">
        <v>3.3555856719042501</v>
      </c>
      <c r="K5495" s="8"/>
    </row>
    <row r="5496" spans="1:11" ht="15" x14ac:dyDescent="0.25">
      <c r="A5496" s="3" t="str">
        <f>HYPERLINK("proteomic_fractions_linear_files/Yang_linear_img/357588425.jpg", "357588425")</f>
        <v>357588425</v>
      </c>
      <c r="C5496" s="3" t="str">
        <f>HYPERLINK("http://www.ncbi.nlm.nih.gov/protein/357588425","Phyhd1")</f>
        <v>Phyhd1</v>
      </c>
      <c r="E5496" t="str">
        <f>HYPERLINK("J:\Depot - mpkCCD Fractions\Main Web Page\Web Pages_old\proteomic_fractions_linear_files/Yang_linear_img/357588425.jpg","show blot")</f>
        <v>show blot</v>
      </c>
      <c r="G5496" t="s">
        <v>5290</v>
      </c>
      <c r="I5496" s="6">
        <v>3.3555856719042501</v>
      </c>
      <c r="K5496" s="8"/>
    </row>
    <row r="5497" spans="1:11" ht="15" x14ac:dyDescent="0.25">
      <c r="A5497" s="3" t="str">
        <f>HYPERLINK("proteomic_fractions_linear_files/Yang_linear_img/357588429.jpg", "357588429")</f>
        <v>357588429</v>
      </c>
      <c r="C5497" s="3" t="str">
        <f>HYPERLINK("http://www.ncbi.nlm.nih.gov/protein/357588429","Phyhd1")</f>
        <v>Phyhd1</v>
      </c>
      <c r="E5497" t="str">
        <f>HYPERLINK("J:\Depot - mpkCCD Fractions\Main Web Page\Web Pages_old\proteomic_fractions_linear_files/Yang_linear_img/357588429.jpg","show blot")</f>
        <v>show blot</v>
      </c>
      <c r="G5497" t="s">
        <v>5291</v>
      </c>
      <c r="I5497" s="6">
        <v>3.3555856719042501</v>
      </c>
      <c r="K5497" s="8"/>
    </row>
    <row r="5498" spans="1:11" ht="15" x14ac:dyDescent="0.25">
      <c r="A5498" s="3" t="str">
        <f>HYPERLINK("proteomic_fractions_linear_files/Yang_linear_img/28077015.jpg", "28077015")</f>
        <v>28077015</v>
      </c>
      <c r="C5498" s="3" t="str">
        <f>HYPERLINK("http://www.ncbi.nlm.nih.gov/protein/28077015","Phykpl")</f>
        <v>Phykpl</v>
      </c>
      <c r="E5498" t="str">
        <f>HYPERLINK("J:\Depot - mpkCCD Fractions\Main Web Page\Web Pages_old\proteomic_fractions_linear_files/Yang_linear_img/28077015.jpg","show blot")</f>
        <v>show blot</v>
      </c>
      <c r="G5498" t="s">
        <v>5292</v>
      </c>
      <c r="I5498" s="6">
        <v>3.62262839555898</v>
      </c>
      <c r="K5498" s="8"/>
    </row>
    <row r="5499" spans="1:11" ht="15" x14ac:dyDescent="0.25">
      <c r="A5499" s="3" t="str">
        <f>HYPERLINK("proteomic_fractions_linear_files/Yang_linear_img/21703986.jpg", "21703986")</f>
        <v>21703986</v>
      </c>
      <c r="C5499" s="3" t="str">
        <f>HYPERLINK("http://www.ncbi.nlm.nih.gov/protein/21703986","Pi4k2a")</f>
        <v>Pi4k2a</v>
      </c>
      <c r="E5499" t="str">
        <f>HYPERLINK("J:\Depot - mpkCCD Fractions\Main Web Page\Web Pages_old\proteomic_fractions_linear_files/Yang_linear_img/21703986.jpg","show blot")</f>
        <v>show blot</v>
      </c>
      <c r="G5499" t="s">
        <v>5293</v>
      </c>
      <c r="I5499" s="6">
        <v>4.7298330004826559</v>
      </c>
      <c r="K5499" s="8"/>
    </row>
    <row r="5500" spans="1:11" ht="15" x14ac:dyDescent="0.25">
      <c r="A5500" s="3" t="str">
        <f>HYPERLINK("proteomic_fractions_linear_files/Yang_linear_img/145966816.jpg", "145966816")</f>
        <v>145966816</v>
      </c>
      <c r="C5500" s="3" t="str">
        <f>HYPERLINK("http://www.ncbi.nlm.nih.gov/protein/145966816","Pi4k2b")</f>
        <v>Pi4k2b</v>
      </c>
      <c r="E5500" t="str">
        <f>HYPERLINK("J:\Depot - mpkCCD Fractions\Main Web Page\Web Pages_old\proteomic_fractions_linear_files/Yang_linear_img/145966816.jpg","show blot")</f>
        <v>show blot</v>
      </c>
      <c r="G5500" t="s">
        <v>5294</v>
      </c>
      <c r="I5500" s="6">
        <v>1.7709963194959071</v>
      </c>
      <c r="K5500" s="8"/>
    </row>
    <row r="5501" spans="1:11" ht="15" x14ac:dyDescent="0.25">
      <c r="A5501" s="3" t="str">
        <f>HYPERLINK("proteomic_fractions_linear_files/Yang_linear_img/145966899.jpg", "145966899")</f>
        <v>145966899</v>
      </c>
      <c r="C5501" s="3" t="str">
        <f>HYPERLINK("http://www.ncbi.nlm.nih.gov/protein/145966899","Pi4k2b")</f>
        <v>Pi4k2b</v>
      </c>
      <c r="E5501" t="str">
        <f>HYPERLINK("J:\Depot - mpkCCD Fractions\Main Web Page\Web Pages_old\proteomic_fractions_linear_files/Yang_linear_img/145966899.jpg","show blot")</f>
        <v>show blot</v>
      </c>
      <c r="G5501" t="s">
        <v>5295</v>
      </c>
      <c r="I5501" s="6">
        <v>1.7709963194959071</v>
      </c>
      <c r="K5501" s="8"/>
    </row>
    <row r="5502" spans="1:11" ht="15" x14ac:dyDescent="0.25">
      <c r="A5502" s="3" t="str">
        <f>HYPERLINK("proteomic_fractions_linear_files/Yang_linear_img/241982771.jpg", "241982771")</f>
        <v>241982771</v>
      </c>
      <c r="C5502" s="3" t="str">
        <f>HYPERLINK("http://www.ncbi.nlm.nih.gov/protein/241982771","Pi4ka")</f>
        <v>Pi4ka</v>
      </c>
      <c r="E5502" t="str">
        <f>HYPERLINK("J:\Depot - mpkCCD Fractions\Main Web Page\Web Pages_old\proteomic_fractions_linear_files/Yang_linear_img/241982771.jpg","show blot")</f>
        <v>show blot</v>
      </c>
      <c r="G5502" t="s">
        <v>5296</v>
      </c>
      <c r="I5502" s="6">
        <v>3.3567547254978467</v>
      </c>
      <c r="K5502" s="8"/>
    </row>
    <row r="5503" spans="1:11" ht="15" x14ac:dyDescent="0.25">
      <c r="A5503" s="3" t="str">
        <f>HYPERLINK("proteomic_fractions_linear_files/Yang_linear_img/256000773.jpg", "256000773")</f>
        <v>256000773</v>
      </c>
      <c r="C5503" s="3" t="str">
        <f>HYPERLINK("http://www.ncbi.nlm.nih.gov/protein/256000773","Pi4kb")</f>
        <v>Pi4kb</v>
      </c>
      <c r="E5503" t="str">
        <f>HYPERLINK("J:\Depot - mpkCCD Fractions\Main Web Page\Web Pages_old\proteomic_fractions_linear_files/Yang_linear_img/256000773.jpg","show blot")</f>
        <v>show blot</v>
      </c>
      <c r="G5503" t="s">
        <v>5297</v>
      </c>
      <c r="I5503" s="6">
        <v>3.559015750551862</v>
      </c>
      <c r="K5503" s="8"/>
    </row>
    <row r="5504" spans="1:11" ht="15" x14ac:dyDescent="0.25">
      <c r="A5504" s="3" t="str">
        <f>HYPERLINK("proteomic_fractions_linear_files/Yang_linear_img/32567788.jpg", "32567788")</f>
        <v>32567788</v>
      </c>
      <c r="C5504" s="3" t="str">
        <f>HYPERLINK("http://www.ncbi.nlm.nih.gov/protein/32567788","Picalm")</f>
        <v>Picalm</v>
      </c>
      <c r="E5504" t="str">
        <f>HYPERLINK("J:\Depot - mpkCCD Fractions\Main Web Page\Web Pages_old\proteomic_fractions_linear_files/Yang_linear_img/32567788.jpg","show blot")</f>
        <v>show blot</v>
      </c>
      <c r="G5504" t="s">
        <v>5298</v>
      </c>
      <c r="I5504" s="6">
        <v>4.2064845092692966</v>
      </c>
      <c r="K5504" s="8"/>
    </row>
    <row r="5505" spans="1:11" ht="15" x14ac:dyDescent="0.25">
      <c r="A5505" s="3" t="str">
        <f>HYPERLINK("proteomic_fractions_linear_files/Yang_linear_img/357394959.jpg", "357394959")</f>
        <v>357394959</v>
      </c>
      <c r="C5505" s="3" t="str">
        <f>HYPERLINK("http://www.ncbi.nlm.nih.gov/protein/357394959","Picalm")</f>
        <v>Picalm</v>
      </c>
      <c r="E5505" t="str">
        <f>HYPERLINK("J:\Depot - mpkCCD Fractions\Main Web Page\Web Pages_old\proteomic_fractions_linear_files/Yang_linear_img/357394959.jpg","show blot")</f>
        <v>show blot</v>
      </c>
      <c r="G5505" t="s">
        <v>5299</v>
      </c>
      <c r="I5505" s="6">
        <v>4.2064845092692966</v>
      </c>
      <c r="K5505" s="8"/>
    </row>
    <row r="5506" spans="1:11" ht="15" x14ac:dyDescent="0.25">
      <c r="A5506" s="3" t="str">
        <f>HYPERLINK("proteomic_fractions_linear_files/Yang_linear_img/357394963.jpg", "357394963")</f>
        <v>357394963</v>
      </c>
      <c r="C5506" s="3" t="str">
        <f>HYPERLINK("http://www.ncbi.nlm.nih.gov/protein/357394963","Picalm")</f>
        <v>Picalm</v>
      </c>
      <c r="E5506" t="str">
        <f>HYPERLINK("J:\Depot - mpkCCD Fractions\Main Web Page\Web Pages_old\proteomic_fractions_linear_files/Yang_linear_img/357394963.jpg","show blot")</f>
        <v>show blot</v>
      </c>
      <c r="G5506" t="s">
        <v>5300</v>
      </c>
      <c r="I5506" s="6">
        <v>4.2064845092692966</v>
      </c>
      <c r="K5506" s="8"/>
    </row>
    <row r="5507" spans="1:11" ht="15" x14ac:dyDescent="0.25">
      <c r="A5507" s="3" t="str">
        <f>HYPERLINK("proteomic_fractions_linear_files/Yang_linear_img/357394966.jpg", "357394966")</f>
        <v>357394966</v>
      </c>
      <c r="C5507" s="3" t="str">
        <f>HYPERLINK("http://www.ncbi.nlm.nih.gov/protein/357394966","Picalm")</f>
        <v>Picalm</v>
      </c>
      <c r="E5507" t="str">
        <f>HYPERLINK("J:\Depot - mpkCCD Fractions\Main Web Page\Web Pages_old\proteomic_fractions_linear_files/Yang_linear_img/357394966.jpg","show blot")</f>
        <v>show blot</v>
      </c>
      <c r="G5507" t="s">
        <v>5301</v>
      </c>
      <c r="I5507" s="6">
        <v>4.2064845092692966</v>
      </c>
      <c r="K5507" s="8"/>
    </row>
    <row r="5508" spans="1:11" ht="15" x14ac:dyDescent="0.25">
      <c r="A5508" s="3" t="str">
        <f>HYPERLINK("proteomic_fractions_linear_files/Yang_linear_img/357394968.jpg", "357394968")</f>
        <v>357394968</v>
      </c>
      <c r="C5508" s="3" t="str">
        <f>HYPERLINK("http://www.ncbi.nlm.nih.gov/protein/357394968","Picalm")</f>
        <v>Picalm</v>
      </c>
      <c r="E5508" t="str">
        <f>HYPERLINK("J:\Depot - mpkCCD Fractions\Main Web Page\Web Pages_old\proteomic_fractions_linear_files/Yang_linear_img/357394968.jpg","show blot")</f>
        <v>show blot</v>
      </c>
      <c r="G5508" t="s">
        <v>5302</v>
      </c>
      <c r="I5508" s="6">
        <v>4.2064845092692966</v>
      </c>
      <c r="K5508" s="8"/>
    </row>
    <row r="5509" spans="1:11" ht="15" x14ac:dyDescent="0.25">
      <c r="A5509" s="3" t="str">
        <f>HYPERLINK("proteomic_fractions_linear_files/Yang_linear_img/357394970.jpg", "357394970")</f>
        <v>357394970</v>
      </c>
      <c r="C5509" s="3" t="str">
        <f>HYPERLINK("http://www.ncbi.nlm.nih.gov/protein/357394970","Picalm")</f>
        <v>Picalm</v>
      </c>
      <c r="E5509" t="str">
        <f>HYPERLINK("J:\Depot - mpkCCD Fractions\Main Web Page\Web Pages_old\proteomic_fractions_linear_files/Yang_linear_img/357394970.jpg","show blot")</f>
        <v>show blot</v>
      </c>
      <c r="G5509" t="s">
        <v>5303</v>
      </c>
      <c r="I5509" s="6">
        <v>4.2064845092692966</v>
      </c>
      <c r="K5509" s="8"/>
    </row>
    <row r="5510" spans="1:11" ht="15" x14ac:dyDescent="0.25">
      <c r="A5510" s="3" t="str">
        <f>HYPERLINK("proteomic_fractions_linear_files/Yang_linear_img/257153376.jpg", "257153376")</f>
        <v>257153376</v>
      </c>
      <c r="C5510" s="3" t="str">
        <f>HYPERLINK("http://www.ncbi.nlm.nih.gov/protein/257153376","Piezo1")</f>
        <v>Piezo1</v>
      </c>
      <c r="E5510" t="str">
        <f>HYPERLINK("J:\Depot - mpkCCD Fractions\Main Web Page\Web Pages_old\proteomic_fractions_linear_files/Yang_linear_img/257153376.jpg","show blot")</f>
        <v>show blot</v>
      </c>
      <c r="G5510" t="s">
        <v>5304</v>
      </c>
      <c r="I5510" s="6">
        <v>0.16747373254563799</v>
      </c>
      <c r="K5510" s="8"/>
    </row>
    <row r="5511" spans="1:11" ht="15" x14ac:dyDescent="0.25">
      <c r="A5511" s="3" t="str">
        <f>HYPERLINK("proteomic_fractions_linear_files/Yang_linear_img/124486987.jpg", "124486987")</f>
        <v>124486987</v>
      </c>
      <c r="C5511" s="3" t="str">
        <f>HYPERLINK("http://www.ncbi.nlm.nih.gov/protein/124486987","Pigg")</f>
        <v>Pigg</v>
      </c>
      <c r="E5511" t="str">
        <f>HYPERLINK("J:\Depot - mpkCCD Fractions\Main Web Page\Web Pages_old\proteomic_fractions_linear_files/Yang_linear_img/124486987.jpg","show blot")</f>
        <v>show blot</v>
      </c>
      <c r="G5511" t="s">
        <v>5305</v>
      </c>
      <c r="I5511" s="6">
        <v>1.8298817498853805</v>
      </c>
      <c r="K5511" s="8"/>
    </row>
    <row r="5512" spans="1:11" ht="15" x14ac:dyDescent="0.25">
      <c r="A5512" s="3" t="str">
        <f>HYPERLINK("proteomic_fractions_linear_files/Yang_linear_img/41872422.jpg", "41872422")</f>
        <v>41872422</v>
      </c>
      <c r="C5512" s="3" t="str">
        <f>HYPERLINK("http://www.ncbi.nlm.nih.gov/protein/41872422","Pigh")</f>
        <v>Pigh</v>
      </c>
      <c r="E5512" t="str">
        <f>HYPERLINK("J:\Depot - mpkCCD Fractions\Main Web Page\Web Pages_old\proteomic_fractions_linear_files/Yang_linear_img/41872422.jpg","show blot")</f>
        <v>show blot</v>
      </c>
      <c r="G5512" t="s">
        <v>5306</v>
      </c>
      <c r="I5512" s="6">
        <v>3.6618822714262618</v>
      </c>
      <c r="K5512" s="8"/>
    </row>
    <row r="5513" spans="1:11" ht="15" x14ac:dyDescent="0.25">
      <c r="A5513" s="3" t="str">
        <f>HYPERLINK("proteomic_fractions_linear_files/Yang_linear_img/29788753.jpg", "29788753")</f>
        <v>29788753</v>
      </c>
      <c r="C5513" s="3" t="str">
        <f>HYPERLINK("http://www.ncbi.nlm.nih.gov/protein/29788753","Pigk")</f>
        <v>Pigk</v>
      </c>
      <c r="E5513" t="str">
        <f>HYPERLINK("J:\Depot - mpkCCD Fractions\Main Web Page\Web Pages_old\proteomic_fractions_linear_files/Yang_linear_img/29788753.jpg","show blot")</f>
        <v>show blot</v>
      </c>
      <c r="G5513" t="s">
        <v>5307</v>
      </c>
      <c r="I5513" s="6">
        <v>4.2995798630202078</v>
      </c>
      <c r="K5513" s="8"/>
    </row>
    <row r="5514" spans="1:11" ht="15" x14ac:dyDescent="0.25">
      <c r="A5514" s="3" t="str">
        <f>HYPERLINK("proteomic_fractions_linear_files/Yang_linear_img/29789447.jpg", "29789447")</f>
        <v>29789447</v>
      </c>
      <c r="C5514" s="3" t="str">
        <f>HYPERLINK("http://www.ncbi.nlm.nih.gov/protein/29789447","Pigk")</f>
        <v>Pigk</v>
      </c>
      <c r="E5514" t="str">
        <f>HYPERLINK("J:\Depot - mpkCCD Fractions\Main Web Page\Web Pages_old\proteomic_fractions_linear_files/Yang_linear_img/29789447.jpg","show blot")</f>
        <v>show blot</v>
      </c>
      <c r="G5514" t="s">
        <v>5308</v>
      </c>
      <c r="I5514" s="6">
        <v>4.2995798630202078</v>
      </c>
      <c r="K5514" s="8"/>
    </row>
    <row r="5515" spans="1:11" ht="15" x14ac:dyDescent="0.25">
      <c r="A5515" s="3" t="str">
        <f>HYPERLINK("proteomic_fractions_linear_files/Yang_linear_img/19920329.jpg", "19920329")</f>
        <v>19920329</v>
      </c>
      <c r="C5515" s="3" t="str">
        <f>HYPERLINK("http://www.ncbi.nlm.nih.gov/protein/19920329","Pigm")</f>
        <v>Pigm</v>
      </c>
      <c r="E5515" t="str">
        <f>HYPERLINK("J:\Depot - mpkCCD Fractions\Main Web Page\Web Pages_old\proteomic_fractions_linear_files/Yang_linear_img/19920329.jpg","show blot")</f>
        <v>show blot</v>
      </c>
      <c r="G5515" t="s">
        <v>5309</v>
      </c>
      <c r="I5515" s="6">
        <v>2.1018157859917439</v>
      </c>
      <c r="K5515" s="8"/>
    </row>
    <row r="5516" spans="1:11" ht="15" x14ac:dyDescent="0.25">
      <c r="A5516" s="3" t="str">
        <f>HYPERLINK("proteomic_fractions_linear_files/Yang_linear_img/41351529.jpg", "41351529")</f>
        <v>41351529</v>
      </c>
      <c r="C5516" s="3" t="str">
        <f>HYPERLINK("http://www.ncbi.nlm.nih.gov/protein/41351529","Pigs")</f>
        <v>Pigs</v>
      </c>
      <c r="E5516" t="str">
        <f>HYPERLINK("J:\Depot - mpkCCD Fractions\Main Web Page\Web Pages_old\proteomic_fractions_linear_files/Yang_linear_img/41351529.jpg","show blot")</f>
        <v>show blot</v>
      </c>
      <c r="G5516" t="s">
        <v>5310</v>
      </c>
      <c r="I5516" s="6">
        <v>4.8252712985673663</v>
      </c>
      <c r="K5516" s="8"/>
    </row>
    <row r="5517" spans="1:11" ht="15" x14ac:dyDescent="0.25">
      <c r="A5517" s="3" t="str">
        <f>HYPERLINK("proteomic_fractions_linear_files/Yang_linear_img/120587021.jpg", "120587021")</f>
        <v>120587021</v>
      </c>
      <c r="C5517" s="3" t="str">
        <f>HYPERLINK("http://www.ncbi.nlm.nih.gov/protein/120587021","Pigt")</f>
        <v>Pigt</v>
      </c>
      <c r="E5517" t="str">
        <f>HYPERLINK("J:\Depot - mpkCCD Fractions\Main Web Page\Web Pages_old\proteomic_fractions_linear_files/Yang_linear_img/120587021.jpg","show blot")</f>
        <v>show blot</v>
      </c>
      <c r="G5517" t="s">
        <v>5311</v>
      </c>
      <c r="I5517" s="6">
        <v>4.1255075908857322</v>
      </c>
      <c r="K5517" s="8"/>
    </row>
    <row r="5518" spans="1:11" ht="15" x14ac:dyDescent="0.25">
      <c r="A5518" s="3" t="str">
        <f>HYPERLINK("proteomic_fractions_linear_files/Yang_linear_img/52630436.jpg", "52630436")</f>
        <v>52630436</v>
      </c>
      <c r="C5518" s="3" t="str">
        <f>HYPERLINK("http://www.ncbi.nlm.nih.gov/protein/52630436","Pigu")</f>
        <v>Pigu</v>
      </c>
      <c r="E5518" t="str">
        <f>HYPERLINK("J:\Depot - mpkCCD Fractions\Main Web Page\Web Pages_old\proteomic_fractions_linear_files/Yang_linear_img/52630436.jpg","show blot")</f>
        <v>show blot</v>
      </c>
      <c r="G5518" t="s">
        <v>5312</v>
      </c>
      <c r="I5518" s="6">
        <v>3.0762675653834499</v>
      </c>
      <c r="K5518" s="8"/>
    </row>
    <row r="5519" spans="1:11" ht="15" x14ac:dyDescent="0.25">
      <c r="A5519" s="3" t="str">
        <f>HYPERLINK("proteomic_fractions_linear_files/Yang_linear_img/21313052.jpg", "21313052")</f>
        <v>21313052</v>
      </c>
      <c r="C5519" s="3" t="str">
        <f>HYPERLINK("http://www.ncbi.nlm.nih.gov/protein/21313052","Pih1d1")</f>
        <v>Pih1d1</v>
      </c>
      <c r="E5519" t="str">
        <f>HYPERLINK("J:\Depot - mpkCCD Fractions\Main Web Page\Web Pages_old\proteomic_fractions_linear_files/Yang_linear_img/21313052.jpg","show blot")</f>
        <v>show blot</v>
      </c>
      <c r="G5519" t="s">
        <v>5313</v>
      </c>
      <c r="I5519" s="6">
        <v>4.9640497525498546</v>
      </c>
      <c r="K5519" s="8"/>
    </row>
    <row r="5520" spans="1:11" ht="15" x14ac:dyDescent="0.25">
      <c r="A5520" s="3" t="str">
        <f>HYPERLINK("proteomic_fractions_linear_files/Yang_linear_img/145279206.jpg", "145279206")</f>
        <v>145279206</v>
      </c>
      <c r="C5520" s="3" t="str">
        <f>HYPERLINK("http://www.ncbi.nlm.nih.gov/protein/145279206","Pik3c2a")</f>
        <v>Pik3c2a</v>
      </c>
      <c r="E5520" t="str">
        <f>HYPERLINK("J:\Depot - mpkCCD Fractions\Main Web Page\Web Pages_old\proteomic_fractions_linear_files/Yang_linear_img/145279206.jpg","show blot")</f>
        <v>show blot</v>
      </c>
      <c r="G5520" t="s">
        <v>5314</v>
      </c>
      <c r="I5520" s="6">
        <v>3.7082121593783257</v>
      </c>
      <c r="K5520" s="8"/>
    </row>
    <row r="5521" spans="1:11" ht="15" x14ac:dyDescent="0.25">
      <c r="A5521" s="3" t="str">
        <f>HYPERLINK("proteomic_fractions_linear_files/Yang_linear_img/42475974.jpg", "42475974")</f>
        <v>42475974</v>
      </c>
      <c r="C5521" s="3" t="str">
        <f>HYPERLINK("http://www.ncbi.nlm.nih.gov/protein/42475974","Pik3c3")</f>
        <v>Pik3c3</v>
      </c>
      <c r="E5521" t="str">
        <f>HYPERLINK("J:\Depot - mpkCCD Fractions\Main Web Page\Web Pages_old\proteomic_fractions_linear_files/Yang_linear_img/42475974.jpg","show blot")</f>
        <v>show blot</v>
      </c>
      <c r="G5521" t="s">
        <v>5315</v>
      </c>
      <c r="I5521" s="6">
        <v>3.1640034808172248</v>
      </c>
      <c r="K5521" s="8"/>
    </row>
    <row r="5522" spans="1:11" ht="15" x14ac:dyDescent="0.25">
      <c r="A5522" s="3" t="str">
        <f>HYPERLINK("proteomic_fractions_linear_files/Yang_linear_img/269914109.jpg", "269914109")</f>
        <v>269914109</v>
      </c>
      <c r="C5522" s="3" t="str">
        <f>HYPERLINK("http://www.ncbi.nlm.nih.gov/protein/269914109","Pik3cb")</f>
        <v>Pik3cb</v>
      </c>
      <c r="E5522" t="str">
        <f>HYPERLINK("J:\Depot - mpkCCD Fractions\Main Web Page\Web Pages_old\proteomic_fractions_linear_files/Yang_linear_img/269914109.jpg","show blot")</f>
        <v>show blot</v>
      </c>
      <c r="G5522" t="s">
        <v>5316</v>
      </c>
      <c r="I5522" s="6">
        <v>3.0941134899149594</v>
      </c>
      <c r="K5522" s="8"/>
    </row>
    <row r="5523" spans="1:11" ht="15" x14ac:dyDescent="0.25">
      <c r="A5523" s="3" t="str">
        <f>HYPERLINK("proteomic_fractions_linear_files/Yang_linear_img/255708439.jpg", "255708439")</f>
        <v>255708439</v>
      </c>
      <c r="C5523" s="3" t="str">
        <f>HYPERLINK("http://www.ncbi.nlm.nih.gov/protein/255708439","Pik3cd")</f>
        <v>Pik3cd</v>
      </c>
      <c r="E5523" t="str">
        <f>HYPERLINK("J:\Depot - mpkCCD Fractions\Main Web Page\Web Pages_old\proteomic_fractions_linear_files/Yang_linear_img/255708439.jpg","show blot")</f>
        <v>show blot</v>
      </c>
      <c r="G5523" t="s">
        <v>5317</v>
      </c>
      <c r="I5523" s="6">
        <v>3.9627475226032112</v>
      </c>
      <c r="K5523" s="8"/>
    </row>
    <row r="5524" spans="1:11" ht="15" x14ac:dyDescent="0.25">
      <c r="A5524" s="3" t="str">
        <f>HYPERLINK("proteomic_fractions_linear_files/Yang_linear_img/255708441.jpg", "255708441")</f>
        <v>255708441</v>
      </c>
      <c r="C5524" s="3" t="str">
        <f>HYPERLINK("http://www.ncbi.nlm.nih.gov/protein/255708441","Pik3cd")</f>
        <v>Pik3cd</v>
      </c>
      <c r="E5524" t="str">
        <f>HYPERLINK("J:\Depot - mpkCCD Fractions\Main Web Page\Web Pages_old\proteomic_fractions_linear_files/Yang_linear_img/255708441.jpg","show blot")</f>
        <v>show blot</v>
      </c>
      <c r="G5524" t="s">
        <v>5318</v>
      </c>
      <c r="I5524" s="6">
        <v>3.9627475226032112</v>
      </c>
      <c r="K5524" s="8"/>
    </row>
    <row r="5525" spans="1:11" ht="15" x14ac:dyDescent="0.25">
      <c r="A5525" s="3" t="str">
        <f>HYPERLINK("proteomic_fractions_linear_files/Yang_linear_img/255708443.jpg", "255708443")</f>
        <v>255708443</v>
      </c>
      <c r="C5525" s="3" t="str">
        <f>HYPERLINK("http://www.ncbi.nlm.nih.gov/protein/255708443","Pik3cd")</f>
        <v>Pik3cd</v>
      </c>
      <c r="E5525" t="str">
        <f>HYPERLINK("J:\Depot - mpkCCD Fractions\Main Web Page\Web Pages_old\proteomic_fractions_linear_files/Yang_linear_img/255708443.jpg","show blot")</f>
        <v>show blot</v>
      </c>
      <c r="G5525" t="s">
        <v>5319</v>
      </c>
      <c r="I5525" s="6">
        <v>3.9627475226032112</v>
      </c>
      <c r="K5525" s="8"/>
    </row>
    <row r="5526" spans="1:11" ht="15" x14ac:dyDescent="0.25">
      <c r="A5526" s="3" t="str">
        <f>HYPERLINK("proteomic_fractions_linear_files/Yang_linear_img/255708445.jpg", "255708445")</f>
        <v>255708445</v>
      </c>
      <c r="C5526" s="3" t="str">
        <f>HYPERLINK("http://www.ncbi.nlm.nih.gov/protein/255708445","Pik3cd")</f>
        <v>Pik3cd</v>
      </c>
      <c r="E5526" t="str">
        <f>HYPERLINK("J:\Depot - mpkCCD Fractions\Main Web Page\Web Pages_old\proteomic_fractions_linear_files/Yang_linear_img/255708445.jpg","show blot")</f>
        <v>show blot</v>
      </c>
      <c r="G5526" t="s">
        <v>5320</v>
      </c>
      <c r="I5526" s="6">
        <v>3.9627475226032112</v>
      </c>
      <c r="K5526" s="8"/>
    </row>
    <row r="5527" spans="1:11" ht="15" x14ac:dyDescent="0.25">
      <c r="A5527" s="3" t="str">
        <f>HYPERLINK("proteomic_fractions_linear_files/Yang_linear_img/71067114.jpg", "71067114")</f>
        <v>71067114</v>
      </c>
      <c r="C5527" s="3" t="str">
        <f>HYPERLINK("http://www.ncbi.nlm.nih.gov/protein/71067114","Pik3cd")</f>
        <v>Pik3cd</v>
      </c>
      <c r="E5527" t="str">
        <f>HYPERLINK("J:\Depot - mpkCCD Fractions\Main Web Page\Web Pages_old\proteomic_fractions_linear_files/Yang_linear_img/71067114.jpg","show blot")</f>
        <v>show blot</v>
      </c>
      <c r="G5527" t="s">
        <v>5321</v>
      </c>
      <c r="I5527" s="6">
        <v>3.9627475226032112</v>
      </c>
      <c r="K5527" s="8"/>
    </row>
    <row r="5528" spans="1:11" ht="15" x14ac:dyDescent="0.25">
      <c r="A5528" s="3" t="str">
        <f>HYPERLINK("proteomic_fractions_linear_files/Yang_linear_img/244792921.jpg", "244792921")</f>
        <v>244792921</v>
      </c>
      <c r="C5528" s="3" t="str">
        <f>HYPERLINK("http://www.ncbi.nlm.nih.gov/protein/244792921","Pik3r2")</f>
        <v>Pik3r2</v>
      </c>
      <c r="E5528" t="str">
        <f>HYPERLINK("J:\Depot - mpkCCD Fractions\Main Web Page\Web Pages_old\proteomic_fractions_linear_files/Yang_linear_img/244792921.jpg","show blot")</f>
        <v>show blot</v>
      </c>
      <c r="G5528" t="s">
        <v>5322</v>
      </c>
      <c r="I5528" s="6">
        <v>3.1334815300535985</v>
      </c>
      <c r="K5528" s="8"/>
    </row>
    <row r="5529" spans="1:11" ht="15" x14ac:dyDescent="0.25">
      <c r="A5529" s="3" t="str">
        <f>HYPERLINK("proteomic_fractions_linear_files/Yang_linear_img/124486789.jpg", "124486789")</f>
        <v>124486789</v>
      </c>
      <c r="C5529" s="3" t="str">
        <f>HYPERLINK("http://www.ncbi.nlm.nih.gov/protein/124486789","Pik3r4")</f>
        <v>Pik3r4</v>
      </c>
      <c r="E5529" t="str">
        <f>HYPERLINK("J:\Depot - mpkCCD Fractions\Main Web Page\Web Pages_old\proteomic_fractions_linear_files/Yang_linear_img/124486789.jpg","show blot")</f>
        <v>show blot</v>
      </c>
      <c r="G5529" t="s">
        <v>5323</v>
      </c>
      <c r="I5529" s="6">
        <v>3.7079533612438191</v>
      </c>
      <c r="K5529" s="8"/>
    </row>
    <row r="5530" spans="1:11" ht="15" x14ac:dyDescent="0.25">
      <c r="A5530" s="3" t="str">
        <f>HYPERLINK("proteomic_fractions_linear_files/Yang_linear_img/126362959.jpg", "126362959")</f>
        <v>126362959</v>
      </c>
      <c r="C5530" s="3" t="str">
        <f>HYPERLINK("http://www.ncbi.nlm.nih.gov/protein/126362959","Pik3r6")</f>
        <v>Pik3r6</v>
      </c>
      <c r="E5530" t="str">
        <f>HYPERLINK("J:\Depot - mpkCCD Fractions\Main Web Page\Web Pages_old\proteomic_fractions_linear_files/Yang_linear_img/126362959.jpg","show blot")</f>
        <v>show blot</v>
      </c>
      <c r="G5530" t="s">
        <v>5324</v>
      </c>
      <c r="I5530" s="6">
        <v>3.6039855490582053</v>
      </c>
      <c r="K5530" s="8"/>
    </row>
    <row r="5531" spans="1:11" ht="15" x14ac:dyDescent="0.25">
      <c r="A5531" s="3" t="str">
        <f>HYPERLINK("proteomic_fractions_linear_files/Yang_linear_img/52138727.jpg", "52138727")</f>
        <v>52138727</v>
      </c>
      <c r="C5531" s="3" t="str">
        <f>HYPERLINK("http://www.ncbi.nlm.nih.gov/protein/52138727","Pik3r6")</f>
        <v>Pik3r6</v>
      </c>
      <c r="E5531" t="str">
        <f>HYPERLINK("J:\Depot - mpkCCD Fractions\Main Web Page\Web Pages_old\proteomic_fractions_linear_files/Yang_linear_img/52138727.jpg","show blot")</f>
        <v>show blot</v>
      </c>
      <c r="G5531" t="s">
        <v>5325</v>
      </c>
      <c r="I5531" s="6">
        <v>3.6039855490582053</v>
      </c>
      <c r="K5531" s="8"/>
    </row>
    <row r="5532" spans="1:11" ht="15" x14ac:dyDescent="0.25">
      <c r="A5532" s="3" t="str">
        <f>HYPERLINK("proteomic_fractions_linear_files/Yang_linear_img/115529473.jpg", "115529473")</f>
        <v>115529473</v>
      </c>
      <c r="C5532" s="3" t="str">
        <f>HYPERLINK("http://www.ncbi.nlm.nih.gov/protein/115529473","Pikfyve")</f>
        <v>Pikfyve</v>
      </c>
      <c r="E5532" t="str">
        <f>HYPERLINK("J:\Depot - mpkCCD Fractions\Main Web Page\Web Pages_old\proteomic_fractions_linear_files/Yang_linear_img/115529473.jpg","show blot")</f>
        <v>show blot</v>
      </c>
      <c r="G5532" t="s">
        <v>5326</v>
      </c>
      <c r="I5532" s="6">
        <v>1.6182284890228498</v>
      </c>
      <c r="K5532" s="8"/>
    </row>
    <row r="5533" spans="1:11" ht="15" x14ac:dyDescent="0.25">
      <c r="A5533" s="3" t="str">
        <f>HYPERLINK("proteomic_fractions_linear_files/Yang_linear_img/12963653.jpg", "12963653")</f>
        <v>12963653</v>
      </c>
      <c r="C5533" s="3" t="str">
        <f>HYPERLINK("http://www.ncbi.nlm.nih.gov/protein/12963653","Pin1")</f>
        <v>Pin1</v>
      </c>
      <c r="E5533" t="str">
        <f>HYPERLINK("J:\Depot - mpkCCD Fractions\Main Web Page\Web Pages_old\proteomic_fractions_linear_files/Yang_linear_img/12963653.jpg","show blot")</f>
        <v>show blot</v>
      </c>
      <c r="G5533" t="s">
        <v>5327</v>
      </c>
      <c r="I5533" s="6">
        <v>4.7478927765600263</v>
      </c>
      <c r="K5533" s="8"/>
    </row>
    <row r="5534" spans="1:11" ht="15" x14ac:dyDescent="0.25">
      <c r="A5534" s="3" t="str">
        <f>HYPERLINK("proteomic_fractions_linear_files/Yang_linear_img/85702071.jpg", "85702071")</f>
        <v>85702071</v>
      </c>
      <c r="C5534" s="3" t="str">
        <f>HYPERLINK("http://www.ncbi.nlm.nih.gov/protein/85702071","Pin1rt1")</f>
        <v>Pin1rt1</v>
      </c>
      <c r="E5534" t="str">
        <f>HYPERLINK("J:\Depot - mpkCCD Fractions\Main Web Page\Web Pages_old\proteomic_fractions_linear_files/Yang_linear_img/85702071.jpg","show blot")</f>
        <v>show blot</v>
      </c>
      <c r="G5534" t="s">
        <v>5328</v>
      </c>
      <c r="I5534" s="6">
        <v>3.5803304377600438</v>
      </c>
      <c r="K5534" s="8"/>
    </row>
    <row r="5535" spans="1:11" ht="15" x14ac:dyDescent="0.25">
      <c r="A5535" s="3" t="str">
        <f>HYPERLINK("proteomic_fractions_linear_files/Yang_linear_img/125490368.jpg", "125490368")</f>
        <v>125490368</v>
      </c>
      <c r="C5535" s="3" t="str">
        <f>HYPERLINK("http://www.ncbi.nlm.nih.gov/protein/125490368","Pip4k2a")</f>
        <v>Pip4k2a</v>
      </c>
      <c r="E5535" t="str">
        <f>HYPERLINK("J:\Depot - mpkCCD Fractions\Main Web Page\Web Pages_old\proteomic_fractions_linear_files/Yang_linear_img/125490368.jpg","show blot")</f>
        <v>show blot</v>
      </c>
      <c r="G5535" t="s">
        <v>5329</v>
      </c>
      <c r="I5535" s="6">
        <v>3.7941820652214924</v>
      </c>
      <c r="K5535" s="8"/>
    </row>
    <row r="5536" spans="1:11" ht="15" x14ac:dyDescent="0.25">
      <c r="A5536" s="3" t="str">
        <f>HYPERLINK("proteomic_fractions_linear_files/Yang_linear_img/33563294.jpg", "33563294")</f>
        <v>33563294</v>
      </c>
      <c r="C5536" s="3" t="str">
        <f>HYPERLINK("http://www.ncbi.nlm.nih.gov/protein/33563294","Pip4k2b")</f>
        <v>Pip4k2b</v>
      </c>
      <c r="E5536" t="str">
        <f>HYPERLINK("J:\Depot - mpkCCD Fractions\Main Web Page\Web Pages_old\proteomic_fractions_linear_files/Yang_linear_img/33563294.jpg","show blot")</f>
        <v>show blot</v>
      </c>
      <c r="G5536" t="s">
        <v>5330</v>
      </c>
      <c r="I5536" s="6">
        <v>4.1054675906947109</v>
      </c>
      <c r="K5536" s="8"/>
    </row>
    <row r="5537" spans="1:11" ht="15" x14ac:dyDescent="0.25">
      <c r="A5537" s="3" t="str">
        <f>HYPERLINK("proteomic_fractions_linear_files/Yang_linear_img/17298686.jpg", "17298686")</f>
        <v>17298686</v>
      </c>
      <c r="C5537" s="3" t="str">
        <f>HYPERLINK("http://www.ncbi.nlm.nih.gov/protein/17298686","Pip4k2c")</f>
        <v>Pip4k2c</v>
      </c>
      <c r="E5537" t="str">
        <f>HYPERLINK("J:\Depot - mpkCCD Fractions\Main Web Page\Web Pages_old\proteomic_fractions_linear_files/Yang_linear_img/17298686.jpg","show blot")</f>
        <v>show blot</v>
      </c>
      <c r="G5537" t="s">
        <v>5331</v>
      </c>
      <c r="I5537" s="6">
        <v>5.3406903320204302</v>
      </c>
      <c r="K5537" s="8"/>
    </row>
    <row r="5538" spans="1:11" ht="15" x14ac:dyDescent="0.25">
      <c r="A5538" s="3" t="str">
        <f>HYPERLINK("proteomic_fractions_linear_files/Yang_linear_img/31982833.jpg", "31982833")</f>
        <v>31982833</v>
      </c>
      <c r="C5538" s="3" t="str">
        <f>HYPERLINK("http://www.ncbi.nlm.nih.gov/protein/31982833","Pip5k1a")</f>
        <v>Pip5k1a</v>
      </c>
      <c r="E5538" t="str">
        <f>HYPERLINK("J:\Depot - mpkCCD Fractions\Main Web Page\Web Pages_old\proteomic_fractions_linear_files/Yang_linear_img/31982833.jpg","show blot")</f>
        <v>show blot</v>
      </c>
      <c r="G5538" t="s">
        <v>5332</v>
      </c>
      <c r="I5538" s="6">
        <v>3.0490571674861182</v>
      </c>
      <c r="K5538" s="8"/>
    </row>
    <row r="5539" spans="1:11" ht="15" x14ac:dyDescent="0.25">
      <c r="A5539" s="3" t="str">
        <f>HYPERLINK("proteomic_fractions_linear_files/Yang_linear_img/226442755.jpg", "226442755")</f>
        <v>226442755</v>
      </c>
      <c r="C5539" s="3" t="str">
        <f>HYPERLINK("http://www.ncbi.nlm.nih.gov/protein/226442755","Pip5k1c")</f>
        <v>Pip5k1c</v>
      </c>
      <c r="E5539" t="str">
        <f>HYPERLINK("J:\Depot - mpkCCD Fractions\Main Web Page\Web Pages_old\proteomic_fractions_linear_files/Yang_linear_img/226442755.jpg","show blot")</f>
        <v>show blot</v>
      </c>
      <c r="G5539" t="s">
        <v>5333</v>
      </c>
      <c r="I5539" s="6">
        <v>0.63971740485658801</v>
      </c>
      <c r="K5539" s="8"/>
    </row>
    <row r="5540" spans="1:11" ht="15" x14ac:dyDescent="0.25">
      <c r="A5540" s="3" t="str">
        <f>HYPERLINK("proteomic_fractions_linear_files/Yang_linear_img/226442759.jpg", "226442759")</f>
        <v>226442759</v>
      </c>
      <c r="C5540" s="3" t="str">
        <f>HYPERLINK("http://www.ncbi.nlm.nih.gov/protein/226442759","Pip5k1c")</f>
        <v>Pip5k1c</v>
      </c>
      <c r="E5540" t="str">
        <f>HYPERLINK("J:\Depot - mpkCCD Fractions\Main Web Page\Web Pages_old\proteomic_fractions_linear_files/Yang_linear_img/226442759.jpg","show blot")</f>
        <v>show blot</v>
      </c>
      <c r="G5540" t="s">
        <v>5334</v>
      </c>
      <c r="I5540" s="6">
        <v>0.63971740485658801</v>
      </c>
      <c r="K5540" s="8"/>
    </row>
    <row r="5541" spans="1:11" ht="15" x14ac:dyDescent="0.25">
      <c r="A5541" s="3" t="str">
        <f>HYPERLINK("proteomic_fractions_linear_files/Yang_linear_img/126722757.jpg", "126722757")</f>
        <v>126722757</v>
      </c>
      <c r="C5541" s="3" t="str">
        <f>HYPERLINK("http://www.ncbi.nlm.nih.gov/protein/126722757","Pisd")</f>
        <v>Pisd</v>
      </c>
      <c r="E5541" t="str">
        <f>HYPERLINK("J:\Depot - mpkCCD Fractions\Main Web Page\Web Pages_old\proteomic_fractions_linear_files/Yang_linear_img/126722757.jpg","show blot")</f>
        <v>show blot</v>
      </c>
      <c r="G5541" t="s">
        <v>5335</v>
      </c>
      <c r="I5541" s="6">
        <v>3.5965975287393861</v>
      </c>
      <c r="K5541" s="8"/>
    </row>
    <row r="5542" spans="1:11" ht="15" x14ac:dyDescent="0.25">
      <c r="A5542" s="3" t="str">
        <f>HYPERLINK("proteomic_fractions_linear_files/Yang_linear_img/6679337.jpg", "6679337")</f>
        <v>6679337</v>
      </c>
      <c r="C5542" s="3" t="str">
        <f>HYPERLINK("http://www.ncbi.nlm.nih.gov/protein/6679337","Pitpna")</f>
        <v>Pitpna</v>
      </c>
      <c r="E5542" t="str">
        <f>HYPERLINK("J:\Depot - mpkCCD Fractions\Main Web Page\Web Pages_old\proteomic_fractions_linear_files/Yang_linear_img/6679337.jpg","show blot")</f>
        <v>show blot</v>
      </c>
      <c r="G5542" t="s">
        <v>5336</v>
      </c>
      <c r="I5542" s="6">
        <v>5.6986809858574379</v>
      </c>
      <c r="K5542" s="8"/>
    </row>
    <row r="5543" spans="1:11" ht="15" x14ac:dyDescent="0.25">
      <c r="A5543" s="3" t="str">
        <f>HYPERLINK("proteomic_fractions_linear_files/Yang_linear_img/9790159.jpg", "9790159")</f>
        <v>9790159</v>
      </c>
      <c r="C5543" s="3" t="str">
        <f>HYPERLINK("http://www.ncbi.nlm.nih.gov/protein/9790159","Pitpnb")</f>
        <v>Pitpnb</v>
      </c>
      <c r="E5543" t="str">
        <f>HYPERLINK("J:\Depot - mpkCCD Fractions\Main Web Page\Web Pages_old\proteomic_fractions_linear_files/Yang_linear_img/9790159.jpg","show blot")</f>
        <v>show blot</v>
      </c>
      <c r="G5543" t="s">
        <v>5337</v>
      </c>
      <c r="I5543" s="6">
        <v>5.6384510645661248</v>
      </c>
      <c r="K5543" s="8"/>
    </row>
    <row r="5544" spans="1:11" ht="15" x14ac:dyDescent="0.25">
      <c r="A5544" s="3" t="str">
        <f>HYPERLINK("proteomic_fractions_linear_files/Yang_linear_img/21699068.jpg", "21699068")</f>
        <v>21699068</v>
      </c>
      <c r="C5544" s="3" t="str">
        <f>HYPERLINK("http://www.ncbi.nlm.nih.gov/protein/21699068","Pitrm1")</f>
        <v>Pitrm1</v>
      </c>
      <c r="E5544" t="str">
        <f>HYPERLINK("J:\Depot - mpkCCD Fractions\Main Web Page\Web Pages_old\proteomic_fractions_linear_files/Yang_linear_img/21699068.jpg","show blot")</f>
        <v>show blot</v>
      </c>
      <c r="G5544" t="s">
        <v>5338</v>
      </c>
      <c r="I5544" s="6">
        <v>4.5959061847022067</v>
      </c>
      <c r="K5544" s="8"/>
    </row>
    <row r="5545" spans="1:11" ht="15" x14ac:dyDescent="0.25">
      <c r="A5545" s="3" t="str">
        <f>HYPERLINK("proteomic_fractions_linear_files/Yang_linear_img/10946610.jpg", "10946610")</f>
        <v>10946610</v>
      </c>
      <c r="C5545" s="3" t="str">
        <f>HYPERLINK("http://www.ncbi.nlm.nih.gov/protein/10946610","Piwil2")</f>
        <v>Piwil2</v>
      </c>
      <c r="E5545" t="str">
        <f>HYPERLINK("J:\Depot - mpkCCD Fractions\Main Web Page\Web Pages_old\proteomic_fractions_linear_files/Yang_linear_img/10946610.jpg","show blot")</f>
        <v>show blot</v>
      </c>
      <c r="G5545" t="s">
        <v>5339</v>
      </c>
      <c r="I5545" s="6">
        <v>3.5866034139033331</v>
      </c>
      <c r="K5545" s="8"/>
    </row>
    <row r="5546" spans="1:11" ht="15" x14ac:dyDescent="0.25">
      <c r="A5546" s="3" t="str">
        <f>HYPERLINK("proteomic_fractions_linear_files/Yang_linear_img/21450079.jpg", "21450079")</f>
        <v>21450079</v>
      </c>
      <c r="C5546" s="3" t="str">
        <f>HYPERLINK("http://www.ncbi.nlm.nih.gov/protein/21450079","Pja2")</f>
        <v>Pja2</v>
      </c>
      <c r="E5546" t="str">
        <f>HYPERLINK("J:\Depot - mpkCCD Fractions\Main Web Page\Web Pages_old\proteomic_fractions_linear_files/Yang_linear_img/21450079.jpg","show blot")</f>
        <v>show blot</v>
      </c>
      <c r="G5546" t="s">
        <v>5340</v>
      </c>
      <c r="I5546" s="6">
        <v>3.0599399199441493</v>
      </c>
      <c r="K5546" s="8"/>
    </row>
    <row r="5547" spans="1:11" ht="15" x14ac:dyDescent="0.25">
      <c r="A5547" s="3" t="str">
        <f>HYPERLINK("proteomic_fractions_linear_files/Yang_linear_img/70794801.jpg", "70794801")</f>
        <v>70794801</v>
      </c>
      <c r="C5547" s="3" t="str">
        <f>HYPERLINK("http://www.ncbi.nlm.nih.gov/protein/70794801","Pja2")</f>
        <v>Pja2</v>
      </c>
      <c r="E5547" t="str">
        <f>HYPERLINK("J:\Depot - mpkCCD Fractions\Main Web Page\Web Pages_old\proteomic_fractions_linear_files/Yang_linear_img/70794801.jpg","show blot")</f>
        <v>show blot</v>
      </c>
      <c r="G5547" t="s">
        <v>5341</v>
      </c>
      <c r="I5547" s="6">
        <v>3.0599399199441493</v>
      </c>
      <c r="K5547" s="8"/>
    </row>
    <row r="5548" spans="1:11" ht="15" x14ac:dyDescent="0.25">
      <c r="A5548" s="3" t="str">
        <f>HYPERLINK("proteomic_fractions_linear_files/Yang_linear_img/164519057.jpg", "164519057")</f>
        <v>164519057</v>
      </c>
      <c r="C5548" s="3" t="str">
        <f>HYPERLINK("http://www.ncbi.nlm.nih.gov/protein/164519057","Pkd2")</f>
        <v>Pkd2</v>
      </c>
      <c r="E5548" t="str">
        <f>HYPERLINK("J:\Depot - mpkCCD Fractions\Main Web Page\Web Pages_old\proteomic_fractions_linear_files/Yang_linear_img/164519057.jpg","show blot")</f>
        <v>show blot</v>
      </c>
      <c r="G5548" t="s">
        <v>5342</v>
      </c>
      <c r="I5548" s="6">
        <v>2.7592033326159813</v>
      </c>
      <c r="K5548" s="8"/>
    </row>
    <row r="5549" spans="1:11" ht="15" x14ac:dyDescent="0.25">
      <c r="A5549" s="3" t="str">
        <f>HYPERLINK("proteomic_fractions_linear_files/Yang_linear_img/126157466.jpg", "126157466")</f>
        <v>126157466</v>
      </c>
      <c r="C5549" s="3" t="str">
        <f>HYPERLINK("http://www.ncbi.nlm.nih.gov/protein/126157466","Pkhd1")</f>
        <v>Pkhd1</v>
      </c>
      <c r="E5549" t="str">
        <f>HYPERLINK("J:\Depot - mpkCCD Fractions\Main Web Page\Web Pages_old\proteomic_fractions_linear_files/Yang_linear_img/126157466.jpg","show blot")</f>
        <v>show blot</v>
      </c>
      <c r="G5549" t="s">
        <v>5343</v>
      </c>
      <c r="I5549" s="6">
        <v>1.8729435829434686</v>
      </c>
      <c r="K5549" s="8"/>
    </row>
    <row r="5550" spans="1:11" ht="15" x14ac:dyDescent="0.25">
      <c r="A5550" s="3" t="str">
        <f>HYPERLINK("proteomic_fractions_linear_files/Yang_linear_img/6755088.jpg", "6755088")</f>
        <v>6755088</v>
      </c>
      <c r="C5550" s="3" t="str">
        <f>HYPERLINK("http://www.ncbi.nlm.nih.gov/protein/6755088","Pkig")</f>
        <v>Pkig</v>
      </c>
      <c r="E5550" t="str">
        <f>HYPERLINK("J:\Depot - mpkCCD Fractions\Main Web Page\Web Pages_old\proteomic_fractions_linear_files/Yang_linear_img/6755088.jpg","show blot")</f>
        <v>show blot</v>
      </c>
      <c r="G5550" t="s">
        <v>5344</v>
      </c>
      <c r="I5550" s="6">
        <v>4.2252363926150531</v>
      </c>
      <c r="K5550" s="8"/>
    </row>
    <row r="5551" spans="1:11" ht="15" x14ac:dyDescent="0.25">
      <c r="A5551" s="3" t="str">
        <f>HYPERLINK("proteomic_fractions_linear_files/Yang_linear_img/153792131.jpg", "153792131")</f>
        <v>153792131</v>
      </c>
      <c r="C5551" s="3" t="str">
        <f>HYPERLINK("http://www.ncbi.nlm.nih.gov/protein/153792131","Pklr")</f>
        <v>Pklr</v>
      </c>
      <c r="E5551" t="str">
        <f>HYPERLINK("J:\Depot - mpkCCD Fractions\Main Web Page\Web Pages_old\proteomic_fractions_linear_files/Yang_linear_img/153792131.jpg","show blot")</f>
        <v>show blot</v>
      </c>
      <c r="G5551" t="s">
        <v>5345</v>
      </c>
      <c r="I5551" s="6">
        <v>6.2229489201770747</v>
      </c>
      <c r="K5551" s="8"/>
    </row>
    <row r="5552" spans="1:11" ht="15" x14ac:dyDescent="0.25">
      <c r="A5552" s="3" t="str">
        <f>HYPERLINK("proteomic_fractions_linear_files/Yang_linear_img/153792772.jpg", "153792772")</f>
        <v>153792772</v>
      </c>
      <c r="C5552" s="3" t="str">
        <f>HYPERLINK("http://www.ncbi.nlm.nih.gov/protein/153792772","Pklr")</f>
        <v>Pklr</v>
      </c>
      <c r="E5552" t="str">
        <f>HYPERLINK("J:\Depot - mpkCCD Fractions\Main Web Page\Web Pages_old\proteomic_fractions_linear_files/Yang_linear_img/153792772.jpg","show blot")</f>
        <v>show blot</v>
      </c>
      <c r="G5552" t="s">
        <v>5346</v>
      </c>
      <c r="I5552" s="6">
        <v>6.2229489201770747</v>
      </c>
      <c r="K5552" s="8"/>
    </row>
    <row r="5553" spans="1:11" ht="15" x14ac:dyDescent="0.25">
      <c r="A5553" s="3" t="str">
        <f>HYPERLINK("proteomic_fractions_linear_files/Yang_linear_img/31981562.jpg", "31981562")</f>
        <v>31981562</v>
      </c>
      <c r="C5553" s="3" t="str">
        <f>HYPERLINK("http://www.ncbi.nlm.nih.gov/protein/31981562","Pkm")</f>
        <v>Pkm</v>
      </c>
      <c r="E5553" t="str">
        <f>HYPERLINK("J:\Depot - mpkCCD Fractions\Main Web Page\Web Pages_old\proteomic_fractions_linear_files/Yang_linear_img/31981562.jpg","show blot")</f>
        <v>show blot</v>
      </c>
      <c r="G5553" t="s">
        <v>5347</v>
      </c>
      <c r="I5553" s="6">
        <v>7.3653896900965385</v>
      </c>
      <c r="K5553" s="8"/>
    </row>
    <row r="5554" spans="1:11" ht="15" x14ac:dyDescent="0.25">
      <c r="A5554" s="3" t="str">
        <f>HYPERLINK("proteomic_fractions_linear_files/Yang_linear_img/359807367.jpg", "359807367")</f>
        <v>359807367</v>
      </c>
      <c r="C5554" s="3" t="str">
        <f>HYPERLINK("http://www.ncbi.nlm.nih.gov/protein/359807367","Pkm")</f>
        <v>Pkm</v>
      </c>
      <c r="E5554" t="str">
        <f>HYPERLINK("J:\Depot - mpkCCD Fractions\Main Web Page\Web Pages_old\proteomic_fractions_linear_files/Yang_linear_img/359807367.jpg","show blot")</f>
        <v>show blot</v>
      </c>
      <c r="G5554" t="s">
        <v>5348</v>
      </c>
      <c r="I5554" s="6">
        <v>7.3653896900965385</v>
      </c>
      <c r="K5554" s="8"/>
    </row>
    <row r="5555" spans="1:11" ht="15" x14ac:dyDescent="0.25">
      <c r="A5555" s="3" t="str">
        <f>HYPERLINK("proteomic_fractions_linear_files/Yang_linear_img/313760674.jpg", "313760674")</f>
        <v>313760674</v>
      </c>
      <c r="C5555" s="3" t="str">
        <f>HYPERLINK("http://www.ncbi.nlm.nih.gov/protein/313760674","Pkn1")</f>
        <v>Pkn1</v>
      </c>
      <c r="E5555" t="str">
        <f>HYPERLINK("J:\Depot - mpkCCD Fractions\Main Web Page\Web Pages_old\proteomic_fractions_linear_files/Yang_linear_img/313760674.jpg","show blot")</f>
        <v>show blot</v>
      </c>
      <c r="G5555" t="s">
        <v>5349</v>
      </c>
      <c r="I5555" s="6">
        <v>4.1964599807102108</v>
      </c>
      <c r="K5555" s="8"/>
    </row>
    <row r="5556" spans="1:11" ht="15" x14ac:dyDescent="0.25">
      <c r="A5556" s="3" t="str">
        <f>HYPERLINK("proteomic_fractions_linear_files/Yang_linear_img/32813439.jpg", "32813439")</f>
        <v>32813439</v>
      </c>
      <c r="C5556" s="3" t="str">
        <f>HYPERLINK("http://www.ncbi.nlm.nih.gov/protein/32813439","Pkn1")</f>
        <v>Pkn1</v>
      </c>
      <c r="E5556" t="str">
        <f>HYPERLINK("J:\Depot - mpkCCD Fractions\Main Web Page\Web Pages_old\proteomic_fractions_linear_files/Yang_linear_img/32813439.jpg","show blot")</f>
        <v>show blot</v>
      </c>
      <c r="G5556" t="s">
        <v>5350</v>
      </c>
      <c r="I5556" s="6">
        <v>4.1964599807102108</v>
      </c>
      <c r="K5556" s="8"/>
    </row>
    <row r="5557" spans="1:11" ht="15" x14ac:dyDescent="0.25">
      <c r="A5557" s="3" t="str">
        <f>HYPERLINK("proteomic_fractions_linear_files/Yang_linear_img/260099670.jpg", "260099670")</f>
        <v>260099670</v>
      </c>
      <c r="C5557" s="3" t="str">
        <f>HYPERLINK("http://www.ncbi.nlm.nih.gov/protein/260099670","Pkn2")</f>
        <v>Pkn2</v>
      </c>
      <c r="E5557" t="str">
        <f>HYPERLINK("J:\Depot - mpkCCD Fractions\Main Web Page\Web Pages_old\proteomic_fractions_linear_files/Yang_linear_img/260099670.jpg","show blot")</f>
        <v>show blot</v>
      </c>
      <c r="G5557" t="s">
        <v>5351</v>
      </c>
      <c r="I5557" s="6">
        <v>4.5500101652456095</v>
      </c>
      <c r="K5557" s="8"/>
    </row>
    <row r="5558" spans="1:11" ht="15" x14ac:dyDescent="0.25">
      <c r="A5558" s="3" t="str">
        <f>HYPERLINK("proteomic_fractions_linear_files/Yang_linear_img/24418929.jpg", "24418929")</f>
        <v>24418929</v>
      </c>
      <c r="C5558" s="3" t="str">
        <f>HYPERLINK("http://www.ncbi.nlm.nih.gov/protein/24418929","Pkn3")</f>
        <v>Pkn3</v>
      </c>
      <c r="E5558" t="str">
        <f>HYPERLINK("J:\Depot - mpkCCD Fractions\Main Web Page\Web Pages_old\proteomic_fractions_linear_files/Yang_linear_img/24418929.jpg","show blot")</f>
        <v>show blot</v>
      </c>
      <c r="G5558" t="s">
        <v>5352</v>
      </c>
      <c r="I5558" s="6">
        <v>2.9467329076605795</v>
      </c>
      <c r="K5558" s="8"/>
    </row>
    <row r="5559" spans="1:11" ht="15" x14ac:dyDescent="0.25">
      <c r="A5559" s="3" t="str">
        <f>HYPERLINK("proteomic_fractions_linear_files/Yang_linear_img/21312960.jpg", "21312960")</f>
        <v>21312960</v>
      </c>
      <c r="C5559" s="3" t="str">
        <f>HYPERLINK("http://www.ncbi.nlm.nih.gov/protein/21312960","Pkp2")</f>
        <v>Pkp2</v>
      </c>
      <c r="E5559" t="str">
        <f>HYPERLINK("J:\Depot - mpkCCD Fractions\Main Web Page\Web Pages_old\proteomic_fractions_linear_files/Yang_linear_img/21312960.jpg","show blot")</f>
        <v>show blot</v>
      </c>
      <c r="G5559" t="s">
        <v>5353</v>
      </c>
      <c r="I5559" s="6">
        <v>4.5958977639739613</v>
      </c>
      <c r="K5559" s="8"/>
    </row>
    <row r="5560" spans="1:11" ht="15" x14ac:dyDescent="0.25">
      <c r="A5560" s="3" t="str">
        <f>HYPERLINK("proteomic_fractions_linear_files/Yang_linear_img/242332585.jpg", "242332585")</f>
        <v>242332585</v>
      </c>
      <c r="C5560" s="3" t="str">
        <f>HYPERLINK("http://www.ncbi.nlm.nih.gov/protein/242332585","Pkp3")</f>
        <v>Pkp3</v>
      </c>
      <c r="E5560" t="str">
        <f>HYPERLINK("J:\Depot - mpkCCD Fractions\Main Web Page\Web Pages_old\proteomic_fractions_linear_files/Yang_linear_img/242332585.jpg","show blot")</f>
        <v>show blot</v>
      </c>
      <c r="G5560" t="s">
        <v>5354</v>
      </c>
      <c r="I5560" s="6">
        <v>3.5837227102911235</v>
      </c>
      <c r="K5560" s="8"/>
    </row>
    <row r="5561" spans="1:11" ht="15" x14ac:dyDescent="0.25">
      <c r="A5561" s="3" t="str">
        <f>HYPERLINK("proteomic_fractions_linear_files/Yang_linear_img/242332587.jpg", "242332587")</f>
        <v>242332587</v>
      </c>
      <c r="C5561" s="3" t="str">
        <f>HYPERLINK("http://www.ncbi.nlm.nih.gov/protein/242332587","Pkp3")</f>
        <v>Pkp3</v>
      </c>
      <c r="E5561" t="str">
        <f>HYPERLINK("J:\Depot - mpkCCD Fractions\Main Web Page\Web Pages_old\proteomic_fractions_linear_files/Yang_linear_img/242332587.jpg","show blot")</f>
        <v>show blot</v>
      </c>
      <c r="G5561" t="s">
        <v>5355</v>
      </c>
      <c r="I5561" s="6">
        <v>3.5837227102911235</v>
      </c>
      <c r="K5561" s="8"/>
    </row>
    <row r="5562" spans="1:11" ht="15" x14ac:dyDescent="0.25">
      <c r="A5562" s="3" t="str">
        <f>HYPERLINK("proteomic_fractions_linear_files/Yang_linear_img/19527008.jpg", "19527008")</f>
        <v>19527008</v>
      </c>
      <c r="C5562" s="3" t="str">
        <f>HYPERLINK("http://www.ncbi.nlm.nih.gov/protein/19527008","Pla2g15")</f>
        <v>Pla2g15</v>
      </c>
      <c r="E5562" t="str">
        <f>HYPERLINK("J:\Depot - mpkCCD Fractions\Main Web Page\Web Pages_old\proteomic_fractions_linear_files/Yang_linear_img/19527008.jpg","show blot")</f>
        <v>show blot</v>
      </c>
      <c r="G5562" t="s">
        <v>5356</v>
      </c>
      <c r="I5562" s="6">
        <v>4.0022717794267884</v>
      </c>
      <c r="K5562" s="8"/>
    </row>
    <row r="5563" spans="1:11" ht="15" x14ac:dyDescent="0.25">
      <c r="A5563" s="3" t="str">
        <f>HYPERLINK("proteomic_fractions_linear_files/Yang_linear_img/84781797.jpg", "84781797")</f>
        <v>84781797</v>
      </c>
      <c r="C5563" s="3" t="str">
        <f>HYPERLINK("http://www.ncbi.nlm.nih.gov/protein/84781797","Pla2g16")</f>
        <v>Pla2g16</v>
      </c>
      <c r="E5563" t="str">
        <f>HYPERLINK("J:\Depot - mpkCCD Fractions\Main Web Page\Web Pages_old\proteomic_fractions_linear_files/Yang_linear_img/84781797.jpg","show blot")</f>
        <v>show blot</v>
      </c>
      <c r="G5563" t="s">
        <v>5357</v>
      </c>
      <c r="I5563" s="6">
        <v>3.3429965445962293</v>
      </c>
      <c r="K5563" s="8"/>
    </row>
    <row r="5564" spans="1:11" ht="15" x14ac:dyDescent="0.25">
      <c r="A5564" s="3" t="str">
        <f>HYPERLINK("proteomic_fractions_linear_files/Yang_linear_img/6679369.jpg", "6679369")</f>
        <v>6679369</v>
      </c>
      <c r="C5564" s="3" t="str">
        <f>HYPERLINK("http://www.ncbi.nlm.nih.gov/protein/6679369","Pla2g4a")</f>
        <v>Pla2g4a</v>
      </c>
      <c r="E5564" t="str">
        <f>HYPERLINK("J:\Depot - mpkCCD Fractions\Main Web Page\Web Pages_old\proteomic_fractions_linear_files/Yang_linear_img/6679369.jpg","show blot")</f>
        <v>show blot</v>
      </c>
      <c r="G5564" t="s">
        <v>5358</v>
      </c>
      <c r="I5564" s="6">
        <v>4.9222030406139696</v>
      </c>
      <c r="K5564" s="8"/>
    </row>
    <row r="5565" spans="1:11" ht="15" x14ac:dyDescent="0.25">
      <c r="A5565" s="3" t="str">
        <f>HYPERLINK("proteomic_fractions_linear_files/Yang_linear_img/167900427.jpg", "167900427")</f>
        <v>167900427</v>
      </c>
      <c r="C5565" s="3" t="str">
        <f>HYPERLINK("http://www.ncbi.nlm.nih.gov/protein/167900427","Pla2g4b")</f>
        <v>Pla2g4b</v>
      </c>
      <c r="E5565" t="str">
        <f>HYPERLINK("J:\Depot - mpkCCD Fractions\Main Web Page\Web Pages_old\proteomic_fractions_linear_files/Yang_linear_img/167900427.jpg","show blot")</f>
        <v>show blot</v>
      </c>
      <c r="G5565" t="s">
        <v>5359</v>
      </c>
      <c r="I5565" s="6">
        <v>1.2281464932849495</v>
      </c>
      <c r="K5565" s="8"/>
    </row>
    <row r="5566" spans="1:11" ht="15" x14ac:dyDescent="0.25">
      <c r="A5566" s="3" t="str">
        <f>HYPERLINK("proteomic_fractions_linear_files/Yang_linear_img/312222739.jpg", "312222739")</f>
        <v>312222739</v>
      </c>
      <c r="C5566" s="3" t="str">
        <f>HYPERLINK("http://www.ncbi.nlm.nih.gov/protein/312222739","Pla2g6")</f>
        <v>Pla2g6</v>
      </c>
      <c r="E5566" t="str">
        <f>HYPERLINK("J:\Depot - mpkCCD Fractions\Main Web Page\Web Pages_old\proteomic_fractions_linear_files/Yang_linear_img/312222739.jpg","show blot")</f>
        <v>show blot</v>
      </c>
      <c r="G5566" t="s">
        <v>5360</v>
      </c>
      <c r="I5566" s="6">
        <v>3.7224899392325383</v>
      </c>
      <c r="K5566" s="8"/>
    </row>
    <row r="5567" spans="1:11" ht="15" x14ac:dyDescent="0.25">
      <c r="A5567" s="3" t="str">
        <f>HYPERLINK("proteomic_fractions_linear_files/Yang_linear_img/8393978;312222745.jpg", "8393978;312222745")</f>
        <v>8393978;312222745</v>
      </c>
      <c r="C5567" s="3" t="str">
        <f>HYPERLINK("http://www.ncbi.nlm.nih.gov/protein/8393978;312222745","Pla2g6")</f>
        <v>Pla2g6</v>
      </c>
      <c r="E5567" t="str">
        <f>HYPERLINK("J:\Depot - mpkCCD Fractions\Main Web Page\Web Pages_old\proteomic_fractions_linear_files/Yang_linear_img/8393978;312222745.jpg","show blot")</f>
        <v>show blot</v>
      </c>
      <c r="G5567" t="s">
        <v>5361</v>
      </c>
      <c r="I5567" s="6">
        <v>3.7224899392325383</v>
      </c>
      <c r="K5567" s="8"/>
    </row>
    <row r="5568" spans="1:11" ht="15" x14ac:dyDescent="0.25">
      <c r="A5568" s="3" t="str">
        <f>HYPERLINK("proteomic_fractions_linear_files/Yang_linear_img/31980752.jpg", "31980752")</f>
        <v>31980752</v>
      </c>
      <c r="C5568" s="3" t="str">
        <f>HYPERLINK("http://www.ncbi.nlm.nih.gov/protein/31980752","Pla2g7")</f>
        <v>Pla2g7</v>
      </c>
      <c r="E5568" t="str">
        <f>HYPERLINK("J:\Depot - mpkCCD Fractions\Main Web Page\Web Pages_old\proteomic_fractions_linear_files/Yang_linear_img/31980752.jpg","show blot")</f>
        <v>show blot</v>
      </c>
      <c r="G5568" t="s">
        <v>5362</v>
      </c>
      <c r="I5568" s="6">
        <v>3.9842659636942095</v>
      </c>
      <c r="K5568" s="8"/>
    </row>
    <row r="5569" spans="1:11" ht="15" x14ac:dyDescent="0.25">
      <c r="A5569" s="3" t="str">
        <f>HYPERLINK("proteomic_fractions_linear_files/Yang_linear_img/114431250.jpg", "114431250")</f>
        <v>114431250</v>
      </c>
      <c r="C5569" s="3" t="str">
        <f>HYPERLINK("http://www.ncbi.nlm.nih.gov/protein/114431250","Plaa")</f>
        <v>Plaa</v>
      </c>
      <c r="E5569" t="str">
        <f>HYPERLINK("J:\Depot - mpkCCD Fractions\Main Web Page\Web Pages_old\proteomic_fractions_linear_files/Yang_linear_img/114431250.jpg","show blot")</f>
        <v>show blot</v>
      </c>
      <c r="G5569" t="s">
        <v>5363</v>
      </c>
      <c r="I5569" s="6">
        <v>4.8399545003553861</v>
      </c>
      <c r="K5569" s="8"/>
    </row>
    <row r="5570" spans="1:11" ht="15" x14ac:dyDescent="0.25">
      <c r="A5570" s="3" t="str">
        <f>HYPERLINK("proteomic_fractions_linear_files/Yang_linear_img/21105853.jpg", "21105853")</f>
        <v>21105853</v>
      </c>
      <c r="C5570" s="3" t="str">
        <f>HYPERLINK("http://www.ncbi.nlm.nih.gov/protein/21105853","Plac8")</f>
        <v>Plac8</v>
      </c>
      <c r="E5570" t="str">
        <f>HYPERLINK("J:\Depot - mpkCCD Fractions\Main Web Page\Web Pages_old\proteomic_fractions_linear_files/Yang_linear_img/21105853.jpg","show blot")</f>
        <v>show blot</v>
      </c>
      <c r="G5570" t="s">
        <v>5364</v>
      </c>
      <c r="I5570" s="6">
        <v>2.721604544280138</v>
      </c>
      <c r="K5570" s="8"/>
    </row>
    <row r="5571" spans="1:11" ht="15" x14ac:dyDescent="0.25">
      <c r="A5571" s="3" t="str">
        <f>HYPERLINK("proteomic_fractions_linear_files/Yang_linear_img/6679377.jpg", "6679377")</f>
        <v>6679377</v>
      </c>
      <c r="C5571" s="3" t="str">
        <f>HYPERLINK("http://www.ncbi.nlm.nih.gov/protein/6679377","Plau")</f>
        <v>Plau</v>
      </c>
      <c r="E5571" t="str">
        <f>HYPERLINK("J:\Depot - mpkCCD Fractions\Main Web Page\Web Pages_old\proteomic_fractions_linear_files/Yang_linear_img/6679377.jpg","show blot")</f>
        <v>show blot</v>
      </c>
      <c r="G5571" t="s">
        <v>5365</v>
      </c>
      <c r="I5571" s="6">
        <v>3.7127551672740853</v>
      </c>
      <c r="K5571" s="8"/>
    </row>
    <row r="5572" spans="1:11" ht="15" x14ac:dyDescent="0.25">
      <c r="A5572" s="3" t="str">
        <f>HYPERLINK("proteomic_fractions_linear_files/Yang_linear_img/31560090.jpg", "31560090")</f>
        <v>31560090</v>
      </c>
      <c r="C5572" s="3" t="str">
        <f>HYPERLINK("http://www.ncbi.nlm.nih.gov/protein/31560090","Plbd2")</f>
        <v>Plbd2</v>
      </c>
      <c r="E5572" t="str">
        <f>HYPERLINK("J:\Depot - mpkCCD Fractions\Main Web Page\Web Pages_old\proteomic_fractions_linear_files/Yang_linear_img/31560090.jpg","show blot")</f>
        <v>show blot</v>
      </c>
      <c r="G5572" t="s">
        <v>5366</v>
      </c>
      <c r="I5572" s="6">
        <v>4.9263617037154424</v>
      </c>
      <c r="K5572" s="8"/>
    </row>
    <row r="5573" spans="1:11" ht="15" x14ac:dyDescent="0.25">
      <c r="A5573" s="3" t="str">
        <f>HYPERLINK("proteomic_fractions_linear_files/Yang_linear_img/31982122.jpg", "31982122")</f>
        <v>31982122</v>
      </c>
      <c r="C5573" s="3" t="str">
        <f>HYPERLINK("http://www.ncbi.nlm.nih.gov/protein/31982122","Plcb3")</f>
        <v>Plcb3</v>
      </c>
      <c r="E5573" t="str">
        <f>HYPERLINK("J:\Depot - mpkCCD Fractions\Main Web Page\Web Pages_old\proteomic_fractions_linear_files/Yang_linear_img/31982122.jpg","show blot")</f>
        <v>show blot</v>
      </c>
      <c r="G5573" t="s">
        <v>5367</v>
      </c>
      <c r="I5573" s="6">
        <v>5.2461755706423299</v>
      </c>
      <c r="K5573" s="8"/>
    </row>
    <row r="5574" spans="1:11" ht="15" x14ac:dyDescent="0.25">
      <c r="A5574" s="3" t="str">
        <f>HYPERLINK("proteomic_fractions_linear_files/Yang_linear_img/9790167.jpg", "9790167")</f>
        <v>9790167</v>
      </c>
      <c r="C5574" s="3" t="str">
        <f>HYPERLINK("http://www.ncbi.nlm.nih.gov/protein/9790167","Plcd1")</f>
        <v>Plcd1</v>
      </c>
      <c r="E5574" t="str">
        <f>HYPERLINK("J:\Depot - mpkCCD Fractions\Main Web Page\Web Pages_old\proteomic_fractions_linear_files/Yang_linear_img/9790167.jpg","show blot")</f>
        <v>show blot</v>
      </c>
      <c r="G5574" t="s">
        <v>5368</v>
      </c>
      <c r="I5574" s="6">
        <v>3.5420370017228793</v>
      </c>
      <c r="K5574" s="8"/>
    </row>
    <row r="5575" spans="1:11" ht="15" x14ac:dyDescent="0.25">
      <c r="A5575" s="3" t="str">
        <f>HYPERLINK("proteomic_fractions_linear_files/Yang_linear_img/258645148.jpg", "258645148")</f>
        <v>258645148</v>
      </c>
      <c r="C5575" s="3" t="str">
        <f>HYPERLINK("http://www.ncbi.nlm.nih.gov/protein/258645148","Plcd3")</f>
        <v>Plcd3</v>
      </c>
      <c r="E5575" t="str">
        <f>HYPERLINK("J:\Depot - mpkCCD Fractions\Main Web Page\Web Pages_old\proteomic_fractions_linear_files/Yang_linear_img/258645148.jpg","show blot")</f>
        <v>show blot</v>
      </c>
      <c r="G5575" t="s">
        <v>5369</v>
      </c>
      <c r="I5575" s="6">
        <v>3.2736640432218174</v>
      </c>
      <c r="K5575" s="8"/>
    </row>
    <row r="5576" spans="1:11" ht="15" x14ac:dyDescent="0.25">
      <c r="A5576" s="3" t="str">
        <f>HYPERLINK("proteomic_fractions_linear_files/Yang_linear_img/41393059.jpg", "41393059")</f>
        <v>41393059</v>
      </c>
      <c r="C5576" s="3" t="str">
        <f>HYPERLINK("http://www.ncbi.nlm.nih.gov/protein/41393059","Plcg1")</f>
        <v>Plcg1</v>
      </c>
      <c r="E5576" t="str">
        <f>HYPERLINK("J:\Depot - mpkCCD Fractions\Main Web Page\Web Pages_old\proteomic_fractions_linear_files/Yang_linear_img/41393059.jpg","show blot")</f>
        <v>show blot</v>
      </c>
      <c r="G5576" t="s">
        <v>5370</v>
      </c>
      <c r="I5576" s="6">
        <v>4.0522665055720601</v>
      </c>
      <c r="K5576" s="8"/>
    </row>
    <row r="5577" spans="1:11" ht="15" x14ac:dyDescent="0.25">
      <c r="A5577" s="3" t="str">
        <f>HYPERLINK("proteomic_fractions_linear_files/Yang_linear_img/26986603.jpg", "26986603")</f>
        <v>26986603</v>
      </c>
      <c r="C5577" s="3" t="str">
        <f>HYPERLINK("http://www.ncbi.nlm.nih.gov/protein/26986603","Plcg2")</f>
        <v>Plcg2</v>
      </c>
      <c r="E5577" t="str">
        <f>HYPERLINK("J:\Depot - mpkCCD Fractions\Main Web Page\Web Pages_old\proteomic_fractions_linear_files/Yang_linear_img/26986603.jpg","show blot")</f>
        <v>show blot</v>
      </c>
      <c r="G5577" t="s">
        <v>5371</v>
      </c>
      <c r="I5577" s="6">
        <v>5.0999069731707873</v>
      </c>
      <c r="K5577" s="8"/>
    </row>
    <row r="5578" spans="1:11" ht="15" x14ac:dyDescent="0.25">
      <c r="A5578" s="3" t="str">
        <f>HYPERLINK("proteomic_fractions_linear_files/Yang_linear_img/295148200.jpg", "295148200")</f>
        <v>295148200</v>
      </c>
      <c r="C5578" s="3" t="str">
        <f>HYPERLINK("http://www.ncbi.nlm.nih.gov/protein/295148200","Plch1")</f>
        <v>Plch1</v>
      </c>
      <c r="E5578" t="str">
        <f>HYPERLINK("J:\Depot - mpkCCD Fractions\Main Web Page\Web Pages_old\proteomic_fractions_linear_files/Yang_linear_img/295148200.jpg","show blot")</f>
        <v>show blot</v>
      </c>
      <c r="G5578" t="s">
        <v>5372</v>
      </c>
      <c r="I5578" s="6">
        <v>3.3863925653110001</v>
      </c>
      <c r="K5578" s="8"/>
    </row>
    <row r="5579" spans="1:11" ht="15" x14ac:dyDescent="0.25">
      <c r="A5579" s="3" t="str">
        <f>HYPERLINK("proteomic_fractions_linear_files/Yang_linear_img/295148202.jpg", "295148202")</f>
        <v>295148202</v>
      </c>
      <c r="C5579" s="3" t="str">
        <f>HYPERLINK("http://www.ncbi.nlm.nih.gov/protein/295148202","Plch1")</f>
        <v>Plch1</v>
      </c>
      <c r="E5579" t="str">
        <f>HYPERLINK("J:\Depot - mpkCCD Fractions\Main Web Page\Web Pages_old\proteomic_fractions_linear_files/Yang_linear_img/295148202.jpg","show blot")</f>
        <v>show blot</v>
      </c>
      <c r="G5579" t="s">
        <v>5373</v>
      </c>
      <c r="I5579" s="6">
        <v>3.3863925653110001</v>
      </c>
      <c r="K5579" s="8"/>
    </row>
    <row r="5580" spans="1:11" ht="15" x14ac:dyDescent="0.25">
      <c r="A5580" s="3" t="str">
        <f>HYPERLINK("proteomic_fractions_linear_files/Yang_linear_img/295148204.jpg", "295148204")</f>
        <v>295148204</v>
      </c>
      <c r="C5580" s="3" t="str">
        <f>HYPERLINK("http://www.ncbi.nlm.nih.gov/protein/295148204","Plch1")</f>
        <v>Plch1</v>
      </c>
      <c r="E5580" t="str">
        <f>HYPERLINK("J:\Depot - mpkCCD Fractions\Main Web Page\Web Pages_old\proteomic_fractions_linear_files/Yang_linear_img/295148204.jpg","show blot")</f>
        <v>show blot</v>
      </c>
      <c r="G5580" t="s">
        <v>5374</v>
      </c>
      <c r="I5580" s="6">
        <v>3.3863925653110001</v>
      </c>
      <c r="K5580" s="8"/>
    </row>
    <row r="5581" spans="1:11" ht="15" x14ac:dyDescent="0.25">
      <c r="A5581" s="3" t="str">
        <f>HYPERLINK("proteomic_fractions_linear_files/Yang_linear_img/197333710.jpg", "197333710")</f>
        <v>197333710</v>
      </c>
      <c r="C5581" s="3" t="str">
        <f>HYPERLINK("http://www.ncbi.nlm.nih.gov/protein/197333710","Plcxd2")</f>
        <v>Plcxd2</v>
      </c>
      <c r="E5581" t="str">
        <f>HYPERLINK("J:\Depot - mpkCCD Fractions\Main Web Page\Web Pages_old\proteomic_fractions_linear_files/Yang_linear_img/197333710.jpg","show blot")</f>
        <v>show blot</v>
      </c>
      <c r="G5581" t="s">
        <v>5375</v>
      </c>
      <c r="I5581" s="6">
        <v>4.8815048057032779</v>
      </c>
      <c r="K5581" s="8"/>
    </row>
    <row r="5582" spans="1:11" ht="15" x14ac:dyDescent="0.25">
      <c r="A5582" s="3" t="str">
        <f>HYPERLINK("proteomic_fractions_linear_files/Yang_linear_img/6679379.jpg", "6679379")</f>
        <v>6679379</v>
      </c>
      <c r="C5582" s="3" t="str">
        <f>HYPERLINK("http://www.ncbi.nlm.nih.gov/protein/6679379","Pld2")</f>
        <v>Pld2</v>
      </c>
      <c r="E5582" t="str">
        <f>HYPERLINK("J:\Depot - mpkCCD Fractions\Main Web Page\Web Pages_old\proteomic_fractions_linear_files/Yang_linear_img/6679379.jpg","show blot")</f>
        <v>show blot</v>
      </c>
      <c r="G5582" t="s">
        <v>5376</v>
      </c>
      <c r="I5582" s="6">
        <v>3.4920694438050117</v>
      </c>
      <c r="K5582" s="8"/>
    </row>
    <row r="5583" spans="1:11" ht="15" x14ac:dyDescent="0.25">
      <c r="A5583" s="3" t="str">
        <f>HYPERLINK("proteomic_fractions_linear_files/Yang_linear_img/7242181.jpg", "7242181")</f>
        <v>7242181</v>
      </c>
      <c r="C5583" s="3" t="str">
        <f>HYPERLINK("http://www.ncbi.nlm.nih.gov/protein/7242181","Pld3")</f>
        <v>Pld3</v>
      </c>
      <c r="E5583" t="str">
        <f>HYPERLINK("J:\Depot - mpkCCD Fractions\Main Web Page\Web Pages_old\proteomic_fractions_linear_files/Yang_linear_img/7242181.jpg","show blot")</f>
        <v>show blot</v>
      </c>
      <c r="G5583" t="s">
        <v>5377</v>
      </c>
      <c r="I5583" s="6">
        <v>2.3476208555133069</v>
      </c>
      <c r="K5583" s="8"/>
    </row>
    <row r="5584" spans="1:11" ht="15" x14ac:dyDescent="0.25">
      <c r="A5584" s="3" t="str">
        <f>HYPERLINK("proteomic_fractions_linear_files/Yang_linear_img/256000745;256367522.jpg", "256000745;256367522")</f>
        <v>256000745;256367522</v>
      </c>
      <c r="C5584" s="3" t="str">
        <f>HYPERLINK("http://www.ncbi.nlm.nih.gov/protein/256000745;256367522","Plec")</f>
        <v>Plec</v>
      </c>
      <c r="E5584" t="str">
        <f>HYPERLINK("J:\Depot - mpkCCD Fractions\Main Web Page\Web Pages_old\proteomic_fractions_linear_files/Yang_linear_img/256000745;256367522.jpg","show blot")</f>
        <v>show blot</v>
      </c>
      <c r="G5584" t="s">
        <v>5378</v>
      </c>
      <c r="I5584" s="6">
        <v>5.2268654924724478</v>
      </c>
      <c r="K5584" s="8"/>
    </row>
    <row r="5585" spans="1:11" ht="15" x14ac:dyDescent="0.25">
      <c r="A5585" s="3" t="str">
        <f>HYPERLINK("proteomic_fractions_linear_files/Yang_linear_img/256367522.jpg", "256367522")</f>
        <v>256367522</v>
      </c>
      <c r="C5585" s="3" t="str">
        <f>HYPERLINK("http://www.ncbi.nlm.nih.gov/protein/256367522","Plec")</f>
        <v>Plec</v>
      </c>
      <c r="E5585" t="str">
        <f>HYPERLINK("J:\Depot - mpkCCD Fractions\Main Web Page\Web Pages_old\proteomic_fractions_linear_files/Yang_linear_img/256367522.jpg","show blot")</f>
        <v>show blot</v>
      </c>
      <c r="G5585" t="s">
        <v>5378</v>
      </c>
      <c r="I5585" s="6">
        <v>5.2268654924724478</v>
      </c>
      <c r="K5585" s="8"/>
    </row>
    <row r="5586" spans="1:11" ht="15" x14ac:dyDescent="0.25">
      <c r="A5586" s="3" t="str">
        <f>HYPERLINK("proteomic_fractions_linear_files/Yang_linear_img/254675115.jpg", "254675115")</f>
        <v>254675115</v>
      </c>
      <c r="C5586" s="3" t="str">
        <f>HYPERLINK("http://www.ncbi.nlm.nih.gov/protein/254675115","Plec")</f>
        <v>Plec</v>
      </c>
      <c r="E5586" t="str">
        <f>HYPERLINK("J:\Depot - mpkCCD Fractions\Main Web Page\Web Pages_old\proteomic_fractions_linear_files/Yang_linear_img/254675115.jpg","show blot")</f>
        <v>show blot</v>
      </c>
      <c r="G5586" t="s">
        <v>5379</v>
      </c>
      <c r="I5586" s="6">
        <v>5.2268654924724478</v>
      </c>
      <c r="K5586" s="8"/>
    </row>
    <row r="5587" spans="1:11" ht="15" x14ac:dyDescent="0.25">
      <c r="A5587" s="3" t="str">
        <f>HYPERLINK("proteomic_fractions_linear_files/Yang_linear_img/254675117.jpg", "254675117")</f>
        <v>254675117</v>
      </c>
      <c r="C5587" s="3" t="str">
        <f>HYPERLINK("http://www.ncbi.nlm.nih.gov/protein/254675117","Plec")</f>
        <v>Plec</v>
      </c>
      <c r="E5587" t="str">
        <f>HYPERLINK("J:\Depot - mpkCCD Fractions\Main Web Page\Web Pages_old\proteomic_fractions_linear_files/Yang_linear_img/254675117.jpg","show blot")</f>
        <v>show blot</v>
      </c>
      <c r="G5587" t="s">
        <v>5380</v>
      </c>
      <c r="I5587" s="6">
        <v>5.2268654924724478</v>
      </c>
      <c r="K5587" s="8"/>
    </row>
    <row r="5588" spans="1:11" ht="15" x14ac:dyDescent="0.25">
      <c r="A5588" s="3" t="str">
        <f>HYPERLINK("proteomic_fractions_linear_files/Yang_linear_img/254675119.jpg", "254675119")</f>
        <v>254675119</v>
      </c>
      <c r="C5588" s="3" t="str">
        <f>HYPERLINK("http://www.ncbi.nlm.nih.gov/protein/254675119","Plec")</f>
        <v>Plec</v>
      </c>
      <c r="E5588" t="str">
        <f>HYPERLINK("J:\Depot - mpkCCD Fractions\Main Web Page\Web Pages_old\proteomic_fractions_linear_files/Yang_linear_img/254675119.jpg","show blot")</f>
        <v>show blot</v>
      </c>
      <c r="G5588" t="s">
        <v>5381</v>
      </c>
      <c r="I5588" s="6">
        <v>5.2268654924724478</v>
      </c>
      <c r="K5588" s="8"/>
    </row>
    <row r="5589" spans="1:11" ht="15" x14ac:dyDescent="0.25">
      <c r="A5589" s="3" t="str">
        <f>HYPERLINK("proteomic_fractions_linear_files/Yang_linear_img/254675195.jpg", "254675195")</f>
        <v>254675195</v>
      </c>
      <c r="C5589" s="3" t="str">
        <f>HYPERLINK("http://www.ncbi.nlm.nih.gov/protein/254675195","Plec")</f>
        <v>Plec</v>
      </c>
      <c r="E5589" t="str">
        <f>HYPERLINK("J:\Depot - mpkCCD Fractions\Main Web Page\Web Pages_old\proteomic_fractions_linear_files/Yang_linear_img/254675195.jpg","show blot")</f>
        <v>show blot</v>
      </c>
      <c r="G5589" t="s">
        <v>5382</v>
      </c>
      <c r="I5589" s="6">
        <v>5.2268654924724478</v>
      </c>
      <c r="K5589" s="8"/>
    </row>
    <row r="5590" spans="1:11" ht="15" x14ac:dyDescent="0.25">
      <c r="A5590" s="3" t="str">
        <f>HYPERLINK("proteomic_fractions_linear_files/Yang_linear_img/254675201.jpg", "254675201")</f>
        <v>254675201</v>
      </c>
      <c r="C5590" s="3" t="str">
        <f>HYPERLINK("http://www.ncbi.nlm.nih.gov/protein/254675201","Plec")</f>
        <v>Plec</v>
      </c>
      <c r="E5590" t="str">
        <f>HYPERLINK("J:\Depot - mpkCCD Fractions\Main Web Page\Web Pages_old\proteomic_fractions_linear_files/Yang_linear_img/254675201.jpg","show blot")</f>
        <v>show blot</v>
      </c>
      <c r="G5590" t="s">
        <v>5383</v>
      </c>
      <c r="I5590" s="6">
        <v>5.2268654924724478</v>
      </c>
      <c r="K5590" s="8"/>
    </row>
    <row r="5591" spans="1:11" ht="15" x14ac:dyDescent="0.25">
      <c r="A5591" s="3" t="str">
        <f>HYPERLINK("proteomic_fractions_linear_files/Yang_linear_img/254675244.jpg", "254675244")</f>
        <v>254675244</v>
      </c>
      <c r="C5591" s="3" t="str">
        <f>HYPERLINK("http://www.ncbi.nlm.nih.gov/protein/254675244","Plec")</f>
        <v>Plec</v>
      </c>
      <c r="E5591" t="str">
        <f>HYPERLINK("J:\Depot - mpkCCD Fractions\Main Web Page\Web Pages_old\proteomic_fractions_linear_files/Yang_linear_img/254675244.jpg","show blot")</f>
        <v>show blot</v>
      </c>
      <c r="G5591" t="s">
        <v>5384</v>
      </c>
      <c r="I5591" s="6">
        <v>5.2268654924724478</v>
      </c>
      <c r="K5591" s="8"/>
    </row>
    <row r="5592" spans="1:11" ht="15" x14ac:dyDescent="0.25">
      <c r="A5592" s="3" t="str">
        <f>HYPERLINK("proteomic_fractions_linear_files/Yang_linear_img/254675251.jpg", "254675251")</f>
        <v>254675251</v>
      </c>
      <c r="C5592" s="3" t="str">
        <f>HYPERLINK("http://www.ncbi.nlm.nih.gov/protein/254675251","Plec")</f>
        <v>Plec</v>
      </c>
      <c r="E5592" t="str">
        <f>HYPERLINK("J:\Depot - mpkCCD Fractions\Main Web Page\Web Pages_old\proteomic_fractions_linear_files/Yang_linear_img/254675251.jpg","show blot")</f>
        <v>show blot</v>
      </c>
      <c r="G5592" t="s">
        <v>5385</v>
      </c>
      <c r="I5592" s="6">
        <v>5.2268654924724478</v>
      </c>
      <c r="K5592" s="8"/>
    </row>
    <row r="5593" spans="1:11" ht="15" x14ac:dyDescent="0.25">
      <c r="A5593" s="3" t="str">
        <f>HYPERLINK("proteomic_fractions_linear_files/Yang_linear_img/254675253.jpg", "254675253")</f>
        <v>254675253</v>
      </c>
      <c r="C5593" s="3" t="str">
        <f>HYPERLINK("http://www.ncbi.nlm.nih.gov/protein/254675253","Plec")</f>
        <v>Plec</v>
      </c>
      <c r="E5593" t="str">
        <f>HYPERLINK("J:\Depot - mpkCCD Fractions\Main Web Page\Web Pages_old\proteomic_fractions_linear_files/Yang_linear_img/254675253.jpg","show blot")</f>
        <v>show blot</v>
      </c>
      <c r="G5593" t="s">
        <v>5386</v>
      </c>
      <c r="I5593" s="6">
        <v>5.2268654924724478</v>
      </c>
      <c r="K5593" s="8"/>
    </row>
    <row r="5594" spans="1:11" ht="15" x14ac:dyDescent="0.25">
      <c r="A5594" s="3" t="str">
        <f>HYPERLINK("proteomic_fractions_linear_files/Yang_linear_img/254675259.jpg", "254675259")</f>
        <v>254675259</v>
      </c>
      <c r="C5594" s="3" t="str">
        <f>HYPERLINK("http://www.ncbi.nlm.nih.gov/protein/254675259","Plec")</f>
        <v>Plec</v>
      </c>
      <c r="E5594" t="str">
        <f>HYPERLINK("J:\Depot - mpkCCD Fractions\Main Web Page\Web Pages_old\proteomic_fractions_linear_files/Yang_linear_img/254675259.jpg","show blot")</f>
        <v>show blot</v>
      </c>
      <c r="G5594" t="s">
        <v>5387</v>
      </c>
      <c r="I5594" s="6">
        <v>5.2268654924724478</v>
      </c>
      <c r="K5594" s="8"/>
    </row>
    <row r="5595" spans="1:11" ht="15" x14ac:dyDescent="0.25">
      <c r="A5595" s="3" t="str">
        <f>HYPERLINK("proteomic_fractions_linear_files/Yang_linear_img/254675265.jpg", "254675265")</f>
        <v>254675265</v>
      </c>
      <c r="C5595" s="3" t="str">
        <f>HYPERLINK("http://www.ncbi.nlm.nih.gov/protein/254675265","Plec")</f>
        <v>Plec</v>
      </c>
      <c r="E5595" t="str">
        <f>HYPERLINK("J:\Depot - mpkCCD Fractions\Main Web Page\Web Pages_old\proteomic_fractions_linear_files/Yang_linear_img/254675265.jpg","show blot")</f>
        <v>show blot</v>
      </c>
      <c r="G5595" t="s">
        <v>5388</v>
      </c>
      <c r="I5595" s="6">
        <v>5.2268654924724478</v>
      </c>
      <c r="K5595" s="8"/>
    </row>
    <row r="5596" spans="1:11" ht="15" x14ac:dyDescent="0.25">
      <c r="A5596" s="3" t="str">
        <f>HYPERLINK("proteomic_fractions_linear_files/Yang_linear_img/256418964.jpg", "256418964")</f>
        <v>256418964</v>
      </c>
      <c r="C5596" s="3" t="str">
        <f>HYPERLINK("http://www.ncbi.nlm.nih.gov/protein/256418964","Plec")</f>
        <v>Plec</v>
      </c>
      <c r="E5596" t="str">
        <f>HYPERLINK("J:\Depot - mpkCCD Fractions\Main Web Page\Web Pages_old\proteomic_fractions_linear_files/Yang_linear_img/256418964.jpg","show blot")</f>
        <v>show blot</v>
      </c>
      <c r="G5596" t="s">
        <v>5389</v>
      </c>
      <c r="I5596" s="6">
        <v>5.2268654924724478</v>
      </c>
      <c r="K5596" s="8"/>
    </row>
    <row r="5597" spans="1:11" ht="15" x14ac:dyDescent="0.25">
      <c r="A5597" s="3" t="str">
        <f>HYPERLINK("proteomic_fractions_linear_files/Yang_linear_img/19527162.jpg", "19527162")</f>
        <v>19527162</v>
      </c>
      <c r="C5597" s="3" t="str">
        <f>HYPERLINK("http://www.ncbi.nlm.nih.gov/protein/19527162","Plekha1")</f>
        <v>Plekha1</v>
      </c>
      <c r="E5597" t="str">
        <f>HYPERLINK("J:\Depot - mpkCCD Fractions\Main Web Page\Web Pages_old\proteomic_fractions_linear_files/Yang_linear_img/19527162.jpg","show blot")</f>
        <v>show blot</v>
      </c>
      <c r="G5597" t="s">
        <v>5390</v>
      </c>
      <c r="I5597" s="6">
        <v>1.7325999285816009</v>
      </c>
      <c r="K5597" s="8"/>
    </row>
    <row r="5598" spans="1:11" ht="15" x14ac:dyDescent="0.25">
      <c r="A5598" s="3" t="str">
        <f>HYPERLINK("proteomic_fractions_linear_files/Yang_linear_img/13752587.jpg", "13752587")</f>
        <v>13752587</v>
      </c>
      <c r="C5598" s="3" t="str">
        <f>HYPERLINK("http://www.ncbi.nlm.nih.gov/protein/13752587","Plekha2")</f>
        <v>Plekha2</v>
      </c>
      <c r="E5598" t="str">
        <f>HYPERLINK("J:\Depot - mpkCCD Fractions\Main Web Page\Web Pages_old\proteomic_fractions_linear_files/Yang_linear_img/13752587.jpg","show blot")</f>
        <v>show blot</v>
      </c>
      <c r="G5598" t="s">
        <v>5391</v>
      </c>
      <c r="I5598" s="6">
        <v>3.5198372157074962</v>
      </c>
      <c r="K5598" s="8"/>
    </row>
    <row r="5599" spans="1:11" ht="15" x14ac:dyDescent="0.25">
      <c r="A5599" s="3" t="str">
        <f>HYPERLINK("proteomic_fractions_linear_files/Yang_linear_img/237681204.jpg", "237681204")</f>
        <v>237681204</v>
      </c>
      <c r="C5599" s="3" t="str">
        <f>HYPERLINK("http://www.ncbi.nlm.nih.gov/protein/237681204","Plekha6")</f>
        <v>Plekha6</v>
      </c>
      <c r="E5599" t="str">
        <f>HYPERLINK("J:\Depot - mpkCCD Fractions\Main Web Page\Web Pages_old\proteomic_fractions_linear_files/Yang_linear_img/237681204.jpg","show blot")</f>
        <v>show blot</v>
      </c>
      <c r="G5599" t="s">
        <v>5392</v>
      </c>
      <c r="I5599" s="6">
        <v>2.7616410680645584</v>
      </c>
      <c r="K5599" s="8"/>
    </row>
    <row r="5600" spans="1:11" ht="15" x14ac:dyDescent="0.25">
      <c r="A5600" s="3" t="str">
        <f>HYPERLINK("proteomic_fractions_linear_files/Yang_linear_img/33636693.jpg", "33636693")</f>
        <v>33636693</v>
      </c>
      <c r="C5600" s="3" t="str">
        <f>HYPERLINK("http://www.ncbi.nlm.nih.gov/protein/33636693","Plekha6")</f>
        <v>Plekha6</v>
      </c>
      <c r="E5600" t="str">
        <f>HYPERLINK("J:\Depot - mpkCCD Fractions\Main Web Page\Web Pages_old\proteomic_fractions_linear_files/Yang_linear_img/33636693.jpg","show blot")</f>
        <v>show blot</v>
      </c>
      <c r="G5600" t="s">
        <v>5393</v>
      </c>
      <c r="I5600" s="6">
        <v>2.7616410680645584</v>
      </c>
      <c r="K5600" s="8"/>
    </row>
    <row r="5601" spans="1:11" ht="15" x14ac:dyDescent="0.25">
      <c r="A5601" s="3" t="str">
        <f>HYPERLINK("proteomic_fractions_linear_files/Yang_linear_img/170650667.jpg", "170650667")</f>
        <v>170650667</v>
      </c>
      <c r="C5601" s="3" t="str">
        <f>HYPERLINK("http://www.ncbi.nlm.nih.gov/protein/170650667","Plekhf1")</f>
        <v>Plekhf1</v>
      </c>
      <c r="E5601" t="str">
        <f>HYPERLINK("J:\Depot - mpkCCD Fractions\Main Web Page\Web Pages_old\proteomic_fractions_linear_files/Yang_linear_img/170650667.jpg","show blot")</f>
        <v>show blot</v>
      </c>
      <c r="G5601" t="s">
        <v>5394</v>
      </c>
      <c r="I5601" s="6">
        <v>3.6252635300352813</v>
      </c>
      <c r="K5601" s="8"/>
    </row>
    <row r="5602" spans="1:11" ht="15" x14ac:dyDescent="0.25">
      <c r="A5602" s="3" t="str">
        <f>HYPERLINK("proteomic_fractions_linear_files/Yang_linear_img/29611667.jpg", "29611667")</f>
        <v>29611667</v>
      </c>
      <c r="C5602" s="3" t="str">
        <f>HYPERLINK("http://www.ncbi.nlm.nih.gov/protein/29611667","Plekhf2")</f>
        <v>Plekhf2</v>
      </c>
      <c r="E5602" t="str">
        <f>HYPERLINK("J:\Depot - mpkCCD Fractions\Main Web Page\Web Pages_old\proteomic_fractions_linear_files/Yang_linear_img/29611667.jpg","show blot")</f>
        <v>show blot</v>
      </c>
      <c r="G5602" t="s">
        <v>5395</v>
      </c>
      <c r="I5602" s="6">
        <v>3.669467192527335</v>
      </c>
      <c r="K5602" s="8"/>
    </row>
    <row r="5603" spans="1:11" ht="15" x14ac:dyDescent="0.25">
      <c r="A5603" s="3" t="str">
        <f>HYPERLINK("proteomic_fractions_linear_files/Yang_linear_img/84794546.jpg", "84794546")</f>
        <v>84794546</v>
      </c>
      <c r="C5603" s="3" t="str">
        <f>HYPERLINK("http://www.ncbi.nlm.nih.gov/protein/84794546","Plekhg1")</f>
        <v>Plekhg1</v>
      </c>
      <c r="E5603" t="str">
        <f>HYPERLINK("J:\Depot - mpkCCD Fractions\Main Web Page\Web Pages_old\proteomic_fractions_linear_files/Yang_linear_img/84794546.jpg","show blot")</f>
        <v>show blot</v>
      </c>
      <c r="G5603" t="s">
        <v>5396</v>
      </c>
      <c r="I5603" s="6">
        <v>3.2396844066787067</v>
      </c>
      <c r="K5603" s="8"/>
    </row>
    <row r="5604" spans="1:11" ht="15" x14ac:dyDescent="0.25">
      <c r="A5604" s="3" t="str">
        <f>HYPERLINK("proteomic_fractions_linear_files/Yang_linear_img/167621502.jpg", "167621502")</f>
        <v>167621502</v>
      </c>
      <c r="C5604" s="3" t="str">
        <f>HYPERLINK("http://www.ncbi.nlm.nih.gov/protein/167621502","Plekhg3")</f>
        <v>Plekhg3</v>
      </c>
      <c r="E5604" t="str">
        <f>HYPERLINK("J:\Depot - mpkCCD Fractions\Main Web Page\Web Pages_old\proteomic_fractions_linear_files/Yang_linear_img/167621502.jpg","show blot")</f>
        <v>show blot</v>
      </c>
      <c r="G5604" t="s">
        <v>5397</v>
      </c>
      <c r="I5604" s="6">
        <v>3.6406245443988747</v>
      </c>
      <c r="K5604" s="8"/>
    </row>
    <row r="5605" spans="1:11" ht="15" x14ac:dyDescent="0.25">
      <c r="A5605" s="3" t="str">
        <f>HYPERLINK("proteomic_fractions_linear_files/Yang_linear_img/188497685.jpg", "188497685")</f>
        <v>188497685</v>
      </c>
      <c r="C5605" s="3" t="str">
        <f>HYPERLINK("http://www.ncbi.nlm.nih.gov/protein/188497685","Plekhh2")</f>
        <v>Plekhh2</v>
      </c>
      <c r="E5605" t="str">
        <f>HYPERLINK("J:\Depot - mpkCCD Fractions\Main Web Page\Web Pages_old\proteomic_fractions_linear_files/Yang_linear_img/188497685.jpg","show blot")</f>
        <v>show blot</v>
      </c>
      <c r="G5605" t="s">
        <v>5398</v>
      </c>
      <c r="I5605" s="6">
        <v>3.1525304011855844</v>
      </c>
      <c r="K5605" s="8"/>
    </row>
    <row r="5606" spans="1:11" ht="15" x14ac:dyDescent="0.25">
      <c r="A5606" s="3" t="str">
        <f>HYPERLINK("proteomic_fractions_linear_files/Yang_linear_img/124286797.jpg", "124286797")</f>
        <v>124286797</v>
      </c>
      <c r="C5606" s="3" t="str">
        <f>HYPERLINK("http://www.ncbi.nlm.nih.gov/protein/124286797","Plet1")</f>
        <v>Plet1</v>
      </c>
      <c r="E5606" t="str">
        <f>HYPERLINK("J:\Depot - mpkCCD Fractions\Main Web Page\Web Pages_old\proteomic_fractions_linear_files/Yang_linear_img/124286797.jpg","show blot")</f>
        <v>show blot</v>
      </c>
      <c r="G5606" t="s">
        <v>5399</v>
      </c>
      <c r="I5606" s="6">
        <v>5.6374114397228512</v>
      </c>
      <c r="K5606" s="8"/>
    </row>
    <row r="5607" spans="1:11" ht="15" x14ac:dyDescent="0.25">
      <c r="A5607" s="3" t="str">
        <f>HYPERLINK("proteomic_fractions_linear_files/Yang_linear_img/257471003.jpg", "257471003")</f>
        <v>257471003</v>
      </c>
      <c r="C5607" s="3" t="str">
        <f>HYPERLINK("http://www.ncbi.nlm.nih.gov/protein/257471003","Plg")</f>
        <v>Plg</v>
      </c>
      <c r="E5607" t="str">
        <f>HYPERLINK("J:\Depot - mpkCCD Fractions\Main Web Page\Web Pages_old\proteomic_fractions_linear_files/Yang_linear_img/257471003.jpg","show blot")</f>
        <v>show blot</v>
      </c>
      <c r="G5607" t="s">
        <v>5400</v>
      </c>
      <c r="I5607" s="6">
        <v>3.3524326973514715</v>
      </c>
      <c r="K5607" s="8"/>
    </row>
    <row r="5608" spans="1:11" ht="15" x14ac:dyDescent="0.25">
      <c r="A5608" s="3" t="str">
        <f>HYPERLINK("proteomic_fractions_linear_files/Yang_linear_img/21312800.jpg", "21312800")</f>
        <v>21312800</v>
      </c>
      <c r="C5608" s="3" t="str">
        <f>HYPERLINK("http://www.ncbi.nlm.nih.gov/protein/21312800","Plgrkt")</f>
        <v>Plgrkt</v>
      </c>
      <c r="E5608" t="str">
        <f>HYPERLINK("J:\Depot - mpkCCD Fractions\Main Web Page\Web Pages_old\proteomic_fractions_linear_files/Yang_linear_img/21312800.jpg","show blot")</f>
        <v>show blot</v>
      </c>
      <c r="G5608" t="s">
        <v>5401</v>
      </c>
      <c r="I5608" s="6">
        <v>5.3989620777534117</v>
      </c>
      <c r="K5608" s="8"/>
    </row>
    <row r="5609" spans="1:11" ht="15" x14ac:dyDescent="0.25">
      <c r="A5609" s="3" t="str">
        <f>HYPERLINK("proteomic_fractions_linear_files/Yang_linear_img/116235489.jpg", "116235489")</f>
        <v>116235489</v>
      </c>
      <c r="C5609" s="3" t="str">
        <f>HYPERLINK("http://www.ncbi.nlm.nih.gov/protein/116235489","Plin2")</f>
        <v>Plin2</v>
      </c>
      <c r="E5609" t="str">
        <f>HYPERLINK("J:\Depot - mpkCCD Fractions\Main Web Page\Web Pages_old\proteomic_fractions_linear_files/Yang_linear_img/116235489.jpg","show blot")</f>
        <v>show blot</v>
      </c>
      <c r="G5609" t="s">
        <v>5402</v>
      </c>
      <c r="I5609" s="6">
        <v>5.6008219970980813</v>
      </c>
      <c r="K5609" s="8"/>
    </row>
    <row r="5610" spans="1:11" ht="15" x14ac:dyDescent="0.25">
      <c r="A5610" s="3" t="str">
        <f>HYPERLINK("proteomic_fractions_linear_files/Yang_linear_img/13385312.jpg", "13385312")</f>
        <v>13385312</v>
      </c>
      <c r="C5610" s="3" t="str">
        <f>HYPERLINK("http://www.ncbi.nlm.nih.gov/protein/13385312","Plin3")</f>
        <v>Plin3</v>
      </c>
      <c r="E5610" t="str">
        <f>HYPERLINK("J:\Depot - mpkCCD Fractions\Main Web Page\Web Pages_old\proteomic_fractions_linear_files/Yang_linear_img/13385312.jpg","show blot")</f>
        <v>show blot</v>
      </c>
      <c r="G5610" t="s">
        <v>5403</v>
      </c>
      <c r="I5610" s="6">
        <v>6.2635133659982882</v>
      </c>
      <c r="K5610" s="8"/>
    </row>
    <row r="5611" spans="1:11" ht="15" x14ac:dyDescent="0.25">
      <c r="A5611" s="3" t="str">
        <f>HYPERLINK("proteomic_fractions_linear_files/Yang_linear_img/128485538.jpg", "128485538")</f>
        <v>128485538</v>
      </c>
      <c r="C5611" s="3" t="str">
        <f>HYPERLINK("http://www.ncbi.nlm.nih.gov/protein/128485538","Plk1")</f>
        <v>Plk1</v>
      </c>
      <c r="E5611" t="str">
        <f>HYPERLINK("J:\Depot - mpkCCD Fractions\Main Web Page\Web Pages_old\proteomic_fractions_linear_files/Yang_linear_img/128485538.jpg","show blot")</f>
        <v>show blot</v>
      </c>
      <c r="G5611" t="s">
        <v>5404</v>
      </c>
      <c r="I5611" s="6">
        <v>2.2588414396073424</v>
      </c>
      <c r="K5611" s="8"/>
    </row>
    <row r="5612" spans="1:11" ht="15" x14ac:dyDescent="0.25">
      <c r="A5612" s="3" t="str">
        <f>HYPERLINK("proteomic_fractions_linear_files/Yang_linear_img/165932300.jpg", "165932300")</f>
        <v>165932300</v>
      </c>
      <c r="C5612" s="3" t="str">
        <f>HYPERLINK("http://www.ncbi.nlm.nih.gov/protein/165932300","Plk2")</f>
        <v>Plk2</v>
      </c>
      <c r="E5612" t="str">
        <f>HYPERLINK("J:\Depot - mpkCCD Fractions\Main Web Page\Web Pages_old\proteomic_fractions_linear_files/Yang_linear_img/165932300.jpg","show blot")</f>
        <v>show blot</v>
      </c>
      <c r="G5612" t="s">
        <v>5405</v>
      </c>
      <c r="I5612" s="6">
        <v>3.7586297002670817</v>
      </c>
      <c r="K5612" s="8"/>
    </row>
    <row r="5613" spans="1:11" ht="15" x14ac:dyDescent="0.25">
      <c r="A5613" s="3" t="str">
        <f>HYPERLINK("proteomic_fractions_linear_files/Yang_linear_img/6755110.jpg", "6755110")</f>
        <v>6755110</v>
      </c>
      <c r="C5613" s="3" t="str">
        <f>HYPERLINK("http://www.ncbi.nlm.nih.gov/protein/6755110","Plod3")</f>
        <v>Plod3</v>
      </c>
      <c r="E5613" t="str">
        <f>HYPERLINK("J:\Depot - mpkCCD Fractions\Main Web Page\Web Pages_old\proteomic_fractions_linear_files/Yang_linear_img/6755110.jpg","show blot")</f>
        <v>show blot</v>
      </c>
      <c r="G5613" t="s">
        <v>5406</v>
      </c>
      <c r="I5613" s="6">
        <v>3.0415796426902979</v>
      </c>
      <c r="K5613" s="8"/>
    </row>
    <row r="5614" spans="1:11" ht="15" x14ac:dyDescent="0.25">
      <c r="A5614" s="3" t="str">
        <f>HYPERLINK("proteomic_fractions_linear_files/Yang_linear_img/9790169.jpg", "9790169")</f>
        <v>9790169</v>
      </c>
      <c r="C5614" s="3" t="str">
        <f>HYPERLINK("http://www.ncbi.nlm.nih.gov/protein/9790169","Plp2")</f>
        <v>Plp2</v>
      </c>
      <c r="E5614" t="str">
        <f>HYPERLINK("J:\Depot - mpkCCD Fractions\Main Web Page\Web Pages_old\proteomic_fractions_linear_files/Yang_linear_img/9790169.jpg","show blot")</f>
        <v>show blot</v>
      </c>
      <c r="G5614" t="s">
        <v>5407</v>
      </c>
      <c r="I5614" s="6">
        <v>4.713823041411846</v>
      </c>
      <c r="K5614" s="8"/>
    </row>
    <row r="5615" spans="1:11" ht="15" x14ac:dyDescent="0.25">
      <c r="A5615" s="3" t="str">
        <f>HYPERLINK("proteomic_fractions_linear_files/Yang_linear_img/31980791.jpg", "31980791")</f>
        <v>31980791</v>
      </c>
      <c r="C5615" s="3" t="str">
        <f>HYPERLINK("http://www.ncbi.nlm.nih.gov/protein/31980791","Plrg1")</f>
        <v>Plrg1</v>
      </c>
      <c r="E5615" t="str">
        <f>HYPERLINK("J:\Depot - mpkCCD Fractions\Main Web Page\Web Pages_old\proteomic_fractions_linear_files/Yang_linear_img/31980791.jpg","show blot")</f>
        <v>show blot</v>
      </c>
      <c r="G5615" t="s">
        <v>5408</v>
      </c>
      <c r="I5615" s="6">
        <v>4.3429320253719599</v>
      </c>
      <c r="K5615" s="8"/>
    </row>
    <row r="5616" spans="1:11" ht="15" x14ac:dyDescent="0.25">
      <c r="A5616" s="3" t="str">
        <f>HYPERLINK("proteomic_fractions_linear_files/Yang_linear_img/85986577.jpg", "85986577")</f>
        <v>85986577</v>
      </c>
      <c r="C5616" s="3" t="str">
        <f>HYPERLINK("http://www.ncbi.nlm.nih.gov/protein/85986577","Pls1")</f>
        <v>Pls1</v>
      </c>
      <c r="E5616" t="str">
        <f>HYPERLINK("J:\Depot - mpkCCD Fractions\Main Web Page\Web Pages_old\proteomic_fractions_linear_files/Yang_linear_img/85986577.jpg","show blot")</f>
        <v>show blot</v>
      </c>
      <c r="G5616" t="s">
        <v>5409</v>
      </c>
      <c r="I5616" s="6">
        <v>5.635402428737458</v>
      </c>
      <c r="K5616" s="8"/>
    </row>
    <row r="5617" spans="1:11" ht="15" x14ac:dyDescent="0.25">
      <c r="A5617" s="3" t="str">
        <f>HYPERLINK("proteomic_fractions_linear_files/Yang_linear_img/262050551.jpg", "262050551")</f>
        <v>262050551</v>
      </c>
      <c r="C5617" s="3" t="str">
        <f>HYPERLINK("http://www.ncbi.nlm.nih.gov/protein/262050551","Pls3")</f>
        <v>Pls3</v>
      </c>
      <c r="E5617" t="str">
        <f>HYPERLINK("J:\Depot - mpkCCD Fractions\Main Web Page\Web Pages_old\proteomic_fractions_linear_files/Yang_linear_img/262050551.jpg","show blot")</f>
        <v>show blot</v>
      </c>
      <c r="G5617" t="s">
        <v>5410</v>
      </c>
      <c r="I5617" s="6">
        <v>5.8416030281470581</v>
      </c>
      <c r="K5617" s="8"/>
    </row>
    <row r="5618" spans="1:11" ht="15" x14ac:dyDescent="0.25">
      <c r="A5618" s="3" t="str">
        <f>HYPERLINK("proteomic_fractions_linear_files/Yang_linear_img/262050551;262050553.jpg", "262050551;262050553")</f>
        <v>262050551;262050553</v>
      </c>
      <c r="C5618" s="3" t="str">
        <f>HYPERLINK("http://www.ncbi.nlm.nih.gov/protein/262050551;262050553","Pls3")</f>
        <v>Pls3</v>
      </c>
      <c r="E5618" t="str">
        <f>HYPERLINK("J:\Depot - mpkCCD Fractions\Main Web Page\Web Pages_old\proteomic_fractions_linear_files/Yang_linear_img/262050551;262050553.jpg","show blot")</f>
        <v>show blot</v>
      </c>
      <c r="G5618" t="s">
        <v>5410</v>
      </c>
      <c r="I5618" s="6">
        <v>5.8416030281470581</v>
      </c>
      <c r="K5618" s="8"/>
    </row>
    <row r="5619" spans="1:11" ht="15" x14ac:dyDescent="0.25">
      <c r="A5619" s="3" t="str">
        <f>HYPERLINK("proteomic_fractions_linear_files/Yang_linear_img/262050553;262050551.jpg", "262050553;262050551")</f>
        <v>262050553;262050551</v>
      </c>
      <c r="C5619" s="3" t="str">
        <f>HYPERLINK("http://www.ncbi.nlm.nih.gov/protein/262050553;262050551","Pls3")</f>
        <v>Pls3</v>
      </c>
      <c r="E5619" t="str">
        <f>HYPERLINK("J:\Depot - mpkCCD Fractions\Main Web Page\Web Pages_old\proteomic_fractions_linear_files/Yang_linear_img/262050553;262050551.jpg","show blot")</f>
        <v>show blot</v>
      </c>
      <c r="G5619" t="s">
        <v>5410</v>
      </c>
      <c r="I5619" s="6">
        <v>5.8416030281470581</v>
      </c>
      <c r="K5619" s="8"/>
    </row>
    <row r="5620" spans="1:11" ht="15" x14ac:dyDescent="0.25">
      <c r="A5620" s="3" t="str">
        <f>HYPERLINK("proteomic_fractions_linear_files/Yang_linear_img/194328695.jpg", "194328695")</f>
        <v>194328695</v>
      </c>
      <c r="C5620" s="3" t="str">
        <f>HYPERLINK("http://www.ncbi.nlm.nih.gov/protein/194328695","Plscr1")</f>
        <v>Plscr1</v>
      </c>
      <c r="E5620" t="str">
        <f>HYPERLINK("J:\Depot - mpkCCD Fractions\Main Web Page\Web Pages_old\proteomic_fractions_linear_files/Yang_linear_img/194328695.jpg","show blot")</f>
        <v>show blot</v>
      </c>
      <c r="G5620" t="s">
        <v>5411</v>
      </c>
      <c r="I5620" s="6">
        <v>4.7228818309138498</v>
      </c>
      <c r="K5620" s="8"/>
    </row>
    <row r="5621" spans="1:11" ht="15" x14ac:dyDescent="0.25">
      <c r="A5621" s="3" t="str">
        <f>HYPERLINK("proteomic_fractions_linear_files/Yang_linear_img/12963735.jpg", "12963735")</f>
        <v>12963735</v>
      </c>
      <c r="C5621" s="3" t="str">
        <f>HYPERLINK("http://www.ncbi.nlm.nih.gov/protein/12963735","Plscr3")</f>
        <v>Plscr3</v>
      </c>
      <c r="E5621" t="str">
        <f>HYPERLINK("J:\Depot - mpkCCD Fractions\Main Web Page\Web Pages_old\proteomic_fractions_linear_files/Yang_linear_img/12963735.jpg","show blot")</f>
        <v>show blot</v>
      </c>
      <c r="G5621" t="s">
        <v>5412</v>
      </c>
      <c r="I5621" s="6">
        <v>5.0123828639113075</v>
      </c>
      <c r="K5621" s="8"/>
    </row>
    <row r="5622" spans="1:11" ht="15" x14ac:dyDescent="0.25">
      <c r="A5622" s="3" t="str">
        <f>HYPERLINK("proteomic_fractions_linear_files/Yang_linear_img/255522953.jpg", "255522953")</f>
        <v>255522953</v>
      </c>
      <c r="C5622" s="3" t="str">
        <f>HYPERLINK("http://www.ncbi.nlm.nih.gov/protein/255522953","Plvap")</f>
        <v>Plvap</v>
      </c>
      <c r="E5622" t="str">
        <f>HYPERLINK("J:\Depot - mpkCCD Fractions\Main Web Page\Web Pages_old\proteomic_fractions_linear_files/Yang_linear_img/255522953.jpg","show blot")</f>
        <v>show blot</v>
      </c>
      <c r="G5622" t="s">
        <v>5413</v>
      </c>
      <c r="I5622" s="6">
        <v>3.7323889343019165</v>
      </c>
      <c r="K5622" s="8"/>
    </row>
    <row r="5623" spans="1:11" ht="15" x14ac:dyDescent="0.25">
      <c r="A5623" s="3" t="str">
        <f>HYPERLINK("proteomic_fractions_linear_files/Yang_linear_img/6679389.jpg", "6679389")</f>
        <v>6679389</v>
      </c>
      <c r="C5623" s="3" t="str">
        <f>HYPERLINK("http://www.ncbi.nlm.nih.gov/protein/6679389","Plxna1")</f>
        <v>Plxna1</v>
      </c>
      <c r="E5623" t="str">
        <f>HYPERLINK("J:\Depot - mpkCCD Fractions\Main Web Page\Web Pages_old\proteomic_fractions_linear_files/Yang_linear_img/6679389.jpg","show blot")</f>
        <v>show blot</v>
      </c>
      <c r="G5623" t="s">
        <v>5414</v>
      </c>
      <c r="I5623" s="6">
        <v>3.3805902445767528</v>
      </c>
      <c r="K5623" s="8"/>
    </row>
    <row r="5624" spans="1:11" ht="15" x14ac:dyDescent="0.25">
      <c r="A5624" s="3" t="str">
        <f>HYPERLINK("proteomic_fractions_linear_files/Yang_linear_img/113722113.jpg", "113722113")</f>
        <v>113722113</v>
      </c>
      <c r="C5624" s="3" t="str">
        <f>HYPERLINK("http://www.ncbi.nlm.nih.gov/protein/113722113","Plxna2")</f>
        <v>Plxna2</v>
      </c>
      <c r="E5624" t="str">
        <f>HYPERLINK("J:\Depot - mpkCCD Fractions\Main Web Page\Web Pages_old\proteomic_fractions_linear_files/Yang_linear_img/113722113.jpg","show blot")</f>
        <v>show blot</v>
      </c>
      <c r="G5624" t="s">
        <v>5415</v>
      </c>
      <c r="I5624" s="6">
        <v>5.0675784286202896</v>
      </c>
      <c r="K5624" s="8"/>
    </row>
    <row r="5625" spans="1:11" ht="15" x14ac:dyDescent="0.25">
      <c r="A5625" s="3" t="str">
        <f>HYPERLINK("proteomic_fractions_linear_files/Yang_linear_img/124286839.jpg", "124286839")</f>
        <v>124286839</v>
      </c>
      <c r="C5625" s="3" t="str">
        <f>HYPERLINK("http://www.ncbi.nlm.nih.gov/protein/124286839","Plxna3")</f>
        <v>Plxna3</v>
      </c>
      <c r="E5625" t="str">
        <f>HYPERLINK("J:\Depot - mpkCCD Fractions\Main Web Page\Web Pages_old\proteomic_fractions_linear_files/Yang_linear_img/124286839.jpg","show blot")</f>
        <v>show blot</v>
      </c>
      <c r="G5625" t="s">
        <v>5416</v>
      </c>
      <c r="I5625" s="6">
        <v>1.8970930350476585</v>
      </c>
      <c r="K5625" s="8"/>
    </row>
    <row r="5626" spans="1:11" ht="15" x14ac:dyDescent="0.25">
      <c r="A5626" s="3" t="str">
        <f>HYPERLINK("proteomic_fractions_linear_files/Yang_linear_img/171543899.jpg", "171543899")</f>
        <v>171543899</v>
      </c>
      <c r="C5626" s="3" t="str">
        <f>HYPERLINK("http://www.ncbi.nlm.nih.gov/protein/171543899","Plxna4")</f>
        <v>Plxna4</v>
      </c>
      <c r="E5626" t="str">
        <f>HYPERLINK("J:\Depot - mpkCCD Fractions\Main Web Page\Web Pages_old\proteomic_fractions_linear_files/Yang_linear_img/171543899.jpg","show blot")</f>
        <v>show blot</v>
      </c>
      <c r="G5626" t="s">
        <v>5417</v>
      </c>
      <c r="I5626" s="6">
        <v>1.8887409606828927</v>
      </c>
      <c r="K5626" s="8"/>
    </row>
    <row r="5627" spans="1:11" ht="15" x14ac:dyDescent="0.25">
      <c r="A5627" s="3" t="str">
        <f>HYPERLINK("proteomic_fractions_linear_files/Yang_linear_img/225690610.jpg", "225690610")</f>
        <v>225690610</v>
      </c>
      <c r="C5627" s="3" t="str">
        <f>HYPERLINK("http://www.ncbi.nlm.nih.gov/protein/225690610","Plxnb1")</f>
        <v>Plxnb1</v>
      </c>
      <c r="E5627" t="str">
        <f>HYPERLINK("J:\Depot - mpkCCD Fractions\Main Web Page\Web Pages_old\proteomic_fractions_linear_files/Yang_linear_img/225690610.jpg","show blot")</f>
        <v>show blot</v>
      </c>
      <c r="G5627" t="s">
        <v>5418</v>
      </c>
      <c r="I5627" s="6">
        <v>3.1516844517867537</v>
      </c>
      <c r="K5627" s="8"/>
    </row>
    <row r="5628" spans="1:11" ht="15" x14ac:dyDescent="0.25">
      <c r="A5628" s="3" t="str">
        <f>HYPERLINK("proteomic_fractions_linear_files/Yang_linear_img/226958474.jpg", "226958474")</f>
        <v>226958474</v>
      </c>
      <c r="C5628" s="3" t="str">
        <f>HYPERLINK("http://www.ncbi.nlm.nih.gov/protein/226958474","Plxnb2")</f>
        <v>Plxnb2</v>
      </c>
      <c r="E5628" t="str">
        <f>HYPERLINK("J:\Depot - mpkCCD Fractions\Main Web Page\Web Pages_old\proteomic_fractions_linear_files/Yang_linear_img/226958474.jpg","show blot")</f>
        <v>show blot</v>
      </c>
      <c r="G5628" t="s">
        <v>5419</v>
      </c>
      <c r="I5628" s="6">
        <v>4.9274542520518496</v>
      </c>
      <c r="K5628" s="8"/>
    </row>
    <row r="5629" spans="1:11" ht="15" x14ac:dyDescent="0.25">
      <c r="A5629" s="3" t="str">
        <f>HYPERLINK("proteomic_fractions_linear_files/Yang_linear_img/13385420.jpg", "13385420")</f>
        <v>13385420</v>
      </c>
      <c r="C5629" s="3" t="str">
        <f>HYPERLINK("http://www.ncbi.nlm.nih.gov/protein/13385420","Pmf1")</f>
        <v>Pmf1</v>
      </c>
      <c r="E5629" t="str">
        <f>HYPERLINK("J:\Depot - mpkCCD Fractions\Main Web Page\Web Pages_old\proteomic_fractions_linear_files/Yang_linear_img/13385420.jpg","show blot")</f>
        <v>show blot</v>
      </c>
      <c r="G5629" t="s">
        <v>5420</v>
      </c>
      <c r="I5629" s="6">
        <v>4.7144659736852059</v>
      </c>
      <c r="K5629" s="8"/>
    </row>
    <row r="5630" spans="1:11" ht="15" x14ac:dyDescent="0.25">
      <c r="A5630" s="3" t="str">
        <f>HYPERLINK("proteomic_fractions_linear_files/Yang_linear_img/9910570.jpg", "9910570")</f>
        <v>9910570</v>
      </c>
      <c r="C5630" s="3" t="str">
        <f>HYPERLINK("http://www.ncbi.nlm.nih.gov/protein/9910570","Pmfbp1")</f>
        <v>Pmfbp1</v>
      </c>
      <c r="E5630" t="str">
        <f>HYPERLINK("J:\Depot - mpkCCD Fractions\Main Web Page\Web Pages_old\proteomic_fractions_linear_files/Yang_linear_img/9910570.jpg","show blot")</f>
        <v>show blot</v>
      </c>
      <c r="G5630" t="s">
        <v>5421</v>
      </c>
      <c r="I5630" s="6">
        <v>4.0941721033726903</v>
      </c>
      <c r="K5630" s="8"/>
    </row>
    <row r="5631" spans="1:11" ht="15" x14ac:dyDescent="0.25">
      <c r="A5631" s="3" t="str">
        <f>HYPERLINK("proteomic_fractions_linear_files/Yang_linear_img/160333282.jpg", "160333282")</f>
        <v>160333282</v>
      </c>
      <c r="C5631" s="3" t="str">
        <f>HYPERLINK("http://www.ncbi.nlm.nih.gov/protein/160333282","Pml")</f>
        <v>Pml</v>
      </c>
      <c r="E5631" t="str">
        <f>HYPERLINK("J:\Depot - mpkCCD Fractions\Main Web Page\Web Pages_old\proteomic_fractions_linear_files/Yang_linear_img/160333282.jpg","show blot")</f>
        <v>show blot</v>
      </c>
      <c r="G5631" t="s">
        <v>5422</v>
      </c>
      <c r="I5631" s="6">
        <v>4.6576556299980965</v>
      </c>
      <c r="K5631" s="8"/>
    </row>
    <row r="5632" spans="1:11" ht="15" x14ac:dyDescent="0.25">
      <c r="A5632" s="3" t="str">
        <f>HYPERLINK("proteomic_fractions_linear_files/Yang_linear_img/160333286.jpg", "160333286")</f>
        <v>160333286</v>
      </c>
      <c r="C5632" s="3" t="str">
        <f>HYPERLINK("http://www.ncbi.nlm.nih.gov/protein/160333286","Pml")</f>
        <v>Pml</v>
      </c>
      <c r="E5632" t="str">
        <f>HYPERLINK("J:\Depot - mpkCCD Fractions\Main Web Page\Web Pages_old\proteomic_fractions_linear_files/Yang_linear_img/160333286.jpg","show blot")</f>
        <v>show blot</v>
      </c>
      <c r="G5632" t="s">
        <v>5423</v>
      </c>
      <c r="I5632" s="6">
        <v>4.6576556299980965</v>
      </c>
      <c r="K5632" s="8"/>
    </row>
    <row r="5633" spans="1:11" ht="15" x14ac:dyDescent="0.25">
      <c r="A5633" s="3" t="str">
        <f>HYPERLINK("proteomic_fractions_linear_files/Yang_linear_img/33468959.jpg", "33468959")</f>
        <v>33468959</v>
      </c>
      <c r="C5633" s="3" t="str">
        <f>HYPERLINK("http://www.ncbi.nlm.nih.gov/protein/33468959","Pmm1")</f>
        <v>Pmm1</v>
      </c>
      <c r="E5633" t="str">
        <f>HYPERLINK("J:\Depot - mpkCCD Fractions\Main Web Page\Web Pages_old\proteomic_fractions_linear_files/Yang_linear_img/33468959.jpg","show blot")</f>
        <v>show blot</v>
      </c>
      <c r="G5633" t="s">
        <v>5424</v>
      </c>
      <c r="I5633" s="6">
        <v>5.3780258267985976</v>
      </c>
      <c r="K5633" s="8"/>
    </row>
    <row r="5634" spans="1:11" ht="15" x14ac:dyDescent="0.25">
      <c r="A5634" s="3" t="str">
        <f>HYPERLINK("proteomic_fractions_linear_files/Yang_linear_img/8393988.jpg", "8393988")</f>
        <v>8393988</v>
      </c>
      <c r="C5634" s="3" t="str">
        <f>HYPERLINK("http://www.ncbi.nlm.nih.gov/protein/8393988","Pmm2")</f>
        <v>Pmm2</v>
      </c>
      <c r="E5634" t="str">
        <f>HYPERLINK("J:\Depot - mpkCCD Fractions\Main Web Page\Web Pages_old\proteomic_fractions_linear_files/Yang_linear_img/8393988.jpg","show blot")</f>
        <v>show blot</v>
      </c>
      <c r="G5634" t="s">
        <v>5425</v>
      </c>
      <c r="I5634" s="6">
        <v>5.9377162771234939</v>
      </c>
      <c r="K5634" s="8"/>
    </row>
    <row r="5635" spans="1:11" ht="15" x14ac:dyDescent="0.25">
      <c r="A5635" s="3" t="str">
        <f>HYPERLINK("proteomic_fractions_linear_files/Yang_linear_img/27502349.jpg", "27502349")</f>
        <v>27502349</v>
      </c>
      <c r="C5635" s="3" t="str">
        <f>HYPERLINK("http://www.ncbi.nlm.nih.gov/protein/27502349","Pmpca")</f>
        <v>Pmpca</v>
      </c>
      <c r="E5635" t="str">
        <f>HYPERLINK("J:\Depot - mpkCCD Fractions\Main Web Page\Web Pages_old\proteomic_fractions_linear_files/Yang_linear_img/27502349.jpg","show blot")</f>
        <v>show blot</v>
      </c>
      <c r="G5635" t="s">
        <v>5426</v>
      </c>
      <c r="I5635" s="6">
        <v>4.5104373293287852</v>
      </c>
      <c r="K5635" s="8"/>
    </row>
    <row r="5636" spans="1:11" ht="15" x14ac:dyDescent="0.25">
      <c r="A5636" s="3" t="str">
        <f>HYPERLINK("proteomic_fractions_linear_files/Yang_linear_img/95113671.jpg", "95113671")</f>
        <v>95113671</v>
      </c>
      <c r="C5636" s="3" t="str">
        <f>HYPERLINK("http://www.ncbi.nlm.nih.gov/protein/95113671","Pmpcb")</f>
        <v>Pmpcb</v>
      </c>
      <c r="E5636" t="str">
        <f>HYPERLINK("J:\Depot - mpkCCD Fractions\Main Web Page\Web Pages_old\proteomic_fractions_linear_files/Yang_linear_img/95113671.jpg","show blot")</f>
        <v>show blot</v>
      </c>
      <c r="G5636" t="s">
        <v>5427</v>
      </c>
      <c r="I5636" s="6">
        <v>5.0238113413745786</v>
      </c>
      <c r="K5636" s="8"/>
    </row>
    <row r="5637" spans="1:11" ht="15" x14ac:dyDescent="0.25">
      <c r="A5637" s="3" t="str">
        <f>HYPERLINK("proteomic_fractions_linear_files/Yang_linear_img/121583910.jpg", "121583910")</f>
        <v>121583910</v>
      </c>
      <c r="C5637" s="3" t="str">
        <f>HYPERLINK("http://www.ncbi.nlm.nih.gov/protein/121583910","Pms2")</f>
        <v>Pms2</v>
      </c>
      <c r="E5637" t="str">
        <f>HYPERLINK("J:\Depot - mpkCCD Fractions\Main Web Page\Web Pages_old\proteomic_fractions_linear_files/Yang_linear_img/121583910.jpg","show blot")</f>
        <v>show blot</v>
      </c>
      <c r="G5637" t="s">
        <v>5428</v>
      </c>
      <c r="I5637" s="6">
        <v>2.541364198363063</v>
      </c>
      <c r="K5637" s="8"/>
    </row>
    <row r="5638" spans="1:11" ht="15" x14ac:dyDescent="0.25">
      <c r="A5638" s="3" t="str">
        <f>HYPERLINK("proteomic_fractions_linear_files/Yang_linear_img/254588056.jpg", "254588056")</f>
        <v>254588056</v>
      </c>
      <c r="C5638" s="3" t="str">
        <f>HYPERLINK("http://www.ncbi.nlm.nih.gov/protein/254588056","Pmvk")</f>
        <v>Pmvk</v>
      </c>
      <c r="E5638" t="str">
        <f>HYPERLINK("J:\Depot - mpkCCD Fractions\Main Web Page\Web Pages_old\proteomic_fractions_linear_files/Yang_linear_img/254588056.jpg","show blot")</f>
        <v>show blot</v>
      </c>
      <c r="G5638" t="s">
        <v>5429</v>
      </c>
      <c r="I5638" s="6">
        <v>4.7158199731082284</v>
      </c>
      <c r="K5638" s="8"/>
    </row>
    <row r="5639" spans="1:11" ht="15" x14ac:dyDescent="0.25">
      <c r="A5639" s="3" t="str">
        <f>HYPERLINK("proteomic_fractions_linear_files/Yang_linear_img/254588058.jpg", "254588058")</f>
        <v>254588058</v>
      </c>
      <c r="C5639" s="3" t="str">
        <f>HYPERLINK("http://www.ncbi.nlm.nih.gov/protein/254588058","Pmvk")</f>
        <v>Pmvk</v>
      </c>
      <c r="E5639" t="str">
        <f>HYPERLINK("J:\Depot - mpkCCD Fractions\Main Web Page\Web Pages_old\proteomic_fractions_linear_files/Yang_linear_img/254588058.jpg","show blot")</f>
        <v>show blot</v>
      </c>
      <c r="G5639" t="s">
        <v>5430</v>
      </c>
      <c r="I5639" s="6">
        <v>4.7158199731082284</v>
      </c>
      <c r="K5639" s="8"/>
    </row>
    <row r="5640" spans="1:11" ht="15" x14ac:dyDescent="0.25">
      <c r="A5640" s="3" t="str">
        <f>HYPERLINK("proteomic_fractions_linear_files/Yang_linear_img/87239984.jpg", "87239984")</f>
        <v>87239984</v>
      </c>
      <c r="C5640" s="3" t="str">
        <f>HYPERLINK("http://www.ncbi.nlm.nih.gov/protein/87239984","Pnkd")</f>
        <v>Pnkd</v>
      </c>
      <c r="E5640" t="str">
        <f>HYPERLINK("J:\Depot - mpkCCD Fractions\Main Web Page\Web Pages_old\proteomic_fractions_linear_files/Yang_linear_img/87239984.jpg","show blot")</f>
        <v>show blot</v>
      </c>
      <c r="G5640" t="s">
        <v>5431</v>
      </c>
      <c r="I5640" s="6">
        <v>2.2035081110703945</v>
      </c>
      <c r="K5640" s="8"/>
    </row>
    <row r="5641" spans="1:11" ht="15" x14ac:dyDescent="0.25">
      <c r="A5641" s="3" t="str">
        <f>HYPERLINK("proteomic_fractions_linear_files/Yang_linear_img/87239988.jpg", "87239988")</f>
        <v>87239988</v>
      </c>
      <c r="C5641" s="3" t="str">
        <f>HYPERLINK("http://www.ncbi.nlm.nih.gov/protein/87239988","Pnkd")</f>
        <v>Pnkd</v>
      </c>
      <c r="E5641" t="str">
        <f>HYPERLINK("J:\Depot - mpkCCD Fractions\Main Web Page\Web Pages_old\proteomic_fractions_linear_files/Yang_linear_img/87239988.jpg","show blot")</f>
        <v>show blot</v>
      </c>
      <c r="G5641" t="s">
        <v>5432</v>
      </c>
      <c r="I5641" s="6">
        <v>2.2035081110703945</v>
      </c>
      <c r="K5641" s="8"/>
    </row>
    <row r="5642" spans="1:11" ht="15" x14ac:dyDescent="0.25">
      <c r="A5642" s="3" t="str">
        <f>HYPERLINK("proteomic_fractions_linear_files/Yang_linear_img/118601009.jpg", "118601009")</f>
        <v>118601009</v>
      </c>
      <c r="C5642" s="3" t="str">
        <f>HYPERLINK("http://www.ncbi.nlm.nih.gov/protein/118601009","Pnkp")</f>
        <v>Pnkp</v>
      </c>
      <c r="E5642" t="str">
        <f>HYPERLINK("J:\Depot - mpkCCD Fractions\Main Web Page\Web Pages_old\proteomic_fractions_linear_files/Yang_linear_img/118601009.jpg","show blot")</f>
        <v>show blot</v>
      </c>
      <c r="G5642" t="s">
        <v>5433</v>
      </c>
      <c r="I5642" s="6">
        <v>5.0586963432764227</v>
      </c>
      <c r="K5642" s="8"/>
    </row>
    <row r="5643" spans="1:11" ht="15" x14ac:dyDescent="0.25">
      <c r="A5643" s="3" t="str">
        <f>HYPERLINK("proteomic_fractions_linear_files/Yang_linear_img/112420990.jpg", "112420990")</f>
        <v>112420990</v>
      </c>
      <c r="C5643" s="3" t="str">
        <f>HYPERLINK("http://www.ncbi.nlm.nih.gov/protein/112420990","Pnn")</f>
        <v>Pnn</v>
      </c>
      <c r="E5643" t="str">
        <f>HYPERLINK("J:\Depot - mpkCCD Fractions\Main Web Page\Web Pages_old\proteomic_fractions_linear_files/Yang_linear_img/112420990.jpg","show blot")</f>
        <v>show blot</v>
      </c>
      <c r="G5643" t="s">
        <v>5434</v>
      </c>
      <c r="I5643" s="6">
        <v>4.6939250447186964</v>
      </c>
      <c r="K5643" s="8"/>
    </row>
    <row r="5644" spans="1:11" ht="15" x14ac:dyDescent="0.25">
      <c r="A5644" s="3" t="str">
        <f>HYPERLINK("proteomic_fractions_linear_files/Yang_linear_img/13384846.jpg", "13384846")</f>
        <v>13384846</v>
      </c>
      <c r="C5644" s="3" t="str">
        <f>HYPERLINK("http://www.ncbi.nlm.nih.gov/protein/13384846","Pno1")</f>
        <v>Pno1</v>
      </c>
      <c r="E5644" t="str">
        <f>HYPERLINK("J:\Depot - mpkCCD Fractions\Main Web Page\Web Pages_old\proteomic_fractions_linear_files/Yang_linear_img/13384846.jpg","show blot")</f>
        <v>show blot</v>
      </c>
      <c r="G5644" t="s">
        <v>5435</v>
      </c>
      <c r="I5644" s="6">
        <v>4.7779923939476863</v>
      </c>
      <c r="K5644" s="8"/>
    </row>
    <row r="5645" spans="1:11" ht="15" x14ac:dyDescent="0.25">
      <c r="A5645" s="3" t="str">
        <f>HYPERLINK("proteomic_fractions_linear_files/Yang_linear_img/7305395.jpg", "7305395")</f>
        <v>7305395</v>
      </c>
      <c r="C5645" s="3" t="str">
        <f>HYPERLINK("http://www.ncbi.nlm.nih.gov/protein/7305395","Pnp")</f>
        <v>Pnp</v>
      </c>
      <c r="E5645" t="str">
        <f>HYPERLINK("J:\Depot - mpkCCD Fractions\Main Web Page\Web Pages_old\proteomic_fractions_linear_files/Yang_linear_img/7305395.jpg","show blot")</f>
        <v>show blot</v>
      </c>
      <c r="G5645" t="s">
        <v>5436</v>
      </c>
      <c r="I5645" s="6">
        <v>6.2043950581054688</v>
      </c>
      <c r="K5645" s="8"/>
    </row>
    <row r="5646" spans="1:11" ht="15" x14ac:dyDescent="0.25">
      <c r="A5646" s="3" t="str">
        <f>HYPERLINK("proteomic_fractions_linear_files/Yang_linear_img/183074535.jpg", "183074535")</f>
        <v>183074535</v>
      </c>
      <c r="C5646" s="3" t="str">
        <f>HYPERLINK("http://www.ncbi.nlm.nih.gov/protein/183074535","Pnp2")</f>
        <v>Pnp2</v>
      </c>
      <c r="E5646" t="str">
        <f>HYPERLINK("J:\Depot - mpkCCD Fractions\Main Web Page\Web Pages_old\proteomic_fractions_linear_files/Yang_linear_img/183074535.jpg","show blot")</f>
        <v>show blot</v>
      </c>
      <c r="G5646" t="s">
        <v>5437</v>
      </c>
      <c r="I5646" s="6">
        <v>5.7444949097576474</v>
      </c>
      <c r="K5646" s="8"/>
    </row>
    <row r="5647" spans="1:11" ht="15" x14ac:dyDescent="0.25">
      <c r="A5647" s="3" t="str">
        <f>HYPERLINK("proteomic_fractions_linear_files/Yang_linear_img/170763470.jpg", "170763470")</f>
        <v>170763470</v>
      </c>
      <c r="C5647" s="3" t="str">
        <f>HYPERLINK("http://www.ncbi.nlm.nih.gov/protein/170763470","Pnpla6")</f>
        <v>Pnpla6</v>
      </c>
      <c r="E5647" t="str">
        <f>HYPERLINK("J:\Depot - mpkCCD Fractions\Main Web Page\Web Pages_old\proteomic_fractions_linear_files/Yang_linear_img/170763470.jpg","show blot")</f>
        <v>show blot</v>
      </c>
      <c r="G5647" t="s">
        <v>5438</v>
      </c>
      <c r="I5647" s="6">
        <v>3.6934730570770387</v>
      </c>
      <c r="K5647" s="8"/>
    </row>
    <row r="5648" spans="1:11" ht="15" x14ac:dyDescent="0.25">
      <c r="A5648" s="3" t="str">
        <f>HYPERLINK("proteomic_fractions_linear_files/Yang_linear_img/390608665.jpg", "390608665")</f>
        <v>390608665</v>
      </c>
      <c r="C5648" s="3" t="str">
        <f>HYPERLINK("http://www.ncbi.nlm.nih.gov/protein/390608665","Pnpla6")</f>
        <v>Pnpla6</v>
      </c>
      <c r="E5648" t="str">
        <f>HYPERLINK("J:\Depot - mpkCCD Fractions\Main Web Page\Web Pages_old\proteomic_fractions_linear_files/Yang_linear_img/390608665.jpg","show blot")</f>
        <v>show blot</v>
      </c>
      <c r="G5648" t="s">
        <v>5439</v>
      </c>
      <c r="I5648" s="6">
        <v>3.6934730570770387</v>
      </c>
      <c r="K5648" s="8"/>
    </row>
    <row r="5649" spans="1:11" ht="15" x14ac:dyDescent="0.25">
      <c r="A5649" s="3" t="str">
        <f>HYPERLINK("proteomic_fractions_linear_files/Yang_linear_img/118130807.jpg", "118130807")</f>
        <v>118130807</v>
      </c>
      <c r="C5649" s="3" t="str">
        <f>HYPERLINK("http://www.ncbi.nlm.nih.gov/protein/118130807","Pnpla8")</f>
        <v>Pnpla8</v>
      </c>
      <c r="E5649" t="str">
        <f>HYPERLINK("J:\Depot - mpkCCD Fractions\Main Web Page\Web Pages_old\proteomic_fractions_linear_files/Yang_linear_img/118130807.jpg","show blot")</f>
        <v>show blot</v>
      </c>
      <c r="G5649" t="s">
        <v>5440</v>
      </c>
      <c r="I5649" s="6">
        <v>2.4337000208696815</v>
      </c>
      <c r="K5649" s="8"/>
    </row>
    <row r="5650" spans="1:11" ht="15" x14ac:dyDescent="0.25">
      <c r="A5650" s="3" t="str">
        <f>HYPERLINK("proteomic_fractions_linear_files/Yang_linear_img/19527238.jpg", "19527238")</f>
        <v>19527238</v>
      </c>
      <c r="C5650" s="3" t="str">
        <f>HYPERLINK("http://www.ncbi.nlm.nih.gov/protein/19527238","Pnpo")</f>
        <v>Pnpo</v>
      </c>
      <c r="E5650" t="str">
        <f>HYPERLINK("J:\Depot - mpkCCD Fractions\Main Web Page\Web Pages_old\proteomic_fractions_linear_files/Yang_linear_img/19527238.jpg","show blot")</f>
        <v>show blot</v>
      </c>
      <c r="G5650" t="s">
        <v>5441</v>
      </c>
      <c r="I5650" s="6">
        <v>4.9111982686632247</v>
      </c>
      <c r="K5650" s="8"/>
    </row>
    <row r="5651" spans="1:11" ht="15" x14ac:dyDescent="0.25">
      <c r="A5651" s="3" t="str">
        <f>HYPERLINK("proteomic_fractions_linear_files/Yang_linear_img/377833162.jpg", "377833162")</f>
        <v>377833162</v>
      </c>
      <c r="C5651" s="3" t="str">
        <f>HYPERLINK("http://www.ncbi.nlm.nih.gov/protein/377833162","Pnpt1")</f>
        <v>Pnpt1</v>
      </c>
      <c r="E5651" t="str">
        <f>HYPERLINK("J:\Depot - mpkCCD Fractions\Main Web Page\Web Pages_old\proteomic_fractions_linear_files/Yang_linear_img/377833162.jpg","show blot")</f>
        <v>show blot</v>
      </c>
      <c r="G5651" t="s">
        <v>5442</v>
      </c>
      <c r="I5651" s="6">
        <v>4.0455117337349638</v>
      </c>
      <c r="K5651" s="8"/>
    </row>
    <row r="5652" spans="1:11" ht="15" x14ac:dyDescent="0.25">
      <c r="A5652" s="3" t="str">
        <f>HYPERLINK("proteomic_fractions_linear_files/Yang_linear_img/407261876.jpg", "407261876")</f>
        <v>407261876</v>
      </c>
      <c r="C5652" s="3" t="str">
        <f>HYPERLINK("http://www.ncbi.nlm.nih.gov/protein/407261876","Pnpt1")</f>
        <v>Pnpt1</v>
      </c>
      <c r="E5652" t="str">
        <f>HYPERLINK("J:\Depot - mpkCCD Fractions\Main Web Page\Web Pages_old\proteomic_fractions_linear_files/Yang_linear_img/407261876.jpg","show blot")</f>
        <v>show blot</v>
      </c>
      <c r="G5652" t="s">
        <v>5443</v>
      </c>
      <c r="I5652" s="6">
        <v>4.0455117337349638</v>
      </c>
      <c r="K5652" s="8"/>
    </row>
    <row r="5653" spans="1:11" ht="15" x14ac:dyDescent="0.25">
      <c r="A5653" s="3" t="str">
        <f>HYPERLINK("proteomic_fractions_linear_files/Yang_linear_img/407261878.jpg", "407261878")</f>
        <v>407261878</v>
      </c>
      <c r="C5653" s="3" t="str">
        <f>HYPERLINK("http://www.ncbi.nlm.nih.gov/protein/407261878","Pnpt1")</f>
        <v>Pnpt1</v>
      </c>
      <c r="E5653" t="str">
        <f>HYPERLINK("J:\Depot - mpkCCD Fractions\Main Web Page\Web Pages_old\proteomic_fractions_linear_files/Yang_linear_img/407261878.jpg","show blot")</f>
        <v>show blot</v>
      </c>
      <c r="G5653" t="s">
        <v>5443</v>
      </c>
      <c r="I5653" s="6">
        <v>4.0455117337349638</v>
      </c>
      <c r="K5653" s="8"/>
    </row>
    <row r="5654" spans="1:11" ht="15" x14ac:dyDescent="0.25">
      <c r="A5654" s="3" t="str">
        <f>HYPERLINK("proteomic_fractions_linear_files/Yang_linear_img/407261880.jpg", "407261880")</f>
        <v>407261880</v>
      </c>
      <c r="C5654" s="3" t="str">
        <f>HYPERLINK("http://www.ncbi.nlm.nih.gov/protein/407261880","Pnpt1")</f>
        <v>Pnpt1</v>
      </c>
      <c r="E5654" t="str">
        <f>HYPERLINK("J:\Depot - mpkCCD Fractions\Main Web Page\Web Pages_old\proteomic_fractions_linear_files/Yang_linear_img/407261880.jpg","show blot")</f>
        <v>show blot</v>
      </c>
      <c r="G5654" t="s">
        <v>5443</v>
      </c>
      <c r="I5654" s="6">
        <v>4.0455117337349638</v>
      </c>
      <c r="K5654" s="8"/>
    </row>
    <row r="5655" spans="1:11" ht="15" x14ac:dyDescent="0.25">
      <c r="A5655" s="3" t="str">
        <f>HYPERLINK("proteomic_fractions_linear_files/Yang_linear_img/31657132.jpg", "31657132")</f>
        <v>31657132</v>
      </c>
      <c r="C5655" s="3" t="str">
        <f>HYPERLINK("http://www.ncbi.nlm.nih.gov/protein/31657132","Pof1b")</f>
        <v>Pof1b</v>
      </c>
      <c r="E5655" t="str">
        <f>HYPERLINK("J:\Depot - mpkCCD Fractions\Main Web Page\Web Pages_old\proteomic_fractions_linear_files/Yang_linear_img/31657132.jpg","show blot")</f>
        <v>show blot</v>
      </c>
      <c r="G5655" t="s">
        <v>5444</v>
      </c>
      <c r="I5655" s="6">
        <v>3.6860229012540935</v>
      </c>
      <c r="K5655" s="8"/>
    </row>
    <row r="5656" spans="1:11" ht="15" x14ac:dyDescent="0.25">
      <c r="A5656" s="3" t="str">
        <f>HYPERLINK("proteomic_fractions_linear_files/Yang_linear_img/19525731.jpg", "19525731")</f>
        <v>19525731</v>
      </c>
      <c r="C5656" s="3" t="str">
        <f>HYPERLINK("http://www.ncbi.nlm.nih.gov/protein/19525731","Pofut2")</f>
        <v>Pofut2</v>
      </c>
      <c r="E5656" t="str">
        <f>HYPERLINK("J:\Depot - mpkCCD Fractions\Main Web Page\Web Pages_old\proteomic_fractions_linear_files/Yang_linear_img/19525731.jpg","show blot")</f>
        <v>show blot</v>
      </c>
      <c r="G5656" t="s">
        <v>5445</v>
      </c>
      <c r="I5656" s="6">
        <v>3.8305642010610712</v>
      </c>
      <c r="K5656" s="8"/>
    </row>
    <row r="5657" spans="1:11" ht="15" x14ac:dyDescent="0.25">
      <c r="A5657" s="3" t="str">
        <f>HYPERLINK("proteomic_fractions_linear_files/Yang_linear_img/27369505.jpg", "27369505")</f>
        <v>27369505</v>
      </c>
      <c r="C5657" s="3" t="str">
        <f>HYPERLINK("http://www.ncbi.nlm.nih.gov/protein/27369505","Poglut1")</f>
        <v>Poglut1</v>
      </c>
      <c r="E5657" t="str">
        <f>HYPERLINK("J:\Depot - mpkCCD Fractions\Main Web Page\Web Pages_old\proteomic_fractions_linear_files/Yang_linear_img/27369505.jpg","show blot")</f>
        <v>show blot</v>
      </c>
      <c r="G5657" t="s">
        <v>5446</v>
      </c>
      <c r="I5657" s="6">
        <v>3.9745911836146113</v>
      </c>
      <c r="K5657" s="8"/>
    </row>
    <row r="5658" spans="1:11" ht="15" x14ac:dyDescent="0.25">
      <c r="A5658" s="3" t="str">
        <f>HYPERLINK("proteomic_fractions_linear_files/Yang_linear_img/6679409.jpg", "6679409")</f>
        <v>6679409</v>
      </c>
      <c r="C5658" s="3" t="str">
        <f>HYPERLINK("http://www.ncbi.nlm.nih.gov/protein/6679409","Pola1")</f>
        <v>Pola1</v>
      </c>
      <c r="E5658" t="str">
        <f>HYPERLINK("J:\Depot - mpkCCD Fractions\Main Web Page\Web Pages_old\proteomic_fractions_linear_files/Yang_linear_img/6679409.jpg","show blot")</f>
        <v>show blot</v>
      </c>
      <c r="G5658" t="s">
        <v>5447</v>
      </c>
      <c r="I5658" s="6">
        <v>4.8676090321581915</v>
      </c>
      <c r="K5658" s="8"/>
    </row>
    <row r="5659" spans="1:11" ht="15" x14ac:dyDescent="0.25">
      <c r="A5659" s="3" t="str">
        <f>HYPERLINK("proteomic_fractions_linear_files/Yang_linear_img/255708463.jpg", "255708463")</f>
        <v>255708463</v>
      </c>
      <c r="C5659" s="3" t="str">
        <f>HYPERLINK("http://www.ncbi.nlm.nih.gov/protein/255708463","Pola2")</f>
        <v>Pola2</v>
      </c>
      <c r="E5659" t="str">
        <f>HYPERLINK("J:\Depot - mpkCCD Fractions\Main Web Page\Web Pages_old\proteomic_fractions_linear_files/Yang_linear_img/255708463.jpg","show blot")</f>
        <v>show blot</v>
      </c>
      <c r="G5659" t="s">
        <v>5448</v>
      </c>
      <c r="I5659" s="6">
        <v>5.1555199777038281</v>
      </c>
      <c r="K5659" s="8"/>
    </row>
    <row r="5660" spans="1:11" ht="15" x14ac:dyDescent="0.25">
      <c r="A5660" s="3" t="str">
        <f>HYPERLINK("proteomic_fractions_linear_files/Yang_linear_img/31982107.jpg", "31982107")</f>
        <v>31982107</v>
      </c>
      <c r="C5660" s="3" t="str">
        <f>HYPERLINK("http://www.ncbi.nlm.nih.gov/protein/31982107","Pola2")</f>
        <v>Pola2</v>
      </c>
      <c r="E5660" t="str">
        <f>HYPERLINK("J:\Depot - mpkCCD Fractions\Main Web Page\Web Pages_old\proteomic_fractions_linear_files/Yang_linear_img/31982107.jpg","show blot")</f>
        <v>show blot</v>
      </c>
      <c r="G5660" t="s">
        <v>5449</v>
      </c>
      <c r="I5660" s="6">
        <v>5.1555199777038281</v>
      </c>
      <c r="K5660" s="8"/>
    </row>
    <row r="5661" spans="1:11" ht="15" x14ac:dyDescent="0.25">
      <c r="A5661" s="3" t="str">
        <f>HYPERLINK("proteomic_fractions_linear_files/Yang_linear_img/21729749.jpg", "21729749")</f>
        <v>21729749</v>
      </c>
      <c r="C5661" s="3" t="str">
        <f>HYPERLINK("http://www.ncbi.nlm.nih.gov/protein/21729749","Polb")</f>
        <v>Polb</v>
      </c>
      <c r="E5661" t="str">
        <f>HYPERLINK("J:\Depot - mpkCCD Fractions\Main Web Page\Web Pages_old\proteomic_fractions_linear_files/Yang_linear_img/21729749.jpg","show blot")</f>
        <v>show blot</v>
      </c>
      <c r="G5661" t="s">
        <v>5450</v>
      </c>
      <c r="I5661" s="6">
        <v>4.1667594859228876</v>
      </c>
      <c r="K5661" s="8"/>
    </row>
    <row r="5662" spans="1:11" ht="15" x14ac:dyDescent="0.25">
      <c r="A5662" s="3" t="str">
        <f>HYPERLINK("proteomic_fractions_linear_files/Yang_linear_img/254587977.jpg", "254587977")</f>
        <v>254587977</v>
      </c>
      <c r="C5662" s="3" t="str">
        <f>HYPERLINK("http://www.ncbi.nlm.nih.gov/protein/254587977","Pold1")</f>
        <v>Pold1</v>
      </c>
      <c r="E5662" t="str">
        <f>HYPERLINK("J:\Depot - mpkCCD Fractions\Main Web Page\Web Pages_old\proteomic_fractions_linear_files/Yang_linear_img/254587977.jpg","show blot")</f>
        <v>show blot</v>
      </c>
      <c r="G5662" t="s">
        <v>5451</v>
      </c>
      <c r="I5662" s="6">
        <v>5.2407980622135364</v>
      </c>
      <c r="K5662" s="8"/>
    </row>
    <row r="5663" spans="1:11" ht="15" x14ac:dyDescent="0.25">
      <c r="A5663" s="3" t="str">
        <f>HYPERLINK("proteomic_fractions_linear_files/Yang_linear_img/226423863.jpg", "226423863")</f>
        <v>226423863</v>
      </c>
      <c r="C5663" s="3" t="str">
        <f>HYPERLINK("http://www.ncbi.nlm.nih.gov/protein/226423863","Pold2")</f>
        <v>Pold2</v>
      </c>
      <c r="E5663" t="str">
        <f>HYPERLINK("J:\Depot - mpkCCD Fractions\Main Web Page\Web Pages_old\proteomic_fractions_linear_files/Yang_linear_img/226423863.jpg","show blot")</f>
        <v>show blot</v>
      </c>
      <c r="G5663" t="s">
        <v>5452</v>
      </c>
      <c r="I5663" s="6">
        <v>5.2795813091202897</v>
      </c>
      <c r="K5663" s="8"/>
    </row>
    <row r="5664" spans="1:11" ht="15" x14ac:dyDescent="0.25">
      <c r="A5664" s="3" t="str">
        <f>HYPERLINK("proteomic_fractions_linear_files/Yang_linear_img/29789321.jpg", "29789321")</f>
        <v>29789321</v>
      </c>
      <c r="C5664" s="3" t="str">
        <f>HYPERLINK("http://www.ncbi.nlm.nih.gov/protein/29789321","Pold3")</f>
        <v>Pold3</v>
      </c>
      <c r="E5664" t="str">
        <f>HYPERLINK("J:\Depot - mpkCCD Fractions\Main Web Page\Web Pages_old\proteomic_fractions_linear_files/Yang_linear_img/29789321.jpg","show blot")</f>
        <v>show blot</v>
      </c>
      <c r="G5664" t="s">
        <v>5453</v>
      </c>
      <c r="I5664" s="6">
        <v>5.2012163118721162</v>
      </c>
      <c r="K5664" s="8"/>
    </row>
    <row r="5665" spans="1:11" ht="15" x14ac:dyDescent="0.25">
      <c r="A5665" s="3" t="str">
        <f>HYPERLINK("proteomic_fractions_linear_files/Yang_linear_img/21312396.jpg", "21312396")</f>
        <v>21312396</v>
      </c>
      <c r="C5665" s="3" t="str">
        <f>HYPERLINK("http://www.ncbi.nlm.nih.gov/protein/21312396","Pold4")</f>
        <v>Pold4</v>
      </c>
      <c r="E5665" t="str">
        <f>HYPERLINK("J:\Depot - mpkCCD Fractions\Main Web Page\Web Pages_old\proteomic_fractions_linear_files/Yang_linear_img/21312396.jpg","show blot")</f>
        <v>show blot</v>
      </c>
      <c r="G5665" t="s">
        <v>5454</v>
      </c>
      <c r="I5665" s="6">
        <v>3.0501844835481724</v>
      </c>
      <c r="K5665" s="8"/>
    </row>
    <row r="5666" spans="1:11" ht="15" x14ac:dyDescent="0.25">
      <c r="A5666" s="3" t="str">
        <f>HYPERLINK("proteomic_fractions_linear_files/Yang_linear_img/14780884.jpg", "14780884")</f>
        <v>14780884</v>
      </c>
      <c r="C5666" s="3" t="str">
        <f>HYPERLINK("http://www.ncbi.nlm.nih.gov/protein/14780884","Poldip2")</f>
        <v>Poldip2</v>
      </c>
      <c r="E5666" t="str">
        <f>HYPERLINK("J:\Depot - mpkCCD Fractions\Main Web Page\Web Pages_old\proteomic_fractions_linear_files/Yang_linear_img/14780884.jpg","show blot")</f>
        <v>show blot</v>
      </c>
      <c r="G5666" t="s">
        <v>5455</v>
      </c>
      <c r="I5666" s="6">
        <v>4.3532128017003275</v>
      </c>
      <c r="K5666" s="8"/>
    </row>
    <row r="5667" spans="1:11" ht="15" x14ac:dyDescent="0.25">
      <c r="A5667" s="3" t="str">
        <f>HYPERLINK("proteomic_fractions_linear_files/Yang_linear_img/30519969.jpg", "30519969")</f>
        <v>30519969</v>
      </c>
      <c r="C5667" s="3" t="str">
        <f>HYPERLINK("http://www.ncbi.nlm.nih.gov/protein/30519969","Poldip3")</f>
        <v>Poldip3</v>
      </c>
      <c r="E5667" t="str">
        <f>HYPERLINK("J:\Depot - mpkCCD Fractions\Main Web Page\Web Pages_old\proteomic_fractions_linear_files/Yang_linear_img/30519969.jpg","show blot")</f>
        <v>show blot</v>
      </c>
      <c r="G5667" t="s">
        <v>5456</v>
      </c>
      <c r="I5667" s="6">
        <v>4.6697971081628582</v>
      </c>
      <c r="K5667" s="8"/>
    </row>
    <row r="5668" spans="1:11" ht="15" x14ac:dyDescent="0.25">
      <c r="A5668" s="3" t="str">
        <f>HYPERLINK("proteomic_fractions_linear_files/Yang_linear_img/195947387.jpg", "195947387")</f>
        <v>195947387</v>
      </c>
      <c r="C5668" s="3" t="str">
        <f>HYPERLINK("http://www.ncbi.nlm.nih.gov/protein/195947387","Pole")</f>
        <v>Pole</v>
      </c>
      <c r="E5668" t="str">
        <f>HYPERLINK("J:\Depot - mpkCCD Fractions\Main Web Page\Web Pages_old\proteomic_fractions_linear_files/Yang_linear_img/195947387.jpg","show blot")</f>
        <v>show blot</v>
      </c>
      <c r="G5668" t="s">
        <v>5457</v>
      </c>
      <c r="I5668" s="6">
        <v>3.7338315232469728</v>
      </c>
      <c r="K5668" s="8"/>
    </row>
    <row r="5669" spans="1:11" ht="15" x14ac:dyDescent="0.25">
      <c r="A5669" s="3" t="str">
        <f>HYPERLINK("proteomic_fractions_linear_files/Yang_linear_img/33468927.jpg", "33468927")</f>
        <v>33468927</v>
      </c>
      <c r="C5669" s="3" t="str">
        <f>HYPERLINK("http://www.ncbi.nlm.nih.gov/protein/33468927","Pole2")</f>
        <v>Pole2</v>
      </c>
      <c r="E5669" t="str">
        <f>HYPERLINK("J:\Depot - mpkCCD Fractions\Main Web Page\Web Pages_old\proteomic_fractions_linear_files/Yang_linear_img/33468927.jpg","show blot")</f>
        <v>show blot</v>
      </c>
      <c r="G5669" t="s">
        <v>5458</v>
      </c>
      <c r="I5669" s="6">
        <v>3.9193167199476169</v>
      </c>
      <c r="K5669" s="8"/>
    </row>
    <row r="5670" spans="1:11" ht="15" x14ac:dyDescent="0.25">
      <c r="A5670" s="3" t="str">
        <f>HYPERLINK("proteomic_fractions_linear_files/Yang_linear_img/31981174.jpg", "31981174")</f>
        <v>31981174</v>
      </c>
      <c r="C5670" s="3" t="str">
        <f>HYPERLINK("http://www.ncbi.nlm.nih.gov/protein/31981174","Pole3")</f>
        <v>Pole3</v>
      </c>
      <c r="E5670" t="str">
        <f>HYPERLINK("J:\Depot - mpkCCD Fractions\Main Web Page\Web Pages_old\proteomic_fractions_linear_files/Yang_linear_img/31981174.jpg","show blot")</f>
        <v>show blot</v>
      </c>
      <c r="G5670" t="s">
        <v>5459</v>
      </c>
      <c r="I5670" s="6">
        <v>4.5567613781393623</v>
      </c>
      <c r="K5670" s="8"/>
    </row>
    <row r="5671" spans="1:11" ht="15" x14ac:dyDescent="0.25">
      <c r="A5671" s="3" t="str">
        <f>HYPERLINK("proteomic_fractions_linear_files/Yang_linear_img/13385366.jpg", "13385366")</f>
        <v>13385366</v>
      </c>
      <c r="C5671" s="3" t="str">
        <f>HYPERLINK("http://www.ncbi.nlm.nih.gov/protein/13385366","Pole4")</f>
        <v>Pole4</v>
      </c>
      <c r="E5671" t="str">
        <f>HYPERLINK("J:\Depot - mpkCCD Fractions\Main Web Page\Web Pages_old\proteomic_fractions_linear_files/Yang_linear_img/13385366.jpg","show blot")</f>
        <v>show blot</v>
      </c>
      <c r="G5671" t="s">
        <v>5460</v>
      </c>
      <c r="I5671" s="6">
        <v>4.9076930690574443</v>
      </c>
      <c r="K5671" s="8"/>
    </row>
    <row r="5672" spans="1:11" ht="15" x14ac:dyDescent="0.25">
      <c r="A5672" s="3" t="str">
        <f>HYPERLINK("proteomic_fractions_linear_files/Yang_linear_img/256985188.jpg", "256985188")</f>
        <v>256985188</v>
      </c>
      <c r="C5672" s="3" t="str">
        <f>HYPERLINK("http://www.ncbi.nlm.nih.gov/protein/256985188","Polr1a")</f>
        <v>Polr1a</v>
      </c>
      <c r="E5672" t="str">
        <f>HYPERLINK("J:\Depot - mpkCCD Fractions\Main Web Page\Web Pages_old\proteomic_fractions_linear_files/Yang_linear_img/256985188.jpg","show blot")</f>
        <v>show blot</v>
      </c>
      <c r="G5672" t="s">
        <v>5461</v>
      </c>
      <c r="I5672" s="6">
        <v>2.6516626084201653</v>
      </c>
      <c r="K5672" s="8"/>
    </row>
    <row r="5673" spans="1:11" ht="15" x14ac:dyDescent="0.25">
      <c r="A5673" s="3" t="str">
        <f>HYPERLINK("proteomic_fractions_linear_files/Yang_linear_img/224967092.jpg", "224967092")</f>
        <v>224967092</v>
      </c>
      <c r="C5673" s="3" t="str">
        <f>HYPERLINK("http://www.ncbi.nlm.nih.gov/protein/224967092","Polr1b")</f>
        <v>Polr1b</v>
      </c>
      <c r="E5673" t="str">
        <f>HYPERLINK("J:\Depot - mpkCCD Fractions\Main Web Page\Web Pages_old\proteomic_fractions_linear_files/Yang_linear_img/224967092.jpg","show blot")</f>
        <v>show blot</v>
      </c>
      <c r="G5673" t="s">
        <v>5462</v>
      </c>
      <c r="I5673" s="6">
        <v>1.8185145572881942</v>
      </c>
      <c r="K5673" s="8"/>
    </row>
    <row r="5674" spans="1:11" ht="15" x14ac:dyDescent="0.25">
      <c r="A5674" s="3" t="str">
        <f>HYPERLINK("proteomic_fractions_linear_files/Yang_linear_img/119226251.jpg", "119226251")</f>
        <v>119226251</v>
      </c>
      <c r="C5674" s="3" t="str">
        <f>HYPERLINK("http://www.ncbi.nlm.nih.gov/protein/119226251","Polr1c")</f>
        <v>Polr1c</v>
      </c>
      <c r="E5674" t="str">
        <f>HYPERLINK("J:\Depot - mpkCCD Fractions\Main Web Page\Web Pages_old\proteomic_fractions_linear_files/Yang_linear_img/119226251.jpg","show blot")</f>
        <v>show blot</v>
      </c>
      <c r="G5674" t="s">
        <v>5463</v>
      </c>
      <c r="I5674" s="6">
        <v>4.876815370435847</v>
      </c>
      <c r="K5674" s="8"/>
    </row>
    <row r="5675" spans="1:11" ht="15" x14ac:dyDescent="0.25">
      <c r="A5675" s="3" t="str">
        <f>HYPERLINK("proteomic_fractions_linear_files/Yang_linear_img/6677791.jpg", "6677791")</f>
        <v>6677791</v>
      </c>
      <c r="C5675" s="3" t="str">
        <f>HYPERLINK("http://www.ncbi.nlm.nih.gov/protein/6677791","Polr1d")</f>
        <v>Polr1d</v>
      </c>
      <c r="E5675" t="str">
        <f>HYPERLINK("J:\Depot - mpkCCD Fractions\Main Web Page\Web Pages_old\proteomic_fractions_linear_files/Yang_linear_img/6677791.jpg","show blot")</f>
        <v>show blot</v>
      </c>
      <c r="G5675" t="s">
        <v>5464</v>
      </c>
      <c r="I5675" s="6">
        <v>4.7715467901201238</v>
      </c>
      <c r="K5675" s="8"/>
    </row>
    <row r="5676" spans="1:11" ht="15" x14ac:dyDescent="0.25">
      <c r="A5676" s="3" t="str">
        <f>HYPERLINK("proteomic_fractions_linear_files/Yang_linear_img/6677795.jpg", "6677795")</f>
        <v>6677795</v>
      </c>
      <c r="C5676" s="3" t="str">
        <f>HYPERLINK("http://www.ncbi.nlm.nih.gov/protein/6677795","Polr2a")</f>
        <v>Polr2a</v>
      </c>
      <c r="E5676" t="str">
        <f>HYPERLINK("J:\Depot - mpkCCD Fractions\Main Web Page\Web Pages_old\proteomic_fractions_linear_files/Yang_linear_img/6677795.jpg","show blot")</f>
        <v>show blot</v>
      </c>
      <c r="G5676" t="s">
        <v>5465</v>
      </c>
      <c r="I5676" s="6">
        <v>3.5532047426592972</v>
      </c>
      <c r="K5676" s="8"/>
    </row>
    <row r="5677" spans="1:11" ht="15" x14ac:dyDescent="0.25">
      <c r="A5677" s="3" t="str">
        <f>HYPERLINK("proteomic_fractions_linear_files/Yang_linear_img/226958589.jpg", "226958589")</f>
        <v>226958589</v>
      </c>
      <c r="C5677" s="3" t="str">
        <f>HYPERLINK("http://www.ncbi.nlm.nih.gov/protein/226958589","Polr2b")</f>
        <v>Polr2b</v>
      </c>
      <c r="E5677" t="str">
        <f>HYPERLINK("J:\Depot - mpkCCD Fractions\Main Web Page\Web Pages_old\proteomic_fractions_linear_files/Yang_linear_img/226958589.jpg","show blot")</f>
        <v>show blot</v>
      </c>
      <c r="G5677" t="s">
        <v>5466</v>
      </c>
      <c r="I5677" s="6">
        <v>4.8003195128208374</v>
      </c>
      <c r="K5677" s="8"/>
    </row>
    <row r="5678" spans="1:11" ht="15" x14ac:dyDescent="0.25">
      <c r="A5678" s="3" t="str">
        <f>HYPERLINK("proteomic_fractions_linear_files/Yang_linear_img/29336059.jpg", "29336059")</f>
        <v>29336059</v>
      </c>
      <c r="C5678" s="3" t="str">
        <f>HYPERLINK("http://www.ncbi.nlm.nih.gov/protein/29336059","Polr2c")</f>
        <v>Polr2c</v>
      </c>
      <c r="E5678" t="str">
        <f>HYPERLINK("J:\Depot - mpkCCD Fractions\Main Web Page\Web Pages_old\proteomic_fractions_linear_files/Yang_linear_img/29336059.jpg","show blot")</f>
        <v>show blot</v>
      </c>
      <c r="G5678" t="s">
        <v>5467</v>
      </c>
      <c r="I5678" s="6">
        <v>5.091266238303727</v>
      </c>
      <c r="K5678" s="8"/>
    </row>
    <row r="5679" spans="1:11" ht="15" x14ac:dyDescent="0.25">
      <c r="A5679" s="3" t="str">
        <f>HYPERLINK("proteomic_fractions_linear_files/Yang_linear_img/28076931.jpg", "28076931")</f>
        <v>28076931</v>
      </c>
      <c r="C5679" s="3" t="str">
        <f>HYPERLINK("http://www.ncbi.nlm.nih.gov/protein/28076931","Polr2d")</f>
        <v>Polr2d</v>
      </c>
      <c r="E5679" t="str">
        <f>HYPERLINK("J:\Depot - mpkCCD Fractions\Main Web Page\Web Pages_old\proteomic_fractions_linear_files/Yang_linear_img/28076931.jpg","show blot")</f>
        <v>show blot</v>
      </c>
      <c r="G5679" t="s">
        <v>5468</v>
      </c>
      <c r="I5679" s="6">
        <v>4.4907989027066337</v>
      </c>
      <c r="K5679" s="8"/>
    </row>
    <row r="5680" spans="1:11" ht="15" x14ac:dyDescent="0.25">
      <c r="A5680" s="3" t="str">
        <f>HYPERLINK("proteomic_fractions_linear_files/Yang_linear_img/21312246.jpg", "21312246")</f>
        <v>21312246</v>
      </c>
      <c r="C5680" s="3" t="str">
        <f>HYPERLINK("http://www.ncbi.nlm.nih.gov/protein/21312246","Polr2d")</f>
        <v>Polr2d</v>
      </c>
      <c r="E5680" t="str">
        <f>HYPERLINK("J:\Depot - mpkCCD Fractions\Main Web Page\Web Pages_old\proteomic_fractions_linear_files/Yang_linear_img/21312246.jpg","show blot")</f>
        <v>show blot</v>
      </c>
      <c r="G5680" t="s">
        <v>5469</v>
      </c>
      <c r="I5680" s="6">
        <v>4.4907989027066337</v>
      </c>
      <c r="K5680" s="8"/>
    </row>
    <row r="5681" spans="1:11" ht="15" x14ac:dyDescent="0.25">
      <c r="A5681" s="3" t="str">
        <f>HYPERLINK("proteomic_fractions_linear_files/Yang_linear_img/124249077.jpg", "124249077")</f>
        <v>124249077</v>
      </c>
      <c r="C5681" s="3" t="str">
        <f>HYPERLINK("http://www.ncbi.nlm.nih.gov/protein/124249077","Polr2e")</f>
        <v>Polr2e</v>
      </c>
      <c r="E5681" t="str">
        <f>HYPERLINK("J:\Depot - mpkCCD Fractions\Main Web Page\Web Pages_old\proteomic_fractions_linear_files/Yang_linear_img/124249077.jpg","show blot")</f>
        <v>show blot</v>
      </c>
      <c r="G5681" t="s">
        <v>5470</v>
      </c>
      <c r="I5681" s="6">
        <v>5.2290296606766713</v>
      </c>
      <c r="K5681" s="8"/>
    </row>
    <row r="5682" spans="1:11" ht="15" x14ac:dyDescent="0.25">
      <c r="A5682" s="3" t="str">
        <f>HYPERLINK("proteomic_fractions_linear_files/Yang_linear_img/13385826.jpg", "13385826")</f>
        <v>13385826</v>
      </c>
      <c r="C5682" s="3" t="str">
        <f>HYPERLINK("http://www.ncbi.nlm.nih.gov/protein/13385826","Polr2g")</f>
        <v>Polr2g</v>
      </c>
      <c r="E5682" t="str">
        <f>HYPERLINK("J:\Depot - mpkCCD Fractions\Main Web Page\Web Pages_old\proteomic_fractions_linear_files/Yang_linear_img/13385826.jpg","show blot")</f>
        <v>show blot</v>
      </c>
      <c r="G5682" t="s">
        <v>5471</v>
      </c>
      <c r="I5682" s="6">
        <v>5.1367575701128851</v>
      </c>
      <c r="K5682" s="8"/>
    </row>
    <row r="5683" spans="1:11" ht="15" x14ac:dyDescent="0.25">
      <c r="A5683" s="3" t="str">
        <f>HYPERLINK("proteomic_fractions_linear_files/Yang_linear_img/21704118.jpg", "21704118")</f>
        <v>21704118</v>
      </c>
      <c r="C5683" s="3" t="str">
        <f>HYPERLINK("http://www.ncbi.nlm.nih.gov/protein/21704118","Polr2h")</f>
        <v>Polr2h</v>
      </c>
      <c r="E5683" t="str">
        <f>HYPERLINK("J:\Depot - mpkCCD Fractions\Main Web Page\Web Pages_old\proteomic_fractions_linear_files/Yang_linear_img/21704118.jpg","show blot")</f>
        <v>show blot</v>
      </c>
      <c r="G5683" t="s">
        <v>5472</v>
      </c>
      <c r="I5683" s="6">
        <v>5.5108672816148641</v>
      </c>
      <c r="K5683" s="8"/>
    </row>
    <row r="5684" spans="1:11" ht="15" x14ac:dyDescent="0.25">
      <c r="A5684" s="3" t="str">
        <f>HYPERLINK("proteomic_fractions_linear_files/Yang_linear_img/110625757.jpg", "110625757")</f>
        <v>110625757</v>
      </c>
      <c r="C5684" s="3" t="str">
        <f>HYPERLINK("http://www.ncbi.nlm.nih.gov/protein/110625757","Polr2i")</f>
        <v>Polr2i</v>
      </c>
      <c r="E5684" t="str">
        <f>HYPERLINK("J:\Depot - mpkCCD Fractions\Main Web Page\Web Pages_old\proteomic_fractions_linear_files/Yang_linear_img/110625757.jpg","show blot")</f>
        <v>show blot</v>
      </c>
      <c r="G5684" t="s">
        <v>5473</v>
      </c>
      <c r="I5684" s="6">
        <v>4.8049100397203697</v>
      </c>
      <c r="K5684" s="8"/>
    </row>
    <row r="5685" spans="1:11" ht="15" x14ac:dyDescent="0.25">
      <c r="A5685" s="3" t="str">
        <f>HYPERLINK("proteomic_fractions_linear_files/Yang_linear_img/188219604.jpg", "188219604")</f>
        <v>188219604</v>
      </c>
      <c r="C5685" s="3" t="str">
        <f>HYPERLINK("http://www.ncbi.nlm.nih.gov/protein/188219604","Polr2j")</f>
        <v>Polr2j</v>
      </c>
      <c r="E5685" t="str">
        <f>HYPERLINK("J:\Depot - mpkCCD Fractions\Main Web Page\Web Pages_old\proteomic_fractions_linear_files/Yang_linear_img/188219604.jpg","show blot")</f>
        <v>show blot</v>
      </c>
      <c r="G5685" t="s">
        <v>5474</v>
      </c>
      <c r="I5685" s="6">
        <v>4.9670350044456031</v>
      </c>
      <c r="K5685" s="8"/>
    </row>
    <row r="5686" spans="1:11" ht="15" x14ac:dyDescent="0.25">
      <c r="A5686" s="3" t="str">
        <f>HYPERLINK("proteomic_fractions_linear_files/Yang_linear_img/219881031.jpg", "219881031")</f>
        <v>219881031</v>
      </c>
      <c r="C5686" s="3" t="str">
        <f>HYPERLINK("http://www.ncbi.nlm.nih.gov/protein/219881031","Polr2l")</f>
        <v>Polr2l</v>
      </c>
      <c r="E5686" t="str">
        <f>HYPERLINK("J:\Depot - mpkCCD Fractions\Main Web Page\Web Pages_old\proteomic_fractions_linear_files/Yang_linear_img/219881031.jpg","show blot")</f>
        <v>show blot</v>
      </c>
      <c r="G5686" t="s">
        <v>5475</v>
      </c>
      <c r="I5686" s="6">
        <v>3.2089449641814864</v>
      </c>
      <c r="K5686" s="8"/>
    </row>
    <row r="5687" spans="1:11" ht="15" x14ac:dyDescent="0.25">
      <c r="A5687" s="3" t="str">
        <f>HYPERLINK("proteomic_fractions_linear_files/Yang_linear_img/258645114.jpg", "258645114")</f>
        <v>258645114</v>
      </c>
      <c r="C5687" s="3" t="str">
        <f>HYPERLINK("http://www.ncbi.nlm.nih.gov/protein/258645114","Polr2m")</f>
        <v>Polr2m</v>
      </c>
      <c r="E5687" t="str">
        <f>HYPERLINK("J:\Depot - mpkCCD Fractions\Main Web Page\Web Pages_old\proteomic_fractions_linear_files/Yang_linear_img/258645114.jpg","show blot")</f>
        <v>show blot</v>
      </c>
      <c r="G5687" t="s">
        <v>5476</v>
      </c>
      <c r="I5687" s="6">
        <v>3.3991124865751607</v>
      </c>
      <c r="K5687" s="8"/>
    </row>
    <row r="5688" spans="1:11" ht="15" x14ac:dyDescent="0.25">
      <c r="A5688" s="3" t="str">
        <f>HYPERLINK("proteomic_fractions_linear_files/Yang_linear_img/30519919.jpg", "30519919")</f>
        <v>30519919</v>
      </c>
      <c r="C5688" s="3" t="str">
        <f>HYPERLINK("http://www.ncbi.nlm.nih.gov/protein/30519919","Polr2m")</f>
        <v>Polr2m</v>
      </c>
      <c r="E5688" t="str">
        <f>HYPERLINK("J:\Depot - mpkCCD Fractions\Main Web Page\Web Pages_old\proteomic_fractions_linear_files/Yang_linear_img/30519919.jpg","show blot")</f>
        <v>show blot</v>
      </c>
      <c r="G5688" t="s">
        <v>5477</v>
      </c>
      <c r="I5688" s="6">
        <v>3.3991124865751607</v>
      </c>
      <c r="K5688" s="8"/>
    </row>
    <row r="5689" spans="1:11" ht="15" x14ac:dyDescent="0.25">
      <c r="A5689" s="3" t="str">
        <f>HYPERLINK("proteomic_fractions_linear_files/Yang_linear_img/46195739.jpg", "46195739")</f>
        <v>46195739</v>
      </c>
      <c r="C5689" s="3" t="str">
        <f>HYPERLINK("http://www.ncbi.nlm.nih.gov/protein/46195739","Polr3b")</f>
        <v>Polr3b</v>
      </c>
      <c r="E5689" t="str">
        <f>HYPERLINK("J:\Depot - mpkCCD Fractions\Main Web Page\Web Pages_old\proteomic_fractions_linear_files/Yang_linear_img/46195739.jpg","show blot")</f>
        <v>show blot</v>
      </c>
      <c r="G5689" t="s">
        <v>5478</v>
      </c>
      <c r="I5689" s="6">
        <v>2.1604584581142103</v>
      </c>
      <c r="K5689" s="8"/>
    </row>
    <row r="5690" spans="1:11" ht="15" x14ac:dyDescent="0.25">
      <c r="A5690" s="3" t="str">
        <f>HYPERLINK("proteomic_fractions_linear_files/Yang_linear_img/198278473.jpg", "198278473")</f>
        <v>198278473</v>
      </c>
      <c r="C5690" s="3" t="str">
        <f>HYPERLINK("http://www.ncbi.nlm.nih.gov/protein/198278473","Polr3c")</f>
        <v>Polr3c</v>
      </c>
      <c r="E5690" t="str">
        <f>HYPERLINK("J:\Depot - mpkCCD Fractions\Main Web Page\Web Pages_old\proteomic_fractions_linear_files/Yang_linear_img/198278473.jpg","show blot")</f>
        <v>show blot</v>
      </c>
      <c r="G5690" t="s">
        <v>5479</v>
      </c>
      <c r="I5690" s="6">
        <v>4.3143448930489878</v>
      </c>
      <c r="K5690" s="8"/>
    </row>
    <row r="5691" spans="1:11" ht="15" x14ac:dyDescent="0.25">
      <c r="A5691" s="3" t="str">
        <f>HYPERLINK("proteomic_fractions_linear_files/Yang_linear_img/27754160.jpg", "27754160")</f>
        <v>27754160</v>
      </c>
      <c r="C5691" s="3" t="str">
        <f>HYPERLINK("http://www.ncbi.nlm.nih.gov/protein/27754160","Polr3f")</f>
        <v>Polr3f</v>
      </c>
      <c r="E5691" t="str">
        <f>HYPERLINK("J:\Depot - mpkCCD Fractions\Main Web Page\Web Pages_old\proteomic_fractions_linear_files/Yang_linear_img/27754160.jpg","show blot")</f>
        <v>show blot</v>
      </c>
      <c r="G5691" t="s">
        <v>5480</v>
      </c>
      <c r="I5691" s="6">
        <v>3.4803027647188127</v>
      </c>
      <c r="K5691" s="8"/>
    </row>
    <row r="5692" spans="1:11" ht="15" x14ac:dyDescent="0.25">
      <c r="A5692" s="3" t="str">
        <f>HYPERLINK("proteomic_fractions_linear_files/Yang_linear_img/281332113.jpg", "281332113")</f>
        <v>281332113</v>
      </c>
      <c r="C5692" s="3" t="str">
        <f>HYPERLINK("http://www.ncbi.nlm.nih.gov/protein/281332113","Polrmt")</f>
        <v>Polrmt</v>
      </c>
      <c r="E5692" t="str">
        <f>HYPERLINK("J:\Depot - mpkCCD Fractions\Main Web Page\Web Pages_old\proteomic_fractions_linear_files/Yang_linear_img/281332113.jpg","show blot")</f>
        <v>show blot</v>
      </c>
      <c r="G5692" t="s">
        <v>5481</v>
      </c>
      <c r="I5692" s="6">
        <v>2.0563506971384817</v>
      </c>
      <c r="K5692" s="8"/>
    </row>
    <row r="5693" spans="1:11" ht="15" x14ac:dyDescent="0.25">
      <c r="A5693" s="3" t="str">
        <f>HYPERLINK("proteomic_fractions_linear_files/Yang_linear_img/13385086.jpg", "13385086")</f>
        <v>13385086</v>
      </c>
      <c r="C5693" s="3" t="str">
        <f>HYPERLINK("http://www.ncbi.nlm.nih.gov/protein/13385086","Pomp")</f>
        <v>Pomp</v>
      </c>
      <c r="E5693" t="str">
        <f>HYPERLINK("J:\Depot - mpkCCD Fractions\Main Web Page\Web Pages_old\proteomic_fractions_linear_files/Yang_linear_img/13385086.jpg","show blot")</f>
        <v>show blot</v>
      </c>
      <c r="G5693" t="s">
        <v>5482</v>
      </c>
      <c r="I5693" s="6">
        <v>2.4992770146675913</v>
      </c>
      <c r="K5693" s="8"/>
    </row>
    <row r="5694" spans="1:11" ht="15" x14ac:dyDescent="0.25">
      <c r="A5694" s="3" t="str">
        <f>HYPERLINK("proteomic_fractions_linear_files/Yang_linear_img/27370510.jpg", "27370510")</f>
        <v>27370510</v>
      </c>
      <c r="C5694" s="3" t="str">
        <f>HYPERLINK("http://www.ncbi.nlm.nih.gov/protein/27370510","Pon3")</f>
        <v>Pon3</v>
      </c>
      <c r="E5694" t="str">
        <f>HYPERLINK("J:\Depot - mpkCCD Fractions\Main Web Page\Web Pages_old\proteomic_fractions_linear_files/Yang_linear_img/27370510.jpg","show blot")</f>
        <v>show blot</v>
      </c>
      <c r="G5694" t="s">
        <v>5483</v>
      </c>
      <c r="I5694" s="6">
        <v>3.7838814487123424</v>
      </c>
      <c r="K5694" s="8"/>
    </row>
    <row r="5695" spans="1:11" ht="15" x14ac:dyDescent="0.25">
      <c r="A5695" s="3" t="str">
        <f>HYPERLINK("proteomic_fractions_linear_files/Yang_linear_img/21312814.jpg", "21312814")</f>
        <v>21312814</v>
      </c>
      <c r="C5695" s="3" t="str">
        <f>HYPERLINK("http://www.ncbi.nlm.nih.gov/protein/21312814","Pop1")</f>
        <v>Pop1</v>
      </c>
      <c r="E5695" t="str">
        <f>HYPERLINK("J:\Depot - mpkCCD Fractions\Main Web Page\Web Pages_old\proteomic_fractions_linear_files/Yang_linear_img/21312814.jpg","show blot")</f>
        <v>show blot</v>
      </c>
      <c r="G5695" t="s">
        <v>5484</v>
      </c>
      <c r="I5695" s="6">
        <v>4.065804149411413</v>
      </c>
      <c r="K5695" s="8"/>
    </row>
    <row r="5696" spans="1:11" ht="15" x14ac:dyDescent="0.25">
      <c r="A5696" s="3" t="str">
        <f>HYPERLINK("proteomic_fractions_linear_files/Yang_linear_img/23097256.jpg", "23097256")</f>
        <v>23097256</v>
      </c>
      <c r="C5696" s="3" t="str">
        <f>HYPERLINK("http://www.ncbi.nlm.nih.gov/protein/23097256","Pop1")</f>
        <v>Pop1</v>
      </c>
      <c r="E5696" t="str">
        <f>HYPERLINK("J:\Depot - mpkCCD Fractions\Main Web Page\Web Pages_old\proteomic_fractions_linear_files/Yang_linear_img/23097256.jpg","show blot")</f>
        <v>show blot</v>
      </c>
      <c r="G5696" t="s">
        <v>5485</v>
      </c>
      <c r="I5696" s="6">
        <v>4.065804149411413</v>
      </c>
      <c r="K5696" s="8"/>
    </row>
    <row r="5697" spans="1:11" ht="15" x14ac:dyDescent="0.25">
      <c r="A5697" s="3" t="str">
        <f>HYPERLINK("proteomic_fractions_linear_files/Yang_linear_img/13384772.jpg", "13384772")</f>
        <v>13384772</v>
      </c>
      <c r="C5697" s="3" t="str">
        <f>HYPERLINK("http://www.ncbi.nlm.nih.gov/protein/13384772","Pop4")</f>
        <v>Pop4</v>
      </c>
      <c r="E5697" t="str">
        <f>HYPERLINK("J:\Depot - mpkCCD Fractions\Main Web Page\Web Pages_old\proteomic_fractions_linear_files/Yang_linear_img/13384772.jpg","show blot")</f>
        <v>show blot</v>
      </c>
      <c r="G5697" t="s">
        <v>5486</v>
      </c>
      <c r="I5697" s="6">
        <v>4.2918792979176494</v>
      </c>
      <c r="K5697" s="8"/>
    </row>
    <row r="5698" spans="1:11" ht="15" x14ac:dyDescent="0.25">
      <c r="A5698" s="3" t="str">
        <f>HYPERLINK("proteomic_fractions_linear_files/Yang_linear_img/20270200.jpg", "20270200")</f>
        <v>20270200</v>
      </c>
      <c r="C5698" s="3" t="str">
        <f>HYPERLINK("http://www.ncbi.nlm.nih.gov/protein/20270200","Pop5")</f>
        <v>Pop5</v>
      </c>
      <c r="E5698" t="str">
        <f>HYPERLINK("J:\Depot - mpkCCD Fractions\Main Web Page\Web Pages_old\proteomic_fractions_linear_files/Yang_linear_img/20270200.jpg","show blot")</f>
        <v>show blot</v>
      </c>
      <c r="G5698" t="s">
        <v>5487</v>
      </c>
      <c r="I5698" s="6">
        <v>4.123726484369052</v>
      </c>
      <c r="K5698" s="8"/>
    </row>
    <row r="5699" spans="1:11" ht="15" x14ac:dyDescent="0.25">
      <c r="A5699" s="3" t="str">
        <f>HYPERLINK("proteomic_fractions_linear_files/Yang_linear_img/13899215.jpg", "13899215")</f>
        <v>13899215</v>
      </c>
      <c r="C5699" s="3" t="str">
        <f>HYPERLINK("http://www.ncbi.nlm.nih.gov/protein/13899215","Pop7")</f>
        <v>Pop7</v>
      </c>
      <c r="E5699" t="str">
        <f>HYPERLINK("J:\Depot - mpkCCD Fractions\Main Web Page\Web Pages_old\proteomic_fractions_linear_files/Yang_linear_img/13899215.jpg","show blot")</f>
        <v>show blot</v>
      </c>
      <c r="G5699" t="s">
        <v>5488</v>
      </c>
      <c r="I5699" s="6">
        <v>4.239639704161835</v>
      </c>
      <c r="K5699" s="8"/>
    </row>
    <row r="5700" spans="1:11" ht="15" x14ac:dyDescent="0.25">
      <c r="A5700" s="3" t="str">
        <f>HYPERLINK("proteomic_fractions_linear_files/Yang_linear_img/6679421.jpg", "6679421")</f>
        <v>6679421</v>
      </c>
      <c r="C5700" s="3" t="str">
        <f>HYPERLINK("http://www.ncbi.nlm.nih.gov/protein/6679421","Por")</f>
        <v>Por</v>
      </c>
      <c r="E5700" t="str">
        <f>HYPERLINK("J:\Depot - mpkCCD Fractions\Main Web Page\Web Pages_old\proteomic_fractions_linear_files/Yang_linear_img/6679421.jpg","show blot")</f>
        <v>show blot</v>
      </c>
      <c r="G5700" t="s">
        <v>5489</v>
      </c>
      <c r="I5700" s="6">
        <v>5.7606319399701036</v>
      </c>
      <c r="K5700" s="8"/>
    </row>
    <row r="5701" spans="1:11" ht="15" x14ac:dyDescent="0.25">
      <c r="A5701" s="3" t="str">
        <f>HYPERLINK("proteomic_fractions_linear_files/Yang_linear_img/27754065.jpg", "27754065")</f>
        <v>27754065</v>
      </c>
      <c r="C5701" s="3" t="str">
        <f>HYPERLINK("http://www.ncbi.nlm.nih.gov/protein/27754065","Ppa1")</f>
        <v>Ppa1</v>
      </c>
      <c r="E5701" t="str">
        <f>HYPERLINK("J:\Depot - mpkCCD Fractions\Main Web Page\Web Pages_old\proteomic_fractions_linear_files/Yang_linear_img/27754065.jpg","show blot")</f>
        <v>show blot</v>
      </c>
      <c r="G5701" t="s">
        <v>5490</v>
      </c>
      <c r="I5701" s="6">
        <v>5.8215461970235554</v>
      </c>
      <c r="K5701" s="8"/>
    </row>
    <row r="5702" spans="1:11" ht="15" x14ac:dyDescent="0.25">
      <c r="A5702" s="3" t="str">
        <f>HYPERLINK("proteomic_fractions_linear_files/Yang_linear_img/22203753.jpg", "22203753")</f>
        <v>22203753</v>
      </c>
      <c r="C5702" s="3" t="str">
        <f>HYPERLINK("http://www.ncbi.nlm.nih.gov/protein/22203753","Ppa2")</f>
        <v>Ppa2</v>
      </c>
      <c r="E5702" t="str">
        <f>HYPERLINK("J:\Depot - mpkCCD Fractions\Main Web Page\Web Pages_old\proteomic_fractions_linear_files/Yang_linear_img/22203753.jpg","show blot")</f>
        <v>show blot</v>
      </c>
      <c r="G5702" t="s">
        <v>5491</v>
      </c>
      <c r="I5702" s="6">
        <v>5.4760610051413581</v>
      </c>
      <c r="K5702" s="8"/>
    </row>
    <row r="5703" spans="1:11" ht="15" x14ac:dyDescent="0.25">
      <c r="A5703" s="3" t="str">
        <f>HYPERLINK("proteomic_fractions_linear_files/Yang_linear_img/110431341.jpg", "110431341")</f>
        <v>110431341</v>
      </c>
      <c r="C5703" s="3" t="str">
        <f>HYPERLINK("http://www.ncbi.nlm.nih.gov/protein/110431341","Ppap2c")</f>
        <v>Ppap2c</v>
      </c>
      <c r="E5703" t="str">
        <f>HYPERLINK("J:\Depot - mpkCCD Fractions\Main Web Page\Web Pages_old\proteomic_fractions_linear_files/Yang_linear_img/110431341.jpg","show blot")</f>
        <v>show blot</v>
      </c>
      <c r="G5703" t="s">
        <v>5492</v>
      </c>
      <c r="I5703" s="6">
        <v>5.210922067930416</v>
      </c>
      <c r="K5703" s="8"/>
    </row>
    <row r="5704" spans="1:11" ht="15" x14ac:dyDescent="0.25">
      <c r="A5704" s="3" t="str">
        <f>HYPERLINK("proteomic_fractions_linear_files/Yang_linear_img/77861908.jpg", "77861908")</f>
        <v>77861908</v>
      </c>
      <c r="C5704" s="3" t="str">
        <f>HYPERLINK("http://www.ncbi.nlm.nih.gov/protein/77861908","Ppapdc2")</f>
        <v>Ppapdc2</v>
      </c>
      <c r="E5704" t="str">
        <f>HYPERLINK("J:\Depot - mpkCCD Fractions\Main Web Page\Web Pages_old\proteomic_fractions_linear_files/Yang_linear_img/77861908.jpg","show blot")</f>
        <v>show blot</v>
      </c>
      <c r="G5704" t="s">
        <v>5493</v>
      </c>
      <c r="I5704" s="6">
        <v>3.8030647826059072</v>
      </c>
      <c r="K5704" s="8"/>
    </row>
    <row r="5705" spans="1:11" ht="15" x14ac:dyDescent="0.25">
      <c r="A5705" s="3" t="str">
        <f>HYPERLINK("proteomic_fractions_linear_files/Yang_linear_img/26024309.jpg", "26024309")</f>
        <v>26024309</v>
      </c>
      <c r="C5705" s="3" t="str">
        <f>HYPERLINK("http://www.ncbi.nlm.nih.gov/protein/26024309","Ppat")</f>
        <v>Ppat</v>
      </c>
      <c r="E5705" t="str">
        <f>HYPERLINK("J:\Depot - mpkCCD Fractions\Main Web Page\Web Pages_old\proteomic_fractions_linear_files/Yang_linear_img/26024309.jpg","show blot")</f>
        <v>show blot</v>
      </c>
      <c r="G5705" t="s">
        <v>5494</v>
      </c>
      <c r="I5705" s="6">
        <v>5.5755230850028612</v>
      </c>
      <c r="K5705" s="8"/>
    </row>
    <row r="5706" spans="1:11" ht="15" x14ac:dyDescent="0.25">
      <c r="A5706" s="3" t="str">
        <f>HYPERLINK("proteomic_fractions_linear_files/Yang_linear_img/28849879.jpg", "28849879")</f>
        <v>28849879</v>
      </c>
      <c r="C5706" s="3" t="str">
        <f>HYPERLINK("http://www.ncbi.nlm.nih.gov/protein/28849879","Ppcdc")</f>
        <v>Ppcdc</v>
      </c>
      <c r="E5706" t="str">
        <f>HYPERLINK("J:\Depot - mpkCCD Fractions\Main Web Page\Web Pages_old\proteomic_fractions_linear_files/Yang_linear_img/28849879.jpg","show blot")</f>
        <v>show blot</v>
      </c>
      <c r="G5706" t="s">
        <v>5495</v>
      </c>
      <c r="I5706" s="6">
        <v>5.0084292997521445</v>
      </c>
      <c r="K5706" s="8"/>
    </row>
    <row r="5707" spans="1:11" ht="15" x14ac:dyDescent="0.25">
      <c r="A5707" s="3" t="str">
        <f>HYPERLINK("proteomic_fractions_linear_files/Yang_linear_img/76096364.jpg", "76096364")</f>
        <v>76096364</v>
      </c>
      <c r="C5707" s="3" t="str">
        <f>HYPERLINK("http://www.ncbi.nlm.nih.gov/protein/76096364","Ppcs")</f>
        <v>Ppcs</v>
      </c>
      <c r="E5707" t="str">
        <f>HYPERLINK("J:\Depot - mpkCCD Fractions\Main Web Page\Web Pages_old\proteomic_fractions_linear_files/Yang_linear_img/76096364.jpg","show blot")</f>
        <v>show blot</v>
      </c>
      <c r="G5707" t="s">
        <v>5496</v>
      </c>
      <c r="I5707" s="6">
        <v>4.2077169746497107</v>
      </c>
      <c r="K5707" s="8"/>
    </row>
    <row r="5708" spans="1:11" ht="15" x14ac:dyDescent="0.25">
      <c r="A5708" s="3" t="str">
        <f>HYPERLINK("proteomic_fractions_linear_files/Yang_linear_img/189491857.jpg", "189491857")</f>
        <v>189491857</v>
      </c>
      <c r="C5708" s="3" t="str">
        <f>HYPERLINK("http://www.ncbi.nlm.nih.gov/protein/189491857","Ppfia1")</f>
        <v>Ppfia1</v>
      </c>
      <c r="E5708" t="str">
        <f>HYPERLINK("J:\Depot - mpkCCD Fractions\Main Web Page\Web Pages_old\proteomic_fractions_linear_files/Yang_linear_img/189491857.jpg","show blot")</f>
        <v>show blot</v>
      </c>
      <c r="G5708" t="s">
        <v>5497</v>
      </c>
      <c r="I5708" s="6">
        <v>3.1565642938321541</v>
      </c>
      <c r="K5708" s="8"/>
    </row>
    <row r="5709" spans="1:11" ht="15" x14ac:dyDescent="0.25">
      <c r="A5709" s="3" t="str">
        <f>HYPERLINK("proteomic_fractions_linear_files/Yang_linear_img/304361734.jpg", "304361734")</f>
        <v>304361734</v>
      </c>
      <c r="C5709" s="3" t="str">
        <f>HYPERLINK("http://www.ncbi.nlm.nih.gov/protein/304361734","Ppfia1")</f>
        <v>Ppfia1</v>
      </c>
      <c r="E5709" t="str">
        <f>HYPERLINK("J:\Depot - mpkCCD Fractions\Main Web Page\Web Pages_old\proteomic_fractions_linear_files/Yang_linear_img/304361734.jpg","show blot")</f>
        <v>show blot</v>
      </c>
      <c r="G5709" t="s">
        <v>5498</v>
      </c>
      <c r="I5709" s="6">
        <v>3.1565642938321541</v>
      </c>
      <c r="K5709" s="8"/>
    </row>
    <row r="5710" spans="1:11" ht="15" x14ac:dyDescent="0.25">
      <c r="A5710" s="3" t="str">
        <f>HYPERLINK("proteomic_fractions_linear_files/Yang_linear_img/281371356.jpg", "281371356")</f>
        <v>281371356</v>
      </c>
      <c r="C5710" s="3" t="str">
        <f>HYPERLINK("http://www.ncbi.nlm.nih.gov/protein/281371356","Ppfibp1")</f>
        <v>Ppfibp1</v>
      </c>
      <c r="E5710" t="str">
        <f>HYPERLINK("J:\Depot - mpkCCD Fractions\Main Web Page\Web Pages_old\proteomic_fractions_linear_files/Yang_linear_img/281371356.jpg","show blot")</f>
        <v>show blot</v>
      </c>
      <c r="G5710" t="s">
        <v>5499</v>
      </c>
      <c r="I5710" s="6">
        <v>3.8016585029303882</v>
      </c>
      <c r="K5710" s="8"/>
    </row>
    <row r="5711" spans="1:11" ht="15" x14ac:dyDescent="0.25">
      <c r="A5711" s="3" t="str">
        <f>HYPERLINK("proteomic_fractions_linear_files/Yang_linear_img/49274606.jpg", "49274606")</f>
        <v>49274606</v>
      </c>
      <c r="C5711" s="3" t="str">
        <f>HYPERLINK("http://www.ncbi.nlm.nih.gov/protein/49274606","Ppfibp1")</f>
        <v>Ppfibp1</v>
      </c>
      <c r="E5711" t="str">
        <f>HYPERLINK("J:\Depot - mpkCCD Fractions\Main Web Page\Web Pages_old\proteomic_fractions_linear_files/Yang_linear_img/49274606.jpg","show blot")</f>
        <v>show blot</v>
      </c>
      <c r="G5711" t="s">
        <v>5500</v>
      </c>
      <c r="I5711" s="6">
        <v>3.8016585029303882</v>
      </c>
      <c r="K5711" s="8"/>
    </row>
    <row r="5712" spans="1:11" ht="15" x14ac:dyDescent="0.25">
      <c r="A5712" s="3" t="str">
        <f>HYPERLINK("proteomic_fractions_linear_files/Yang_linear_img/6679439.jpg", "6679439")</f>
        <v>6679439</v>
      </c>
      <c r="C5712" s="3" t="str">
        <f>HYPERLINK("http://www.ncbi.nlm.nih.gov/protein/6679439","Ppia")</f>
        <v>Ppia</v>
      </c>
      <c r="E5712" t="str">
        <f>HYPERLINK("J:\Depot - mpkCCD Fractions\Main Web Page\Web Pages_old\proteomic_fractions_linear_files/Yang_linear_img/6679439.jpg","show blot")</f>
        <v>show blot</v>
      </c>
      <c r="G5712" t="s">
        <v>5501</v>
      </c>
      <c r="I5712" s="6">
        <v>7.5249724462542238</v>
      </c>
      <c r="K5712" s="8"/>
    </row>
    <row r="5713" spans="1:11" ht="15" x14ac:dyDescent="0.25">
      <c r="A5713" s="3" t="str">
        <f>HYPERLINK("proteomic_fractions_linear_files/Yang_linear_img/71774133.jpg", "71774133")</f>
        <v>71774133</v>
      </c>
      <c r="C5713" s="3" t="str">
        <f>HYPERLINK("http://www.ncbi.nlm.nih.gov/protein/71774133","Ppib")</f>
        <v>Ppib</v>
      </c>
      <c r="E5713" t="str">
        <f>HYPERLINK("J:\Depot - mpkCCD Fractions\Main Web Page\Web Pages_old\proteomic_fractions_linear_files/Yang_linear_img/71774133.jpg","show blot")</f>
        <v>show blot</v>
      </c>
      <c r="G5713" t="s">
        <v>5502</v>
      </c>
      <c r="I5713" s="6">
        <v>6.6996284982169714</v>
      </c>
      <c r="K5713" s="8"/>
    </row>
    <row r="5714" spans="1:11" ht="15" x14ac:dyDescent="0.25">
      <c r="A5714" s="3" t="str">
        <f>HYPERLINK("proteomic_fractions_linear_files/Yang_linear_img/6679441.jpg", "6679441")</f>
        <v>6679441</v>
      </c>
      <c r="C5714" s="3" t="str">
        <f>HYPERLINK("http://www.ncbi.nlm.nih.gov/protein/6679441","Ppic")</f>
        <v>Ppic</v>
      </c>
      <c r="E5714" t="str">
        <f>HYPERLINK("J:\Depot - mpkCCD Fractions\Main Web Page\Web Pages_old\proteomic_fractions_linear_files/Yang_linear_img/6679441.jpg","show blot")</f>
        <v>show blot</v>
      </c>
      <c r="G5714" t="s">
        <v>5503</v>
      </c>
      <c r="I5714" s="6">
        <v>4.6342925819743597</v>
      </c>
      <c r="K5714" s="8"/>
    </row>
    <row r="5715" spans="1:11" ht="15" x14ac:dyDescent="0.25">
      <c r="A5715" s="3" t="str">
        <f>HYPERLINK("proteomic_fractions_linear_files/Yang_linear_img/13385854.jpg", "13385854")</f>
        <v>13385854</v>
      </c>
      <c r="C5715" s="3" t="str">
        <f>HYPERLINK("http://www.ncbi.nlm.nih.gov/protein/13385854","Ppid")</f>
        <v>Ppid</v>
      </c>
      <c r="E5715" t="str">
        <f>HYPERLINK("J:\Depot - mpkCCD Fractions\Main Web Page\Web Pages_old\proteomic_fractions_linear_files/Yang_linear_img/13385854.jpg","show blot")</f>
        <v>show blot</v>
      </c>
      <c r="G5715" t="s">
        <v>5504</v>
      </c>
      <c r="I5715" s="6">
        <v>6.1604450423539605</v>
      </c>
      <c r="K5715" s="8"/>
    </row>
    <row r="5716" spans="1:11" ht="15" x14ac:dyDescent="0.25">
      <c r="A5716" s="3" t="str">
        <f>HYPERLINK("proteomic_fractions_linear_files/Yang_linear_img/14196340.jpg", "14196340")</f>
        <v>14196340</v>
      </c>
      <c r="C5716" s="3" t="str">
        <f>HYPERLINK("http://www.ncbi.nlm.nih.gov/protein/14196340","Ppie")</f>
        <v>Ppie</v>
      </c>
      <c r="E5716" t="str">
        <f>HYPERLINK("J:\Depot - mpkCCD Fractions\Main Web Page\Web Pages_old\proteomic_fractions_linear_files/Yang_linear_img/14196340.jpg","show blot")</f>
        <v>show blot</v>
      </c>
      <c r="G5716" t="s">
        <v>5505</v>
      </c>
      <c r="I5716" s="6">
        <v>4.082863594805354</v>
      </c>
      <c r="K5716" s="8"/>
    </row>
    <row r="5717" spans="1:11" ht="15" x14ac:dyDescent="0.25">
      <c r="A5717" s="3" t="str">
        <f>HYPERLINK("proteomic_fractions_linear_files/Yang_linear_img/19527310.jpg", "19527310")</f>
        <v>19527310</v>
      </c>
      <c r="C5717" s="3" t="str">
        <f>HYPERLINK("http://www.ncbi.nlm.nih.gov/protein/19527310","Ppif")</f>
        <v>Ppif</v>
      </c>
      <c r="E5717" t="str">
        <f>HYPERLINK("J:\Depot - mpkCCD Fractions\Main Web Page\Web Pages_old\proteomic_fractions_linear_files/Yang_linear_img/19527310.jpg","show blot")</f>
        <v>show blot</v>
      </c>
      <c r="G5717" t="s">
        <v>5506</v>
      </c>
      <c r="I5717" s="6">
        <v>4.6333134956426223</v>
      </c>
      <c r="K5717" s="8"/>
    </row>
    <row r="5718" spans="1:11" ht="15" x14ac:dyDescent="0.25">
      <c r="A5718" s="3" t="str">
        <f>HYPERLINK("proteomic_fractions_linear_files/Yang_linear_img/124487333.jpg", "124487333")</f>
        <v>124487333</v>
      </c>
      <c r="C5718" s="3" t="str">
        <f>HYPERLINK("http://www.ncbi.nlm.nih.gov/protein/124487333","Ppig")</f>
        <v>Ppig</v>
      </c>
      <c r="E5718" t="str">
        <f>HYPERLINK("J:\Depot - mpkCCD Fractions\Main Web Page\Web Pages_old\proteomic_fractions_linear_files/Yang_linear_img/124487333.jpg","show blot")</f>
        <v>show blot</v>
      </c>
      <c r="G5718" t="s">
        <v>5507</v>
      </c>
      <c r="I5718" s="6">
        <v>3.8653301259784074</v>
      </c>
      <c r="K5718" s="8"/>
    </row>
    <row r="5719" spans="1:11" ht="15" x14ac:dyDescent="0.25">
      <c r="A5719" s="3" t="str">
        <f>HYPERLINK("proteomic_fractions_linear_files/Yang_linear_img/158631196.jpg", "158631196")</f>
        <v>158631196</v>
      </c>
      <c r="C5719" s="3" t="str">
        <f>HYPERLINK("http://www.ncbi.nlm.nih.gov/protein/158631196","Ppih")</f>
        <v>Ppih</v>
      </c>
      <c r="E5719" t="str">
        <f>HYPERLINK("J:\Depot - mpkCCD Fractions\Main Web Page\Web Pages_old\proteomic_fractions_linear_files/Yang_linear_img/158631196.jpg","show blot")</f>
        <v>show blot</v>
      </c>
      <c r="G5719" t="s">
        <v>5508</v>
      </c>
      <c r="I5719" s="6">
        <v>5.260487988817184</v>
      </c>
      <c r="K5719" s="8"/>
    </row>
    <row r="5720" spans="1:11" ht="15" x14ac:dyDescent="0.25">
      <c r="A5720" s="3" t="str">
        <f>HYPERLINK("proteomic_fractions_linear_files/Yang_linear_img/21312022.jpg", "21312022")</f>
        <v>21312022</v>
      </c>
      <c r="C5720" s="3" t="str">
        <f>HYPERLINK("http://www.ncbi.nlm.nih.gov/protein/21312022","Ppih")</f>
        <v>Ppih</v>
      </c>
      <c r="E5720" t="str">
        <f>HYPERLINK("J:\Depot - mpkCCD Fractions\Main Web Page\Web Pages_old\proteomic_fractions_linear_files/Yang_linear_img/21312022.jpg","show blot")</f>
        <v>show blot</v>
      </c>
      <c r="G5720" t="s">
        <v>5509</v>
      </c>
      <c r="I5720" s="6">
        <v>5.260487988817184</v>
      </c>
      <c r="K5720" s="8"/>
    </row>
    <row r="5721" spans="1:11" ht="15" x14ac:dyDescent="0.25">
      <c r="A5721" s="3" t="str">
        <f>HYPERLINK("proteomic_fractions_linear_files/Yang_linear_img/21312784.jpg", "21312784")</f>
        <v>21312784</v>
      </c>
      <c r="C5721" s="3" t="str">
        <f>HYPERLINK("http://www.ncbi.nlm.nih.gov/protein/21312784","Ppil1")</f>
        <v>Ppil1</v>
      </c>
      <c r="E5721" t="str">
        <f>HYPERLINK("J:\Depot - mpkCCD Fractions\Main Web Page\Web Pages_old\proteomic_fractions_linear_files/Yang_linear_img/21312784.jpg","show blot")</f>
        <v>show blot</v>
      </c>
      <c r="G5721" t="s">
        <v>5510</v>
      </c>
      <c r="I5721" s="6">
        <v>5.9063837978606095</v>
      </c>
      <c r="K5721" s="8"/>
    </row>
    <row r="5722" spans="1:11" ht="15" x14ac:dyDescent="0.25">
      <c r="A5722" s="3" t="str">
        <f>HYPERLINK("proteomic_fractions_linear_files/Yang_linear_img/356995944;30025020.jpg", "356995944;30025020")</f>
        <v>356995944;30025020</v>
      </c>
      <c r="C5722" s="3" t="str">
        <f>HYPERLINK("http://www.ncbi.nlm.nih.gov/protein/356995944;30025020","Ppil2")</f>
        <v>Ppil2</v>
      </c>
      <c r="E5722" t="str">
        <f>HYPERLINK("J:\Depot - mpkCCD Fractions\Main Web Page\Web Pages_old\proteomic_fractions_linear_files/Yang_linear_img/356995944;30025020.jpg","show blot")</f>
        <v>show blot</v>
      </c>
      <c r="G5722" t="s">
        <v>5511</v>
      </c>
      <c r="I5722" s="6">
        <v>3.8450685953224322</v>
      </c>
      <c r="K5722" s="8"/>
    </row>
    <row r="5723" spans="1:11" ht="15" x14ac:dyDescent="0.25">
      <c r="A5723" s="3" t="str">
        <f>HYPERLINK("proteomic_fractions_linear_files/Yang_linear_img/30025020.jpg", "30025020")</f>
        <v>30025020</v>
      </c>
      <c r="C5723" s="3" t="str">
        <f>HYPERLINK("http://www.ncbi.nlm.nih.gov/protein/30025020","Ppil2")</f>
        <v>Ppil2</v>
      </c>
      <c r="E5723" t="str">
        <f>HYPERLINK("J:\Depot - mpkCCD Fractions\Main Web Page\Web Pages_old\proteomic_fractions_linear_files/Yang_linear_img/30025020.jpg","show blot")</f>
        <v>show blot</v>
      </c>
      <c r="G5723" t="s">
        <v>5511</v>
      </c>
      <c r="I5723" s="6">
        <v>3.8450685953224322</v>
      </c>
      <c r="K5723" s="8"/>
    </row>
    <row r="5724" spans="1:11" ht="15" x14ac:dyDescent="0.25">
      <c r="A5724" s="3" t="str">
        <f>HYPERLINK("proteomic_fractions_linear_files/Yang_linear_img/169790966.jpg", "169790966")</f>
        <v>169790966</v>
      </c>
      <c r="C5724" s="3" t="str">
        <f>HYPERLINK("http://www.ncbi.nlm.nih.gov/protein/169790966","Ppil3")</f>
        <v>Ppil3</v>
      </c>
      <c r="E5724" t="str">
        <f>HYPERLINK("J:\Depot - mpkCCD Fractions\Main Web Page\Web Pages_old\proteomic_fractions_linear_files/Yang_linear_img/169790966.jpg","show blot")</f>
        <v>show blot</v>
      </c>
      <c r="G5724" t="s">
        <v>5512</v>
      </c>
      <c r="I5724" s="6">
        <v>3.9701524068396168</v>
      </c>
      <c r="K5724" s="8"/>
    </row>
    <row r="5725" spans="1:11" ht="15" x14ac:dyDescent="0.25">
      <c r="A5725" s="3" t="str">
        <f>HYPERLINK("proteomic_fractions_linear_files/Yang_linear_img/21746159.jpg", "21746159")</f>
        <v>21746159</v>
      </c>
      <c r="C5725" s="3" t="str">
        <f>HYPERLINK("http://www.ncbi.nlm.nih.gov/protein/21746159","Ppil3")</f>
        <v>Ppil3</v>
      </c>
      <c r="E5725" t="str">
        <f>HYPERLINK("J:\Depot - mpkCCD Fractions\Main Web Page\Web Pages_old\proteomic_fractions_linear_files/Yang_linear_img/21746159.jpg","show blot")</f>
        <v>show blot</v>
      </c>
      <c r="G5725" t="s">
        <v>5513</v>
      </c>
      <c r="I5725" s="6">
        <v>3.9701524068396168</v>
      </c>
      <c r="K5725" s="8"/>
    </row>
    <row r="5726" spans="1:11" ht="15" x14ac:dyDescent="0.25">
      <c r="A5726" s="3" t="str">
        <f>HYPERLINK("proteomic_fractions_linear_files/Yang_linear_img/165972339.jpg", "165972339")</f>
        <v>165972339</v>
      </c>
      <c r="C5726" s="3" t="str">
        <f>HYPERLINK("http://www.ncbi.nlm.nih.gov/protein/165972339","Ppil4")</f>
        <v>Ppil4</v>
      </c>
      <c r="E5726" t="str">
        <f>HYPERLINK("J:\Depot - mpkCCD Fractions\Main Web Page\Web Pages_old\proteomic_fractions_linear_files/Yang_linear_img/165972339.jpg","show blot")</f>
        <v>show blot</v>
      </c>
      <c r="G5726" t="s">
        <v>5514</v>
      </c>
      <c r="I5726" s="6">
        <v>3.8050209409610574</v>
      </c>
      <c r="K5726" s="8"/>
    </row>
    <row r="5727" spans="1:11" ht="15" x14ac:dyDescent="0.25">
      <c r="A5727" s="3" t="str">
        <f>HYPERLINK("proteomic_fractions_linear_files/Yang_linear_img/145207986.jpg", "145207986")</f>
        <v>145207986</v>
      </c>
      <c r="C5727" s="3" t="str">
        <f>HYPERLINK("http://www.ncbi.nlm.nih.gov/protein/145207986","Ppip5k1")</f>
        <v>Ppip5k1</v>
      </c>
      <c r="E5727" t="str">
        <f>HYPERLINK("J:\Depot - mpkCCD Fractions\Main Web Page\Web Pages_old\proteomic_fractions_linear_files/Yang_linear_img/145207986.jpg","show blot")</f>
        <v>show blot</v>
      </c>
      <c r="G5727" t="s">
        <v>5515</v>
      </c>
      <c r="I5727" s="6">
        <v>2.2297655320381149</v>
      </c>
      <c r="K5727" s="8"/>
    </row>
    <row r="5728" spans="1:11" ht="15" x14ac:dyDescent="0.25">
      <c r="A5728" s="3" t="str">
        <f>HYPERLINK("proteomic_fractions_linear_files/Yang_linear_img/166706913.jpg", "166706913")</f>
        <v>166706913</v>
      </c>
      <c r="C5728" s="3" t="str">
        <f>HYPERLINK("http://www.ncbi.nlm.nih.gov/protein/166706913","Ppip5k2")</f>
        <v>Ppip5k2</v>
      </c>
      <c r="E5728" t="str">
        <f>HYPERLINK("J:\Depot - mpkCCD Fractions\Main Web Page\Web Pages_old\proteomic_fractions_linear_files/Yang_linear_img/166706913.jpg","show blot")</f>
        <v>show blot</v>
      </c>
      <c r="G5728" t="s">
        <v>5516</v>
      </c>
      <c r="I5728" s="6">
        <v>2.401645957243955</v>
      </c>
      <c r="K5728" s="8"/>
    </row>
    <row r="5729" spans="1:11" ht="15" x14ac:dyDescent="0.25">
      <c r="A5729" s="3" t="str">
        <f>HYPERLINK("proteomic_fractions_linear_files/Yang_linear_img/112421039.jpg", "112421039")</f>
        <v>112421039</v>
      </c>
      <c r="C5729" s="3" t="str">
        <f>HYPERLINK("http://www.ncbi.nlm.nih.gov/protein/112421039","Ppl")</f>
        <v>Ppl</v>
      </c>
      <c r="E5729" t="str">
        <f>HYPERLINK("J:\Depot - mpkCCD Fractions\Main Web Page\Web Pages_old\proteomic_fractions_linear_files/Yang_linear_img/112421039.jpg","show blot")</f>
        <v>show blot</v>
      </c>
      <c r="G5729" t="s">
        <v>5517</v>
      </c>
      <c r="I5729" s="6">
        <v>5.7997248877753229</v>
      </c>
      <c r="K5729" s="8"/>
    </row>
    <row r="5730" spans="1:11" ht="15" x14ac:dyDescent="0.25">
      <c r="A5730" s="3" t="str">
        <f>HYPERLINK("proteomic_fractions_linear_files/Yang_linear_img/6679443.jpg", "6679443")</f>
        <v>6679443</v>
      </c>
      <c r="C5730" s="3" t="str">
        <f>HYPERLINK("http://www.ncbi.nlm.nih.gov/protein/6679443","Ppm1a")</f>
        <v>Ppm1a</v>
      </c>
      <c r="E5730" t="str">
        <f>HYPERLINK("J:\Depot - mpkCCD Fractions\Main Web Page\Web Pages_old\proteomic_fractions_linear_files/Yang_linear_img/6679443.jpg","show blot")</f>
        <v>show blot</v>
      </c>
      <c r="G5730" t="s">
        <v>5518</v>
      </c>
      <c r="I5730" s="6">
        <v>5.1539532855868897</v>
      </c>
      <c r="K5730" s="8"/>
    </row>
    <row r="5731" spans="1:11" ht="15" x14ac:dyDescent="0.25">
      <c r="A5731" s="3" t="str">
        <f>HYPERLINK("proteomic_fractions_linear_files/Yang_linear_img/226958356.jpg", "226958356")</f>
        <v>226958356</v>
      </c>
      <c r="C5731" s="3" t="str">
        <f>HYPERLINK("http://www.ncbi.nlm.nih.gov/protein/226958356","Ppm1b")</f>
        <v>Ppm1b</v>
      </c>
      <c r="E5731" t="str">
        <f>HYPERLINK("J:\Depot - mpkCCD Fractions\Main Web Page\Web Pages_old\proteomic_fractions_linear_files/Yang_linear_img/226958356.jpg","show blot")</f>
        <v>show blot</v>
      </c>
      <c r="G5731" t="s">
        <v>5519</v>
      </c>
      <c r="I5731" s="6">
        <v>5.1566828900704893</v>
      </c>
      <c r="K5731" s="8"/>
    </row>
    <row r="5732" spans="1:11" ht="15" x14ac:dyDescent="0.25">
      <c r="A5732" s="3" t="str">
        <f>HYPERLINK("proteomic_fractions_linear_files/Yang_linear_img/226958358.jpg", "226958358")</f>
        <v>226958358</v>
      </c>
      <c r="C5732" s="3" t="str">
        <f>HYPERLINK("http://www.ncbi.nlm.nih.gov/protein/226958358","Ppm1b")</f>
        <v>Ppm1b</v>
      </c>
      <c r="E5732" t="str">
        <f>HYPERLINK("J:\Depot - mpkCCD Fractions\Main Web Page\Web Pages_old\proteomic_fractions_linear_files/Yang_linear_img/226958358.jpg","show blot")</f>
        <v>show blot</v>
      </c>
      <c r="G5732" t="s">
        <v>5520</v>
      </c>
      <c r="I5732" s="6">
        <v>5.1566828900704893</v>
      </c>
      <c r="K5732" s="8"/>
    </row>
    <row r="5733" spans="1:11" ht="15" x14ac:dyDescent="0.25">
      <c r="A5733" s="3" t="str">
        <f>HYPERLINK("proteomic_fractions_linear_files/Yang_linear_img/33859600.jpg", "33859600")</f>
        <v>33859600</v>
      </c>
      <c r="C5733" s="3" t="str">
        <f>HYPERLINK("http://www.ncbi.nlm.nih.gov/protein/33859600","Ppm1b")</f>
        <v>Ppm1b</v>
      </c>
      <c r="E5733" t="str">
        <f>HYPERLINK("J:\Depot - mpkCCD Fractions\Main Web Page\Web Pages_old\proteomic_fractions_linear_files/Yang_linear_img/33859600.jpg","show blot")</f>
        <v>show blot</v>
      </c>
      <c r="G5733" t="s">
        <v>5521</v>
      </c>
      <c r="I5733" s="6">
        <v>5.1566828900704893</v>
      </c>
      <c r="K5733" s="8"/>
    </row>
    <row r="5734" spans="1:11" ht="15" x14ac:dyDescent="0.25">
      <c r="A5734" s="3" t="str">
        <f>HYPERLINK("proteomic_fractions_linear_files/Yang_linear_img/226958354.jpg", "226958354")</f>
        <v>226958354</v>
      </c>
      <c r="C5734" s="3" t="str">
        <f>HYPERLINK("http://www.ncbi.nlm.nih.gov/protein/226958354","Ppm1b")</f>
        <v>Ppm1b</v>
      </c>
      <c r="E5734" t="str">
        <f>HYPERLINK("J:\Depot - mpkCCD Fractions\Main Web Page\Web Pages_old\proteomic_fractions_linear_files/Yang_linear_img/226958354.jpg","show blot")</f>
        <v>show blot</v>
      </c>
      <c r="G5734" t="s">
        <v>5522</v>
      </c>
      <c r="I5734" s="6">
        <v>5.1566828900704893</v>
      </c>
      <c r="K5734" s="8"/>
    </row>
    <row r="5735" spans="1:11" ht="15" x14ac:dyDescent="0.25">
      <c r="A5735" s="3" t="str">
        <f>HYPERLINK("proteomic_fractions_linear_files/Yang_linear_img/28849881.jpg", "28849881")</f>
        <v>28849881</v>
      </c>
      <c r="C5735" s="3" t="str">
        <f>HYPERLINK("http://www.ncbi.nlm.nih.gov/protein/28849881","Ppm1f")</f>
        <v>Ppm1f</v>
      </c>
      <c r="E5735" t="str">
        <f>HYPERLINK("J:\Depot - mpkCCD Fractions\Main Web Page\Web Pages_old\proteomic_fractions_linear_files/Yang_linear_img/28849881.jpg","show blot")</f>
        <v>show blot</v>
      </c>
      <c r="G5735" t="s">
        <v>5523</v>
      </c>
      <c r="I5735" s="6">
        <v>4.7497104775757721</v>
      </c>
      <c r="K5735" s="8"/>
    </row>
    <row r="5736" spans="1:11" ht="15" x14ac:dyDescent="0.25">
      <c r="A5736" s="3" t="str">
        <f>HYPERLINK("proteomic_fractions_linear_files/Yang_linear_img/6679793.jpg", "6679793")</f>
        <v>6679793</v>
      </c>
      <c r="C5736" s="3" t="str">
        <f>HYPERLINK("http://www.ncbi.nlm.nih.gov/protein/6679793","Ppm1g")</f>
        <v>Ppm1g</v>
      </c>
      <c r="E5736" t="str">
        <f>HYPERLINK("J:\Depot - mpkCCD Fractions\Main Web Page\Web Pages_old\proteomic_fractions_linear_files/Yang_linear_img/6679793.jpg","show blot")</f>
        <v>show blot</v>
      </c>
      <c r="G5736" t="s">
        <v>5524</v>
      </c>
      <c r="I5736" s="6">
        <v>5.4780361679105578</v>
      </c>
      <c r="K5736" s="8"/>
    </row>
    <row r="5737" spans="1:11" ht="15" x14ac:dyDescent="0.25">
      <c r="A5737" s="3" t="str">
        <f>HYPERLINK("proteomic_fractions_linear_files/Yang_linear_img/160358864.jpg", "160358864")</f>
        <v>160358864</v>
      </c>
      <c r="C5737" s="3" t="str">
        <f>HYPERLINK("http://www.ncbi.nlm.nih.gov/protein/160358864","Ppm1h")</f>
        <v>Ppm1h</v>
      </c>
      <c r="E5737" t="str">
        <f>HYPERLINK("J:\Depot - mpkCCD Fractions\Main Web Page\Web Pages_old\proteomic_fractions_linear_files/Yang_linear_img/160358864.jpg","show blot")</f>
        <v>show blot</v>
      </c>
      <c r="G5737" t="s">
        <v>5525</v>
      </c>
      <c r="I5737" s="6">
        <v>3.4318373844556014</v>
      </c>
      <c r="K5737" s="8"/>
    </row>
    <row r="5738" spans="1:11" ht="15" x14ac:dyDescent="0.25">
      <c r="A5738" s="3" t="str">
        <f>HYPERLINK("proteomic_fractions_linear_files/Yang_linear_img/160358866.jpg", "160358866")</f>
        <v>160358866</v>
      </c>
      <c r="C5738" s="3" t="str">
        <f>HYPERLINK("http://www.ncbi.nlm.nih.gov/protein/160358866","Ppm1h")</f>
        <v>Ppm1h</v>
      </c>
      <c r="E5738" t="str">
        <f>HYPERLINK("J:\Depot - mpkCCD Fractions\Main Web Page\Web Pages_old\proteomic_fractions_linear_files/Yang_linear_img/160358866.jpg","show blot")</f>
        <v>show blot</v>
      </c>
      <c r="G5738" t="s">
        <v>5526</v>
      </c>
      <c r="I5738" s="6">
        <v>3.4318373844556014</v>
      </c>
      <c r="K5738" s="8"/>
    </row>
    <row r="5739" spans="1:11" ht="15" x14ac:dyDescent="0.25">
      <c r="A5739" s="3" t="str">
        <f>HYPERLINK("proteomic_fractions_linear_files/Yang_linear_img/66392585.jpg", "66392585")</f>
        <v>66392585</v>
      </c>
      <c r="C5739" s="3" t="str">
        <f>HYPERLINK("http://www.ncbi.nlm.nih.gov/protein/66392585","Ppm1l")</f>
        <v>Ppm1l</v>
      </c>
      <c r="E5739" t="str">
        <f>HYPERLINK("J:\Depot - mpkCCD Fractions\Main Web Page\Web Pages_old\proteomic_fractions_linear_files/Yang_linear_img/66392585.jpg","show blot")</f>
        <v>show blot</v>
      </c>
      <c r="G5739" t="s">
        <v>5527</v>
      </c>
      <c r="I5739" s="6">
        <v>2.1662007629525588</v>
      </c>
      <c r="K5739" s="8"/>
    </row>
    <row r="5740" spans="1:11" ht="15" x14ac:dyDescent="0.25">
      <c r="A5740" s="3" t="str">
        <f>HYPERLINK("proteomic_fractions_linear_files/Yang_linear_img/30794138.jpg", "30794138")</f>
        <v>30794138</v>
      </c>
      <c r="C5740" s="3" t="str">
        <f>HYPERLINK("http://www.ncbi.nlm.nih.gov/protein/30794138","Ppme1")</f>
        <v>Ppme1</v>
      </c>
      <c r="E5740" t="str">
        <f>HYPERLINK("J:\Depot - mpkCCD Fractions\Main Web Page\Web Pages_old\proteomic_fractions_linear_files/Yang_linear_img/30794138.jpg","show blot")</f>
        <v>show blot</v>
      </c>
      <c r="G5740" t="s">
        <v>5528</v>
      </c>
      <c r="I5740" s="6">
        <v>4.8688109656682599</v>
      </c>
      <c r="K5740" s="8"/>
    </row>
    <row r="5741" spans="1:11" ht="15" x14ac:dyDescent="0.25">
      <c r="A5741" s="3" t="str">
        <f>HYPERLINK("proteomic_fractions_linear_files/Yang_linear_img/6679445.jpg", "6679445")</f>
        <v>6679445</v>
      </c>
      <c r="C5741" s="3" t="str">
        <f>HYPERLINK("http://www.ncbi.nlm.nih.gov/protein/6679445","Ppox")</f>
        <v>Ppox</v>
      </c>
      <c r="E5741" t="str">
        <f>HYPERLINK("J:\Depot - mpkCCD Fractions\Main Web Page\Web Pages_old\proteomic_fractions_linear_files/Yang_linear_img/6679445.jpg","show blot")</f>
        <v>show blot</v>
      </c>
      <c r="G5741" t="s">
        <v>5529</v>
      </c>
      <c r="I5741" s="6">
        <v>3.9061983456729634</v>
      </c>
      <c r="K5741" s="8"/>
    </row>
    <row r="5742" spans="1:11" ht="15" x14ac:dyDescent="0.25">
      <c r="A5742" s="3" t="str">
        <f>HYPERLINK("proteomic_fractions_linear_files/Yang_linear_img/13994195.jpg", "13994195")</f>
        <v>13994195</v>
      </c>
      <c r="C5742" s="3" t="str">
        <f>HYPERLINK("http://www.ncbi.nlm.nih.gov/protein/13994195","Ppp1ca")</f>
        <v>Ppp1ca</v>
      </c>
      <c r="E5742" t="str">
        <f>HYPERLINK("J:\Depot - mpkCCD Fractions\Main Web Page\Web Pages_old\proteomic_fractions_linear_files/Yang_linear_img/13994195.jpg","show blot")</f>
        <v>show blot</v>
      </c>
      <c r="G5742" t="s">
        <v>5530</v>
      </c>
      <c r="I5742" s="6">
        <v>6.6475498684690084</v>
      </c>
      <c r="K5742" s="8"/>
    </row>
    <row r="5743" spans="1:11" ht="15" x14ac:dyDescent="0.25">
      <c r="A5743" s="3" t="str">
        <f>HYPERLINK("proteomic_fractions_linear_files/Yang_linear_img/161484668.jpg", "161484668")</f>
        <v>161484668</v>
      </c>
      <c r="C5743" s="3" t="str">
        <f>HYPERLINK("http://www.ncbi.nlm.nih.gov/protein/161484668","Ppp1cb")</f>
        <v>Ppp1cb</v>
      </c>
      <c r="E5743" t="str">
        <f>HYPERLINK("J:\Depot - mpkCCD Fractions\Main Web Page\Web Pages_old\proteomic_fractions_linear_files/Yang_linear_img/161484668.jpg","show blot")</f>
        <v>show blot</v>
      </c>
      <c r="G5743" t="s">
        <v>5531</v>
      </c>
      <c r="I5743" s="6">
        <v>6.6395270740990453</v>
      </c>
      <c r="K5743" s="8"/>
    </row>
    <row r="5744" spans="1:11" ht="15" x14ac:dyDescent="0.25">
      <c r="A5744" s="3" t="str">
        <f>HYPERLINK("proteomic_fractions_linear_files/Yang_linear_img/31980772.jpg", "31980772")</f>
        <v>31980772</v>
      </c>
      <c r="C5744" s="3" t="str">
        <f>HYPERLINK("http://www.ncbi.nlm.nih.gov/protein/31980772","Ppp1cc")</f>
        <v>Ppp1cc</v>
      </c>
      <c r="E5744" t="str">
        <f>HYPERLINK("J:\Depot - mpkCCD Fractions\Main Web Page\Web Pages_old\proteomic_fractions_linear_files/Yang_linear_img/31980772.jpg","show blot")</f>
        <v>show blot</v>
      </c>
      <c r="G5744" t="s">
        <v>5532</v>
      </c>
      <c r="I5744" s="6">
        <v>6.5710112709619546</v>
      </c>
      <c r="K5744" s="8"/>
    </row>
    <row r="5745" spans="1:11" ht="15" x14ac:dyDescent="0.25">
      <c r="A5745" s="3" t="str">
        <f>HYPERLINK("proteomic_fractions_linear_files/Yang_linear_img/255308881.jpg", "255308881")</f>
        <v>255308881</v>
      </c>
      <c r="C5745" s="3" t="str">
        <f>HYPERLINK("http://www.ncbi.nlm.nih.gov/protein/255308881","Ppp1r10")</f>
        <v>Ppp1r10</v>
      </c>
      <c r="E5745" t="str">
        <f>HYPERLINK("J:\Depot - mpkCCD Fractions\Main Web Page\Web Pages_old\proteomic_fractions_linear_files/Yang_linear_img/255308881.jpg","show blot")</f>
        <v>show blot</v>
      </c>
      <c r="G5745" t="s">
        <v>5533</v>
      </c>
      <c r="I5745" s="6">
        <v>1.4596811514334695</v>
      </c>
      <c r="K5745" s="8"/>
    </row>
    <row r="5746" spans="1:11" ht="15" x14ac:dyDescent="0.25">
      <c r="A5746" s="3" t="str">
        <f>HYPERLINK("proteomic_fractions_linear_files/Yang_linear_img/18390327.jpg", "18390327")</f>
        <v>18390327</v>
      </c>
      <c r="C5746" s="3" t="str">
        <f>HYPERLINK("http://www.ncbi.nlm.nih.gov/protein/18390327","Ppp1r11")</f>
        <v>Ppp1r11</v>
      </c>
      <c r="E5746" t="str">
        <f>HYPERLINK("J:\Depot - mpkCCD Fractions\Main Web Page\Web Pages_old\proteomic_fractions_linear_files/Yang_linear_img/18390327.jpg","show blot")</f>
        <v>show blot</v>
      </c>
      <c r="G5746" t="s">
        <v>5534</v>
      </c>
      <c r="I5746" s="6">
        <v>4.422177790643854</v>
      </c>
      <c r="K5746" s="8"/>
    </row>
    <row r="5747" spans="1:11" ht="15" x14ac:dyDescent="0.25">
      <c r="A5747" s="3" t="str">
        <f>HYPERLINK("proteomic_fractions_linear_files/Yang_linear_img/95772123.jpg", "95772123")</f>
        <v>95772123</v>
      </c>
      <c r="C5747" s="3" t="str">
        <f>HYPERLINK("http://www.ncbi.nlm.nih.gov/protein/95772123","Ppp1r12a")</f>
        <v>Ppp1r12a</v>
      </c>
      <c r="E5747" t="str">
        <f>HYPERLINK("J:\Depot - mpkCCD Fractions\Main Web Page\Web Pages_old\proteomic_fractions_linear_files/Yang_linear_img/95772123.jpg","show blot")</f>
        <v>show blot</v>
      </c>
      <c r="G5747" t="s">
        <v>5535</v>
      </c>
      <c r="I5747" s="6">
        <v>4.4607987675906751</v>
      </c>
      <c r="K5747" s="8"/>
    </row>
    <row r="5748" spans="1:11" ht="15" x14ac:dyDescent="0.25">
      <c r="A5748" s="3" t="str">
        <f>HYPERLINK("proteomic_fractions_linear_files/Yang_linear_img/124486803.jpg", "124486803")</f>
        <v>124486803</v>
      </c>
      <c r="C5748" s="3" t="str">
        <f>HYPERLINK("http://www.ncbi.nlm.nih.gov/protein/124486803","Ppp1r12b")</f>
        <v>Ppp1r12b</v>
      </c>
      <c r="E5748" t="str">
        <f>HYPERLINK("J:\Depot - mpkCCD Fractions\Main Web Page\Web Pages_old\proteomic_fractions_linear_files/Yang_linear_img/124486803.jpg","show blot")</f>
        <v>show blot</v>
      </c>
      <c r="G5748" t="s">
        <v>5536</v>
      </c>
      <c r="I5748" s="6">
        <v>3.7110739252399192</v>
      </c>
      <c r="K5748" s="8"/>
    </row>
    <row r="5749" spans="1:11" ht="15" x14ac:dyDescent="0.25">
      <c r="A5749" s="3" t="str">
        <f>HYPERLINK("proteomic_fractions_linear_files/Yang_linear_img/45592936.jpg", "45592936")</f>
        <v>45592936</v>
      </c>
      <c r="C5749" s="3" t="str">
        <f>HYPERLINK("http://www.ncbi.nlm.nih.gov/protein/45592936","Ppp1r13b")</f>
        <v>Ppp1r13b</v>
      </c>
      <c r="E5749" t="str">
        <f>HYPERLINK("J:\Depot - mpkCCD Fractions\Main Web Page\Web Pages_old\proteomic_fractions_linear_files/Yang_linear_img/45592936.jpg","show blot")</f>
        <v>show blot</v>
      </c>
      <c r="G5749" t="s">
        <v>5537</v>
      </c>
      <c r="I5749" s="6">
        <v>5.1756047233471429</v>
      </c>
      <c r="K5749" s="8"/>
    </row>
    <row r="5750" spans="1:11" ht="15" x14ac:dyDescent="0.25">
      <c r="A5750" s="3" t="str">
        <f>HYPERLINK("proteomic_fractions_linear_files/Yang_linear_img/58082069.jpg", "58082069")</f>
        <v>58082069</v>
      </c>
      <c r="C5750" s="3" t="str">
        <f>HYPERLINK("http://www.ncbi.nlm.nih.gov/protein/58082069","Ppp1r13l")</f>
        <v>Ppp1r13l</v>
      </c>
      <c r="E5750" t="str">
        <f>HYPERLINK("J:\Depot - mpkCCD Fractions\Main Web Page\Web Pages_old\proteomic_fractions_linear_files/Yang_linear_img/58082069.jpg","show blot")</f>
        <v>show blot</v>
      </c>
      <c r="G5750" t="s">
        <v>5538</v>
      </c>
      <c r="I5750" s="6">
        <v>2.3818848152221745</v>
      </c>
      <c r="K5750" s="8"/>
    </row>
    <row r="5751" spans="1:11" ht="15" x14ac:dyDescent="0.25">
      <c r="A5751" s="3" t="str">
        <f>HYPERLINK("proteomic_fractions_linear_files/Yang_linear_img/62122946.jpg", "62122946")</f>
        <v>62122946</v>
      </c>
      <c r="C5751" s="3" t="str">
        <f>HYPERLINK("http://www.ncbi.nlm.nih.gov/protein/62122946","Ppp1r14b")</f>
        <v>Ppp1r14b</v>
      </c>
      <c r="E5751" t="str">
        <f>HYPERLINK("J:\Depot - mpkCCD Fractions\Main Web Page\Web Pages_old\proteomic_fractions_linear_files/Yang_linear_img/62122946.jpg","show blot")</f>
        <v>show blot</v>
      </c>
      <c r="G5751" t="s">
        <v>5539</v>
      </c>
      <c r="I5751" s="6">
        <v>4.5096158201449779</v>
      </c>
      <c r="K5751" s="8"/>
    </row>
    <row r="5752" spans="1:11" ht="15" x14ac:dyDescent="0.25">
      <c r="A5752" s="3" t="str">
        <f>HYPERLINK("proteomic_fractions_linear_files/Yang_linear_img/226443075;226443079.jpg", "226443075;226443079")</f>
        <v>226443075;226443079</v>
      </c>
      <c r="C5752" s="3" t="str">
        <f>HYPERLINK("http://www.ncbi.nlm.nih.gov/protein/226443075;226443079","Ppp1r18")</f>
        <v>Ppp1r18</v>
      </c>
      <c r="E5752" t="str">
        <f>HYPERLINK("J:\Depot - mpkCCD Fractions\Main Web Page\Web Pages_old\proteomic_fractions_linear_files/Yang_linear_img/226443075;226443079.jpg","show blot")</f>
        <v>show blot</v>
      </c>
      <c r="G5752" t="s">
        <v>5540</v>
      </c>
      <c r="I5752" s="6">
        <v>3.2255597639871003</v>
      </c>
      <c r="K5752" s="8"/>
    </row>
    <row r="5753" spans="1:11" ht="15" x14ac:dyDescent="0.25">
      <c r="A5753" s="3" t="str">
        <f>HYPERLINK("proteomic_fractions_linear_files/Yang_linear_img/21536256.jpg", "21536256")</f>
        <v>21536256</v>
      </c>
      <c r="C5753" s="3" t="str">
        <f>HYPERLINK("http://www.ncbi.nlm.nih.gov/protein/21536256","Ppp1r1b")</f>
        <v>Ppp1r1b</v>
      </c>
      <c r="E5753" t="str">
        <f>HYPERLINK("J:\Depot - mpkCCD Fractions\Main Web Page\Web Pages_old\proteomic_fractions_linear_files/Yang_linear_img/21536256.jpg","show blot")</f>
        <v>show blot</v>
      </c>
      <c r="G5753" t="s">
        <v>5541</v>
      </c>
      <c r="I5753" s="6">
        <v>2.0005738637740231</v>
      </c>
      <c r="K5753" s="8"/>
    </row>
    <row r="5754" spans="1:11" ht="15" x14ac:dyDescent="0.25">
      <c r="A5754" s="3" t="str">
        <f>HYPERLINK("proteomic_fractions_linear_files/Yang_linear_img/18859587.jpg", "18859587")</f>
        <v>18859587</v>
      </c>
      <c r="C5754" s="3" t="str">
        <f>HYPERLINK("http://www.ncbi.nlm.nih.gov/protein/18859587","Ppp1r2")</f>
        <v>Ppp1r2</v>
      </c>
      <c r="E5754" t="str">
        <f>HYPERLINK("J:\Depot - mpkCCD Fractions\Main Web Page\Web Pages_old\proteomic_fractions_linear_files/Yang_linear_img/18859587.jpg","show blot")</f>
        <v>show blot</v>
      </c>
      <c r="G5754" t="s">
        <v>5542</v>
      </c>
      <c r="I5754" s="6">
        <v>2.1168386595762505</v>
      </c>
      <c r="K5754" s="8"/>
    </row>
    <row r="5755" spans="1:11" ht="15" x14ac:dyDescent="0.25">
      <c r="A5755" s="3" t="str">
        <f>HYPERLINK("proteomic_fractions_linear_files/Yang_linear_img/254911014.jpg", "254911014")</f>
        <v>254911014</v>
      </c>
      <c r="C5755" s="3" t="str">
        <f>HYPERLINK("http://www.ncbi.nlm.nih.gov/protein/254911014","Ppp1r21")</f>
        <v>Ppp1r21</v>
      </c>
      <c r="E5755" t="str">
        <f>HYPERLINK("J:\Depot - mpkCCD Fractions\Main Web Page\Web Pages_old\proteomic_fractions_linear_files/Yang_linear_img/254911014.jpg","show blot")</f>
        <v>show blot</v>
      </c>
      <c r="G5755" t="s">
        <v>5543</v>
      </c>
      <c r="I5755" s="6">
        <v>3.8861110931074268</v>
      </c>
      <c r="K5755" s="8"/>
    </row>
    <row r="5756" spans="1:11" ht="15" x14ac:dyDescent="0.25">
      <c r="A5756" s="3" t="str">
        <f>HYPERLINK("proteomic_fractions_linear_files/Yang_linear_img/12963569.jpg", "12963569")</f>
        <v>12963569</v>
      </c>
      <c r="C5756" s="3" t="str">
        <f>HYPERLINK("http://www.ncbi.nlm.nih.gov/protein/12963569","Ppp1r7")</f>
        <v>Ppp1r7</v>
      </c>
      <c r="E5756" t="str">
        <f>HYPERLINK("J:\Depot - mpkCCD Fractions\Main Web Page\Web Pages_old\proteomic_fractions_linear_files/Yang_linear_img/12963569.jpg","show blot")</f>
        <v>show blot</v>
      </c>
      <c r="G5756" t="s">
        <v>5544</v>
      </c>
      <c r="I5756" s="6">
        <v>6.016362638857335</v>
      </c>
      <c r="K5756" s="8"/>
    </row>
    <row r="5757" spans="1:11" ht="15" x14ac:dyDescent="0.25">
      <c r="A5757" s="3" t="str">
        <f>HYPERLINK("proteomic_fractions_linear_files/Yang_linear_img/22122685.jpg", "22122685")</f>
        <v>22122685</v>
      </c>
      <c r="C5757" s="3" t="str">
        <f>HYPERLINK("http://www.ncbi.nlm.nih.gov/protein/22122685","Ppp1r8")</f>
        <v>Ppp1r8</v>
      </c>
      <c r="E5757" t="str">
        <f>HYPERLINK("J:\Depot - mpkCCD Fractions\Main Web Page\Web Pages_old\proteomic_fractions_linear_files/Yang_linear_img/22122685.jpg","show blot")</f>
        <v>show blot</v>
      </c>
      <c r="G5757" t="s">
        <v>5545</v>
      </c>
      <c r="I5757" s="6">
        <v>4.0136329502883132</v>
      </c>
      <c r="K5757" s="8"/>
    </row>
    <row r="5758" spans="1:11" ht="15" x14ac:dyDescent="0.25">
      <c r="A5758" s="3" t="str">
        <f>HYPERLINK("proteomic_fractions_linear_files/Yang_linear_img/31711997.jpg", "31711997")</f>
        <v>31711997</v>
      </c>
      <c r="C5758" s="3" t="str">
        <f>HYPERLINK("http://www.ncbi.nlm.nih.gov/protein/31711997","Ppp1r9a")</f>
        <v>Ppp1r9a</v>
      </c>
      <c r="E5758" t="str">
        <f>HYPERLINK("J:\Depot - mpkCCD Fractions\Main Web Page\Web Pages_old\proteomic_fractions_linear_files/Yang_linear_img/31711997.jpg","show blot")</f>
        <v>show blot</v>
      </c>
      <c r="G5758" t="s">
        <v>5546</v>
      </c>
      <c r="I5758" s="6">
        <v>4.4249230805049811</v>
      </c>
      <c r="K5758" s="8"/>
    </row>
    <row r="5759" spans="1:11" ht="15" x14ac:dyDescent="0.25">
      <c r="A5759" s="3" t="str">
        <f>HYPERLINK("proteomic_fractions_linear_files/Yang_linear_img/50053703.jpg", "50053703")</f>
        <v>50053703</v>
      </c>
      <c r="C5759" s="3" t="str">
        <f>HYPERLINK("http://www.ncbi.nlm.nih.gov/protein/50053703","Ppp1r9b")</f>
        <v>Ppp1r9b</v>
      </c>
      <c r="E5759" t="str">
        <f>HYPERLINK("J:\Depot - mpkCCD Fractions\Main Web Page\Web Pages_old\proteomic_fractions_linear_files/Yang_linear_img/50053703.jpg","show blot")</f>
        <v>show blot</v>
      </c>
      <c r="G5759" t="s">
        <v>5547</v>
      </c>
      <c r="I5759" s="6">
        <v>4.565558020374116</v>
      </c>
      <c r="K5759" s="8"/>
    </row>
    <row r="5760" spans="1:11" ht="15" x14ac:dyDescent="0.25">
      <c r="A5760" s="3" t="str">
        <f>HYPERLINK("proteomic_fractions_linear_files/Yang_linear_img/9506983.jpg", "9506983")</f>
        <v>9506983</v>
      </c>
      <c r="C5760" s="3" t="str">
        <f>HYPERLINK("http://www.ncbi.nlm.nih.gov/protein/9506983","Ppp2ca")</f>
        <v>Ppp2ca</v>
      </c>
      <c r="E5760" t="str">
        <f>HYPERLINK("J:\Depot - mpkCCD Fractions\Main Web Page\Web Pages_old\proteomic_fractions_linear_files/Yang_linear_img/9506983.jpg","show blot")</f>
        <v>show blot</v>
      </c>
      <c r="G5760" t="s">
        <v>5548</v>
      </c>
      <c r="I5760" s="6">
        <v>6.1435231740339944</v>
      </c>
      <c r="K5760" s="8"/>
    </row>
    <row r="5761" spans="1:11" ht="15" x14ac:dyDescent="0.25">
      <c r="A5761" s="3" t="str">
        <f>HYPERLINK("proteomic_fractions_linear_files/Yang_linear_img/8394024.jpg", "8394024")</f>
        <v>8394024</v>
      </c>
      <c r="C5761" s="3" t="str">
        <f>HYPERLINK("http://www.ncbi.nlm.nih.gov/protein/8394024","Ppp2cb")</f>
        <v>Ppp2cb</v>
      </c>
      <c r="E5761" t="str">
        <f>HYPERLINK("J:\Depot - mpkCCD Fractions\Main Web Page\Web Pages_old\proteomic_fractions_linear_files/Yang_linear_img/8394024.jpg","show blot")</f>
        <v>show blot</v>
      </c>
      <c r="G5761" t="s">
        <v>5549</v>
      </c>
      <c r="I5761" s="6">
        <v>6.1346551268111558</v>
      </c>
      <c r="K5761" s="8"/>
    </row>
    <row r="5762" spans="1:11" ht="15" x14ac:dyDescent="0.25">
      <c r="A5762" s="3" t="str">
        <f>HYPERLINK("proteomic_fractions_linear_files/Yang_linear_img/8394027.jpg", "8394027")</f>
        <v>8394027</v>
      </c>
      <c r="C5762" s="3" t="str">
        <f>HYPERLINK("http://www.ncbi.nlm.nih.gov/protein/8394027","Ppp2r1a")</f>
        <v>Ppp2r1a</v>
      </c>
      <c r="E5762" t="str">
        <f>HYPERLINK("J:\Depot - mpkCCD Fractions\Main Web Page\Web Pages_old\proteomic_fractions_linear_files/Yang_linear_img/8394027.jpg","show blot")</f>
        <v>show blot</v>
      </c>
      <c r="G5762" t="s">
        <v>5550</v>
      </c>
      <c r="I5762" s="6">
        <v>6.1750786487379887</v>
      </c>
      <c r="K5762" s="8"/>
    </row>
    <row r="5763" spans="1:11" ht="15" x14ac:dyDescent="0.25">
      <c r="A5763" s="3" t="str">
        <f>HYPERLINK("proteomic_fractions_linear_files/Yang_linear_img/557440787.jpg", "557440787")</f>
        <v>557440787</v>
      </c>
      <c r="C5763" s="3" t="str">
        <f>HYPERLINK("http://www.ncbi.nlm.nih.gov/protein/557440787","Ppp2r1b")</f>
        <v>Ppp2r1b</v>
      </c>
      <c r="E5763" t="str">
        <f>HYPERLINK("J:\Depot - mpkCCD Fractions\Main Web Page\Web Pages_old\proteomic_fractions_linear_files/Yang_linear_img/557440787.jpg","show blot")</f>
        <v>show blot</v>
      </c>
      <c r="G5763" t="s">
        <v>5551</v>
      </c>
      <c r="I5763" s="6">
        <v>5.2956247262921838</v>
      </c>
      <c r="K5763" s="8"/>
    </row>
    <row r="5764" spans="1:11" ht="15" x14ac:dyDescent="0.25">
      <c r="A5764" s="3" t="str">
        <f>HYPERLINK("proteomic_fractions_linear_files/Yang_linear_img/77539770.jpg", "77539770")</f>
        <v>77539770</v>
      </c>
      <c r="C5764" s="3" t="str">
        <f>HYPERLINK("http://www.ncbi.nlm.nih.gov/protein/77539770","Ppp2r1b")</f>
        <v>Ppp2r1b</v>
      </c>
      <c r="E5764" t="str">
        <f>HYPERLINK("J:\Depot - mpkCCD Fractions\Main Web Page\Web Pages_old\proteomic_fractions_linear_files/Yang_linear_img/77539770.jpg","show blot")</f>
        <v>show blot</v>
      </c>
      <c r="G5764" t="s">
        <v>5552</v>
      </c>
      <c r="I5764" s="6">
        <v>5.2956247262921838</v>
      </c>
      <c r="K5764" s="8"/>
    </row>
    <row r="5765" spans="1:11" ht="15" x14ac:dyDescent="0.25">
      <c r="A5765" s="3" t="str">
        <f>HYPERLINK("proteomic_fractions_linear_files/Yang_linear_img/77539776.jpg", "77539776")</f>
        <v>77539776</v>
      </c>
      <c r="C5765" s="3" t="str">
        <f>HYPERLINK("http://www.ncbi.nlm.nih.gov/protein/77539776","Ppp2r1b")</f>
        <v>Ppp2r1b</v>
      </c>
      <c r="E5765" t="str">
        <f>HYPERLINK("J:\Depot - mpkCCD Fractions\Main Web Page\Web Pages_old\proteomic_fractions_linear_files/Yang_linear_img/77539776.jpg","show blot")</f>
        <v>show blot</v>
      </c>
      <c r="G5765" t="s">
        <v>5553</v>
      </c>
      <c r="I5765" s="6">
        <v>5.2956247262921838</v>
      </c>
      <c r="K5765" s="8"/>
    </row>
    <row r="5766" spans="1:11" ht="15" x14ac:dyDescent="0.25">
      <c r="A5766" s="3" t="str">
        <f>HYPERLINK("proteomic_fractions_linear_files/Yang_linear_img/110625886.jpg", "110625886")</f>
        <v>110625886</v>
      </c>
      <c r="C5766" s="3" t="str">
        <f>HYPERLINK("http://www.ncbi.nlm.nih.gov/protein/110625886","Ppp2r2a")</f>
        <v>Ppp2r2a</v>
      </c>
      <c r="E5766" t="str">
        <f>HYPERLINK("J:\Depot - mpkCCD Fractions\Main Web Page\Web Pages_old\proteomic_fractions_linear_files/Yang_linear_img/110625886.jpg","show blot")</f>
        <v>show blot</v>
      </c>
      <c r="G5766" t="s">
        <v>5554</v>
      </c>
      <c r="I5766" s="6">
        <v>5.5720050023999566</v>
      </c>
      <c r="K5766" s="8"/>
    </row>
    <row r="5767" spans="1:11" ht="15" x14ac:dyDescent="0.25">
      <c r="A5767" s="3" t="str">
        <f>HYPERLINK("proteomic_fractions_linear_files/Yang_linear_img/327180707.jpg", "327180707")</f>
        <v>327180707</v>
      </c>
      <c r="C5767" s="3" t="str">
        <f>HYPERLINK("http://www.ncbi.nlm.nih.gov/protein/327180707","Ppp2r2a")</f>
        <v>Ppp2r2a</v>
      </c>
      <c r="E5767" t="str">
        <f>HYPERLINK("J:\Depot - mpkCCD Fractions\Main Web Page\Web Pages_old\proteomic_fractions_linear_files/Yang_linear_img/327180707.jpg","show blot")</f>
        <v>show blot</v>
      </c>
      <c r="G5767" t="s">
        <v>5555</v>
      </c>
      <c r="I5767" s="6">
        <v>5.5720050023999566</v>
      </c>
      <c r="K5767" s="8"/>
    </row>
    <row r="5768" spans="1:11" ht="15" x14ac:dyDescent="0.25">
      <c r="A5768" s="3" t="str">
        <f>HYPERLINK("proteomic_fractions_linear_files/Yang_linear_img/21312161.jpg", "21312161")</f>
        <v>21312161</v>
      </c>
      <c r="C5768" s="3" t="str">
        <f>HYPERLINK("http://www.ncbi.nlm.nih.gov/protein/21312161","Ppp2r2b")</f>
        <v>Ppp2r2b</v>
      </c>
      <c r="E5768" t="str">
        <f>HYPERLINK("J:\Depot - mpkCCD Fractions\Main Web Page\Web Pages_old\proteomic_fractions_linear_files/Yang_linear_img/21312161.jpg","show blot")</f>
        <v>show blot</v>
      </c>
      <c r="G5768" t="s">
        <v>5556</v>
      </c>
      <c r="I5768" s="6">
        <v>4.5056273125282598</v>
      </c>
      <c r="K5768" s="8"/>
    </row>
    <row r="5769" spans="1:11" ht="15" x14ac:dyDescent="0.25">
      <c r="A5769" s="3" t="str">
        <f>HYPERLINK("proteomic_fractions_linear_files/Yang_linear_img/27370502.jpg", "27370502")</f>
        <v>27370502</v>
      </c>
      <c r="C5769" s="3" t="str">
        <f>HYPERLINK("http://www.ncbi.nlm.nih.gov/protein/27370502","Ppp2r2c")</f>
        <v>Ppp2r2c</v>
      </c>
      <c r="E5769" t="str">
        <f>HYPERLINK("J:\Depot - mpkCCD Fractions\Main Web Page\Web Pages_old\proteomic_fractions_linear_files/Yang_linear_img/27370502.jpg","show blot")</f>
        <v>show blot</v>
      </c>
      <c r="G5769" t="s">
        <v>5557</v>
      </c>
      <c r="I5769" s="6">
        <v>4.8812258176213854</v>
      </c>
      <c r="K5769" s="8"/>
    </row>
    <row r="5770" spans="1:11" ht="15" x14ac:dyDescent="0.25">
      <c r="A5770" s="3" t="str">
        <f>HYPERLINK("proteomic_fractions_linear_files/Yang_linear_img/22726177.jpg", "22726177")</f>
        <v>22726177</v>
      </c>
      <c r="C5770" s="3" t="str">
        <f>HYPERLINK("http://www.ncbi.nlm.nih.gov/protein/22726177","Ppp2r2d")</f>
        <v>Ppp2r2d</v>
      </c>
      <c r="E5770" t="str">
        <f>HYPERLINK("J:\Depot - mpkCCD Fractions\Main Web Page\Web Pages_old\proteomic_fractions_linear_files/Yang_linear_img/22726177.jpg","show blot")</f>
        <v>show blot</v>
      </c>
      <c r="G5770" t="s">
        <v>5558</v>
      </c>
      <c r="I5770" s="6">
        <v>4.5056273125282598</v>
      </c>
      <c r="K5770" s="8"/>
    </row>
    <row r="5771" spans="1:11" ht="15" x14ac:dyDescent="0.25">
      <c r="A5771" s="3" t="str">
        <f>HYPERLINK("proteomic_fractions_linear_files/Yang_linear_img/254587947.jpg", "254587947")</f>
        <v>254587947</v>
      </c>
      <c r="C5771" s="3" t="str">
        <f>HYPERLINK("http://www.ncbi.nlm.nih.gov/protein/254587947","Ppp2r4")</f>
        <v>Ppp2r4</v>
      </c>
      <c r="E5771" t="str">
        <f>HYPERLINK("J:\Depot - mpkCCD Fractions\Main Web Page\Web Pages_old\proteomic_fractions_linear_files/Yang_linear_img/254587947.jpg","show blot")</f>
        <v>show blot</v>
      </c>
      <c r="G5771" t="s">
        <v>5559</v>
      </c>
      <c r="I5771" s="6">
        <v>5.4142524594574803</v>
      </c>
      <c r="K5771" s="8"/>
    </row>
    <row r="5772" spans="1:11" ht="15" x14ac:dyDescent="0.25">
      <c r="A5772" s="3" t="str">
        <f>HYPERLINK("proteomic_fractions_linear_files/Yang_linear_img/47059051.jpg", "47059051")</f>
        <v>47059051</v>
      </c>
      <c r="C5772" s="3" t="str">
        <f>HYPERLINK("http://www.ncbi.nlm.nih.gov/protein/47059051","Ppp2r5a")</f>
        <v>Ppp2r5a</v>
      </c>
      <c r="E5772" t="str">
        <f>HYPERLINK("J:\Depot - mpkCCD Fractions\Main Web Page\Web Pages_old\proteomic_fractions_linear_files/Yang_linear_img/47059051.jpg","show blot")</f>
        <v>show blot</v>
      </c>
      <c r="G5772" t="s">
        <v>5560</v>
      </c>
      <c r="I5772" s="6">
        <v>4.8391425910894501</v>
      </c>
      <c r="K5772" s="8"/>
    </row>
    <row r="5773" spans="1:11" ht="15" x14ac:dyDescent="0.25">
      <c r="A5773" s="3" t="str">
        <f>HYPERLINK("proteomic_fractions_linear_files/Yang_linear_img/37718993.jpg", "37718993")</f>
        <v>37718993</v>
      </c>
      <c r="C5773" s="3" t="str">
        <f>HYPERLINK("http://www.ncbi.nlm.nih.gov/protein/37718993","Ppp2r5b")</f>
        <v>Ppp2r5b</v>
      </c>
      <c r="E5773" t="str">
        <f>HYPERLINK("J:\Depot - mpkCCD Fractions\Main Web Page\Web Pages_old\proteomic_fractions_linear_files/Yang_linear_img/37718993.jpg","show blot")</f>
        <v>show blot</v>
      </c>
      <c r="G5773" t="s">
        <v>5561</v>
      </c>
      <c r="I5773" s="6">
        <v>4.5240272519366611</v>
      </c>
      <c r="K5773" s="8"/>
    </row>
    <row r="5774" spans="1:11" ht="15" x14ac:dyDescent="0.25">
      <c r="A5774" s="3" t="str">
        <f>HYPERLINK("proteomic_fractions_linear_files/Yang_linear_img/125346006.jpg", "125346006")</f>
        <v>125346006</v>
      </c>
      <c r="C5774" s="3" t="str">
        <f>HYPERLINK("http://www.ncbi.nlm.nih.gov/protein/125346006","Ppp2r5c")</f>
        <v>Ppp2r5c</v>
      </c>
      <c r="E5774" t="str">
        <f>HYPERLINK("J:\Depot - mpkCCD Fractions\Main Web Page\Web Pages_old\proteomic_fractions_linear_files/Yang_linear_img/125346006.jpg","show blot")</f>
        <v>show blot</v>
      </c>
      <c r="G5774" t="s">
        <v>5562</v>
      </c>
      <c r="I5774" s="6">
        <v>4.6569696010101431</v>
      </c>
      <c r="K5774" s="8"/>
    </row>
    <row r="5775" spans="1:11" ht="15" x14ac:dyDescent="0.25">
      <c r="A5775" s="3" t="str">
        <f>HYPERLINK("proteomic_fractions_linear_files/Yang_linear_img/125346020.jpg", "125346020")</f>
        <v>125346020</v>
      </c>
      <c r="C5775" s="3" t="str">
        <f>HYPERLINK("http://www.ncbi.nlm.nih.gov/protein/125346020","Ppp2r5c")</f>
        <v>Ppp2r5c</v>
      </c>
      <c r="E5775" t="str">
        <f>HYPERLINK("J:\Depot - mpkCCD Fractions\Main Web Page\Web Pages_old\proteomic_fractions_linear_files/Yang_linear_img/125346020.jpg","show blot")</f>
        <v>show blot</v>
      </c>
      <c r="G5775" t="s">
        <v>5563</v>
      </c>
      <c r="I5775" s="6">
        <v>4.6569696010101431</v>
      </c>
      <c r="K5775" s="8"/>
    </row>
    <row r="5776" spans="1:11" ht="15" x14ac:dyDescent="0.25">
      <c r="A5776" s="3" t="str">
        <f>HYPERLINK("proteomic_fractions_linear_files/Yang_linear_img/125346154.jpg", "125346154")</f>
        <v>125346154</v>
      </c>
      <c r="C5776" s="3" t="str">
        <f>HYPERLINK("http://www.ncbi.nlm.nih.gov/protein/125346154","Ppp2r5c")</f>
        <v>Ppp2r5c</v>
      </c>
      <c r="E5776" t="str">
        <f>HYPERLINK("J:\Depot - mpkCCD Fractions\Main Web Page\Web Pages_old\proteomic_fractions_linear_files/Yang_linear_img/125346154.jpg","show blot")</f>
        <v>show blot</v>
      </c>
      <c r="G5776" t="s">
        <v>5564</v>
      </c>
      <c r="I5776" s="6">
        <v>4.6569696010101431</v>
      </c>
      <c r="K5776" s="8"/>
    </row>
    <row r="5777" spans="1:11" ht="15" x14ac:dyDescent="0.25">
      <c r="A5777" s="3" t="str">
        <f>HYPERLINK("proteomic_fractions_linear_files/Yang_linear_img/218751908.jpg", "218751908")</f>
        <v>218751908</v>
      </c>
      <c r="C5777" s="3" t="str">
        <f>HYPERLINK("http://www.ncbi.nlm.nih.gov/protein/218751908","Ppp2r5c")</f>
        <v>Ppp2r5c</v>
      </c>
      <c r="E5777" t="str">
        <f>HYPERLINK("J:\Depot - mpkCCD Fractions\Main Web Page\Web Pages_old\proteomic_fractions_linear_files/Yang_linear_img/218751908.jpg","show blot")</f>
        <v>show blot</v>
      </c>
      <c r="G5777" t="s">
        <v>5565</v>
      </c>
      <c r="I5777" s="6">
        <v>4.6569696010101431</v>
      </c>
      <c r="K5777" s="8"/>
    </row>
    <row r="5778" spans="1:11" ht="15" x14ac:dyDescent="0.25">
      <c r="A5778" s="3" t="str">
        <f>HYPERLINK("proteomic_fractions_linear_files/Yang_linear_img/33942059.jpg", "33942059")</f>
        <v>33942059</v>
      </c>
      <c r="C5778" s="3" t="str">
        <f>HYPERLINK("http://www.ncbi.nlm.nih.gov/protein/33942059","Ppp2r5d")</f>
        <v>Ppp2r5d</v>
      </c>
      <c r="E5778" t="str">
        <f>HYPERLINK("J:\Depot - mpkCCD Fractions\Main Web Page\Web Pages_old\proteomic_fractions_linear_files/Yang_linear_img/33942059.jpg","show blot")</f>
        <v>show blot</v>
      </c>
      <c r="G5778" t="s">
        <v>5566</v>
      </c>
      <c r="I5778" s="6">
        <v>4.9087184572304761</v>
      </c>
      <c r="K5778" s="8"/>
    </row>
    <row r="5779" spans="1:11" ht="15" x14ac:dyDescent="0.25">
      <c r="A5779" s="3" t="str">
        <f>HYPERLINK("proteomic_fractions_linear_files/Yang_linear_img/33859660.jpg", "33859660")</f>
        <v>33859660</v>
      </c>
      <c r="C5779" s="3" t="str">
        <f>HYPERLINK("http://www.ncbi.nlm.nih.gov/protein/33859660","Ppp2r5e")</f>
        <v>Ppp2r5e</v>
      </c>
      <c r="E5779" t="str">
        <f>HYPERLINK("J:\Depot - mpkCCD Fractions\Main Web Page\Web Pages_old\proteomic_fractions_linear_files/Yang_linear_img/33859660.jpg","show blot")</f>
        <v>show blot</v>
      </c>
      <c r="G5779" t="s">
        <v>5567</v>
      </c>
      <c r="I5779" s="6">
        <v>5.1555163878769701</v>
      </c>
      <c r="K5779" s="8"/>
    </row>
    <row r="5780" spans="1:11" ht="15" x14ac:dyDescent="0.25">
      <c r="A5780" s="3" t="str">
        <f>HYPERLINK("proteomic_fractions_linear_files/Yang_linear_img/42415473.jpg", "42415473")</f>
        <v>42415473</v>
      </c>
      <c r="C5780" s="3" t="str">
        <f>HYPERLINK("http://www.ncbi.nlm.nih.gov/protein/42415473","Ppp3ca")</f>
        <v>Ppp3ca</v>
      </c>
      <c r="E5780" t="str">
        <f>HYPERLINK("J:\Depot - mpkCCD Fractions\Main Web Page\Web Pages_old\proteomic_fractions_linear_files/Yang_linear_img/42415473.jpg","show blot")</f>
        <v>show blot</v>
      </c>
      <c r="G5780" t="s">
        <v>5568</v>
      </c>
      <c r="I5780" s="6">
        <v>5.1582314636550795</v>
      </c>
      <c r="K5780" s="8"/>
    </row>
    <row r="5781" spans="1:11" ht="15" x14ac:dyDescent="0.25">
      <c r="A5781" s="3" t="str">
        <f>HYPERLINK("proteomic_fractions_linear_files/Yang_linear_img/45592930.jpg", "45592930")</f>
        <v>45592930</v>
      </c>
      <c r="C5781" s="3" t="str">
        <f>HYPERLINK("http://www.ncbi.nlm.nih.gov/protein/45592930","Ppp3cb")</f>
        <v>Ppp3cb</v>
      </c>
      <c r="E5781" t="str">
        <f>HYPERLINK("J:\Depot - mpkCCD Fractions\Main Web Page\Web Pages_old\proteomic_fractions_linear_files/Yang_linear_img/45592930.jpg","show blot")</f>
        <v>show blot</v>
      </c>
      <c r="G5781" t="s">
        <v>5569</v>
      </c>
      <c r="I5781" s="6">
        <v>4.4774508625728089</v>
      </c>
      <c r="K5781" s="8"/>
    </row>
    <row r="5782" spans="1:11" ht="15" x14ac:dyDescent="0.25">
      <c r="A5782" s="3" t="str">
        <f>HYPERLINK("proteomic_fractions_linear_files/Yang_linear_img/6679447.jpg", "6679447")</f>
        <v>6679447</v>
      </c>
      <c r="C5782" s="3" t="str">
        <f>HYPERLINK("http://www.ncbi.nlm.nih.gov/protein/6679447","Ppp3cc")</f>
        <v>Ppp3cc</v>
      </c>
      <c r="E5782" t="str">
        <f>HYPERLINK("J:\Depot - mpkCCD Fractions\Main Web Page\Web Pages_old\proteomic_fractions_linear_files/Yang_linear_img/6679447.jpg","show blot")</f>
        <v>show blot</v>
      </c>
      <c r="G5782" t="s">
        <v>5570</v>
      </c>
      <c r="I5782" s="6">
        <v>4.234414525756538</v>
      </c>
      <c r="K5782" s="8"/>
    </row>
    <row r="5783" spans="1:11" ht="15" x14ac:dyDescent="0.25">
      <c r="A5783" s="3" t="str">
        <f>HYPERLINK("proteomic_fractions_linear_files/Yang_linear_img/84794597.jpg", "84794597")</f>
        <v>84794597</v>
      </c>
      <c r="C5783" s="3" t="str">
        <f>HYPERLINK("http://www.ncbi.nlm.nih.gov/protein/84794597","Ppp3r1")</f>
        <v>Ppp3r1</v>
      </c>
      <c r="E5783" t="str">
        <f>HYPERLINK("J:\Depot - mpkCCD Fractions\Main Web Page\Web Pages_old\proteomic_fractions_linear_files/Yang_linear_img/84794597.jpg","show blot")</f>
        <v>show blot</v>
      </c>
      <c r="G5783" t="s">
        <v>5571</v>
      </c>
      <c r="I5783" s="6">
        <v>3.8069700723434714</v>
      </c>
      <c r="K5783" s="8"/>
    </row>
    <row r="5784" spans="1:11" ht="15" x14ac:dyDescent="0.25">
      <c r="A5784" s="3" t="str">
        <f>HYPERLINK("proteomic_fractions_linear_files/Yang_linear_img/9790175.jpg", "9790175")</f>
        <v>9790175</v>
      </c>
      <c r="C5784" s="3" t="str">
        <f>HYPERLINK("http://www.ncbi.nlm.nih.gov/protein/9790175","Ppp4c")</f>
        <v>Ppp4c</v>
      </c>
      <c r="E5784" t="str">
        <f>HYPERLINK("J:\Depot - mpkCCD Fractions\Main Web Page\Web Pages_old\proteomic_fractions_linear_files/Yang_linear_img/9790175.jpg","show blot")</f>
        <v>show blot</v>
      </c>
      <c r="G5784" t="s">
        <v>5572</v>
      </c>
      <c r="I5784" s="6">
        <v>5.1537325677600307</v>
      </c>
      <c r="K5784" s="8"/>
    </row>
    <row r="5785" spans="1:11" ht="15" x14ac:dyDescent="0.25">
      <c r="A5785" s="3" t="str">
        <f>HYPERLINK("proteomic_fractions_linear_files/Yang_linear_img/166706860.jpg", "166706860")</f>
        <v>166706860</v>
      </c>
      <c r="C5785" s="3" t="str">
        <f>HYPERLINK("http://www.ncbi.nlm.nih.gov/protein/166706860","Ppp4r1")</f>
        <v>Ppp4r1</v>
      </c>
      <c r="E5785" t="str">
        <f>HYPERLINK("J:\Depot - mpkCCD Fractions\Main Web Page\Web Pages_old\proteomic_fractions_linear_files/Yang_linear_img/166706860.jpg","show blot")</f>
        <v>show blot</v>
      </c>
      <c r="G5785" t="s">
        <v>5573</v>
      </c>
      <c r="I5785" s="6">
        <v>4.5082891901926434</v>
      </c>
      <c r="K5785" s="8"/>
    </row>
    <row r="5786" spans="1:11" ht="15" x14ac:dyDescent="0.25">
      <c r="A5786" s="3" t="str">
        <f>HYPERLINK("proteomic_fractions_linear_files/Yang_linear_img/166706862.jpg", "166706862")</f>
        <v>166706862</v>
      </c>
      <c r="C5786" s="3" t="str">
        <f>HYPERLINK("http://www.ncbi.nlm.nih.gov/protein/166706862","Ppp4r1")</f>
        <v>Ppp4r1</v>
      </c>
      <c r="E5786" t="str">
        <f>HYPERLINK("J:\Depot - mpkCCD Fractions\Main Web Page\Web Pages_old\proteomic_fractions_linear_files/Yang_linear_img/166706862.jpg","show blot")</f>
        <v>show blot</v>
      </c>
      <c r="G5786" t="s">
        <v>5574</v>
      </c>
      <c r="I5786" s="6">
        <v>4.5082891901926434</v>
      </c>
      <c r="K5786" s="8"/>
    </row>
    <row r="5787" spans="1:11" ht="15" x14ac:dyDescent="0.25">
      <c r="A5787" s="3" t="str">
        <f>HYPERLINK("proteomic_fractions_linear_files/Yang_linear_img/33636709.jpg", "33636709")</f>
        <v>33636709</v>
      </c>
      <c r="C5787" s="3" t="str">
        <f>HYPERLINK("http://www.ncbi.nlm.nih.gov/protein/33636709","Ppp4r2")</f>
        <v>Ppp4r2</v>
      </c>
      <c r="E5787" t="str">
        <f>HYPERLINK("J:\Depot - mpkCCD Fractions\Main Web Page\Web Pages_old\proteomic_fractions_linear_files/Yang_linear_img/33636709.jpg","show blot")</f>
        <v>show blot</v>
      </c>
      <c r="G5787" t="s">
        <v>5575</v>
      </c>
      <c r="I5787" s="6">
        <v>5.2453642024797063</v>
      </c>
      <c r="K5787" s="8"/>
    </row>
    <row r="5788" spans="1:11" ht="15" x14ac:dyDescent="0.25">
      <c r="A5788" s="3" t="str">
        <f>HYPERLINK("proteomic_fractions_linear_files/Yang_linear_img/199559777.jpg", "199559777")</f>
        <v>199559777</v>
      </c>
      <c r="C5788" s="3" t="str">
        <f>HYPERLINK("http://www.ncbi.nlm.nih.gov/protein/199559777","Ppp5c")</f>
        <v>Ppp5c</v>
      </c>
      <c r="E5788" t="str">
        <f>HYPERLINK("J:\Depot - mpkCCD Fractions\Main Web Page\Web Pages_old\proteomic_fractions_linear_files/Yang_linear_img/199559777.jpg","show blot")</f>
        <v>show blot</v>
      </c>
      <c r="G5788" t="s">
        <v>5576</v>
      </c>
      <c r="I5788" s="6">
        <v>5.2114586944091794</v>
      </c>
      <c r="K5788" s="8"/>
    </row>
    <row r="5789" spans="1:11" ht="15" x14ac:dyDescent="0.25">
      <c r="A5789" s="3" t="str">
        <f>HYPERLINK("proteomic_fractions_linear_files/Yang_linear_img/21312758.jpg", "21312758")</f>
        <v>21312758</v>
      </c>
      <c r="C5789" s="3" t="str">
        <f>HYPERLINK("http://www.ncbi.nlm.nih.gov/protein/21312758","Ppp6c")</f>
        <v>Ppp6c</v>
      </c>
      <c r="E5789" t="str">
        <f>HYPERLINK("J:\Depot - mpkCCD Fractions\Main Web Page\Web Pages_old\proteomic_fractions_linear_files/Yang_linear_img/21312758.jpg","show blot")</f>
        <v>show blot</v>
      </c>
      <c r="G5789" t="s">
        <v>5577</v>
      </c>
      <c r="I5789" s="6">
        <v>5.2671717285846151</v>
      </c>
      <c r="K5789" s="8"/>
    </row>
    <row r="5790" spans="1:11" ht="15" x14ac:dyDescent="0.25">
      <c r="A5790" s="3" t="str">
        <f>HYPERLINK("proteomic_fractions_linear_files/Yang_linear_img/34536815.jpg", "34536815")</f>
        <v>34536815</v>
      </c>
      <c r="C5790" s="3" t="str">
        <f>HYPERLINK("http://www.ncbi.nlm.nih.gov/protein/34536815","Ppp6r1")</f>
        <v>Ppp6r1</v>
      </c>
      <c r="E5790" t="str">
        <f>HYPERLINK("J:\Depot - mpkCCD Fractions\Main Web Page\Web Pages_old\proteomic_fractions_linear_files/Yang_linear_img/34536815.jpg","show blot")</f>
        <v>show blot</v>
      </c>
      <c r="G5790" t="s">
        <v>5578</v>
      </c>
      <c r="I5790" s="6">
        <v>3.9847380497918712</v>
      </c>
      <c r="K5790" s="8"/>
    </row>
    <row r="5791" spans="1:11" ht="15" x14ac:dyDescent="0.25">
      <c r="A5791" s="3" t="str">
        <f>HYPERLINK("proteomic_fractions_linear_files/Yang_linear_img/28076987.jpg", "28076987")</f>
        <v>28076987</v>
      </c>
      <c r="C5791" s="3" t="str">
        <f>HYPERLINK("http://www.ncbi.nlm.nih.gov/protein/28076987","Ppp6r2")</f>
        <v>Ppp6r2</v>
      </c>
      <c r="E5791" t="str">
        <f>HYPERLINK("J:\Depot - mpkCCD Fractions\Main Web Page\Web Pages_old\proteomic_fractions_linear_files/Yang_linear_img/28076987.jpg","show blot")</f>
        <v>show blot</v>
      </c>
      <c r="G5791" t="s">
        <v>5579</v>
      </c>
      <c r="I5791" s="6">
        <v>4.1160602628162604</v>
      </c>
      <c r="K5791" s="8"/>
    </row>
    <row r="5792" spans="1:11" ht="15" x14ac:dyDescent="0.25">
      <c r="A5792" s="3" t="str">
        <f>HYPERLINK("proteomic_fractions_linear_files/Yang_linear_img/54145496.jpg", "54145496")</f>
        <v>54145496</v>
      </c>
      <c r="C5792" s="3" t="str">
        <f>HYPERLINK("http://www.ncbi.nlm.nih.gov/protein/54145496","Ppp6r2")</f>
        <v>Ppp6r2</v>
      </c>
      <c r="E5792" t="str">
        <f>HYPERLINK("J:\Depot - mpkCCD Fractions\Main Web Page\Web Pages_old\proteomic_fractions_linear_files/Yang_linear_img/54145496.jpg","show blot")</f>
        <v>show blot</v>
      </c>
      <c r="G5792" t="s">
        <v>5580</v>
      </c>
      <c r="I5792" s="6">
        <v>4.1160602628162604</v>
      </c>
      <c r="K5792" s="8"/>
    </row>
    <row r="5793" spans="1:11" ht="15" x14ac:dyDescent="0.25">
      <c r="A5793" s="3" t="str">
        <f>HYPERLINK("proteomic_fractions_linear_files/Yang_linear_img/22726197.jpg", "22726197")</f>
        <v>22726197</v>
      </c>
      <c r="C5793" s="3" t="str">
        <f>HYPERLINK("http://www.ncbi.nlm.nih.gov/protein/22726197","Ppp6r3")</f>
        <v>Ppp6r3</v>
      </c>
      <c r="E5793" t="str">
        <f>HYPERLINK("J:\Depot - mpkCCD Fractions\Main Web Page\Web Pages_old\proteomic_fractions_linear_files/Yang_linear_img/22726197.jpg","show blot")</f>
        <v>show blot</v>
      </c>
      <c r="G5793" t="s">
        <v>5581</v>
      </c>
      <c r="I5793" s="6">
        <v>5.3971090547636456</v>
      </c>
      <c r="K5793" s="8"/>
    </row>
    <row r="5794" spans="1:11" ht="15" x14ac:dyDescent="0.25">
      <c r="A5794" s="3" t="str">
        <f>HYPERLINK("proteomic_fractions_linear_files/Yang_linear_img/255918184.jpg", "255918184")</f>
        <v>255918184</v>
      </c>
      <c r="C5794" s="3" t="str">
        <f>HYPERLINK("http://www.ncbi.nlm.nih.gov/protein/255918184","Ppp6r3")</f>
        <v>Ppp6r3</v>
      </c>
      <c r="E5794" t="str">
        <f>HYPERLINK("J:\Depot - mpkCCD Fractions\Main Web Page\Web Pages_old\proteomic_fractions_linear_files/Yang_linear_img/255918184.jpg","show blot")</f>
        <v>show blot</v>
      </c>
      <c r="G5794" t="s">
        <v>5582</v>
      </c>
      <c r="I5794" s="6">
        <v>5.3971090547636456</v>
      </c>
      <c r="K5794" s="8"/>
    </row>
    <row r="5795" spans="1:11" ht="15" x14ac:dyDescent="0.25">
      <c r="A5795" s="3" t="str">
        <f>HYPERLINK("proteomic_fractions_linear_files/Yang_linear_img/255918186.jpg", "255918186")</f>
        <v>255918186</v>
      </c>
      <c r="C5795" s="3" t="str">
        <f>HYPERLINK("http://www.ncbi.nlm.nih.gov/protein/255918186","Ppp6r3")</f>
        <v>Ppp6r3</v>
      </c>
      <c r="E5795" t="str">
        <f>HYPERLINK("J:\Depot - mpkCCD Fractions\Main Web Page\Web Pages_old\proteomic_fractions_linear_files/Yang_linear_img/255918186.jpg","show blot")</f>
        <v>show blot</v>
      </c>
      <c r="G5795" t="s">
        <v>5583</v>
      </c>
      <c r="I5795" s="6">
        <v>5.3971090547636456</v>
      </c>
      <c r="K5795" s="8"/>
    </row>
    <row r="5796" spans="1:11" ht="15" x14ac:dyDescent="0.25">
      <c r="A5796" s="3" t="str">
        <f>HYPERLINK("proteomic_fractions_linear_files/Yang_linear_img/121674797.jpg", "121674797")</f>
        <v>121674797</v>
      </c>
      <c r="C5796" s="3" t="str">
        <f>HYPERLINK("http://www.ncbi.nlm.nih.gov/protein/121674797","Ppt1")</f>
        <v>Ppt1</v>
      </c>
      <c r="E5796" t="str">
        <f>HYPERLINK("J:\Depot - mpkCCD Fractions\Main Web Page\Web Pages_old\proteomic_fractions_linear_files/Yang_linear_img/121674797.jpg","show blot")</f>
        <v>show blot</v>
      </c>
      <c r="G5796" t="s">
        <v>5584</v>
      </c>
      <c r="I5796" s="6">
        <v>4.8880914668884072</v>
      </c>
      <c r="K5796" s="8"/>
    </row>
    <row r="5797" spans="1:11" ht="15" x14ac:dyDescent="0.25">
      <c r="A5797" s="3" t="str">
        <f>HYPERLINK("proteomic_fractions_linear_files/Yang_linear_img/9506985.jpg", "9506985")</f>
        <v>9506985</v>
      </c>
      <c r="C5797" s="3" t="str">
        <f>HYPERLINK("http://www.ncbi.nlm.nih.gov/protein/9506985","Ppt2")</f>
        <v>Ppt2</v>
      </c>
      <c r="E5797" t="str">
        <f>HYPERLINK("J:\Depot - mpkCCD Fractions\Main Web Page\Web Pages_old\proteomic_fractions_linear_files/Yang_linear_img/9506985.jpg","show blot")</f>
        <v>show blot</v>
      </c>
      <c r="G5797" t="s">
        <v>5585</v>
      </c>
      <c r="I5797" s="6">
        <v>3.7433634639187732</v>
      </c>
      <c r="K5797" s="8"/>
    </row>
    <row r="5798" spans="1:11" ht="15" x14ac:dyDescent="0.25">
      <c r="A5798" s="3" t="str">
        <f>HYPERLINK("proteomic_fractions_linear_files/Yang_linear_img/46195809.jpg", "46195809")</f>
        <v>46195809</v>
      </c>
      <c r="C5798" s="3" t="str">
        <f>HYPERLINK("http://www.ncbi.nlm.nih.gov/protein/46195809","Pptc7")</f>
        <v>Pptc7</v>
      </c>
      <c r="E5798" t="str">
        <f>HYPERLINK("J:\Depot - mpkCCD Fractions\Main Web Page\Web Pages_old\proteomic_fractions_linear_files/Yang_linear_img/46195809.jpg","show blot")</f>
        <v>show blot</v>
      </c>
      <c r="G5798" t="s">
        <v>5586</v>
      </c>
      <c r="I5798" s="6">
        <v>2.9776655042366245</v>
      </c>
      <c r="K5798" s="8"/>
    </row>
    <row r="5799" spans="1:11" ht="15" x14ac:dyDescent="0.25">
      <c r="A5799" s="3" t="str">
        <f>HYPERLINK("proteomic_fractions_linear_files/Yang_linear_img/255683299.jpg", "255683299")</f>
        <v>255683299</v>
      </c>
      <c r="C5799" s="3" t="str">
        <f>HYPERLINK("http://www.ncbi.nlm.nih.gov/protein/255683299","Ppwd1")</f>
        <v>Ppwd1</v>
      </c>
      <c r="E5799" t="str">
        <f>HYPERLINK("J:\Depot - mpkCCD Fractions\Main Web Page\Web Pages_old\proteomic_fractions_linear_files/Yang_linear_img/255683299.jpg","show blot")</f>
        <v>show blot</v>
      </c>
      <c r="G5799" t="s">
        <v>5587</v>
      </c>
      <c r="I5799" s="6">
        <v>3.031781460535127</v>
      </c>
      <c r="K5799" s="8"/>
    </row>
    <row r="5800" spans="1:11" ht="15" x14ac:dyDescent="0.25">
      <c r="A5800" s="3" t="str">
        <f>HYPERLINK("proteomic_fractions_linear_files/Yang_linear_img/238550113.jpg", "238550113")</f>
        <v>238550113</v>
      </c>
      <c r="C5800" s="3" t="str">
        <f>HYPERLINK("http://www.ncbi.nlm.nih.gov/protein/238550113","Pqlc3")</f>
        <v>Pqlc3</v>
      </c>
      <c r="E5800" t="str">
        <f>HYPERLINK("J:\Depot - mpkCCD Fractions\Main Web Page\Web Pages_old\proteomic_fractions_linear_files/Yang_linear_img/238550113.jpg","show blot")</f>
        <v>show blot</v>
      </c>
      <c r="G5800" t="s">
        <v>5588</v>
      </c>
      <c r="I5800" s="6">
        <v>3.1276071042735158</v>
      </c>
      <c r="K5800" s="8"/>
    </row>
    <row r="5801" spans="1:11" ht="15" x14ac:dyDescent="0.25">
      <c r="A5801" s="3" t="str">
        <f>HYPERLINK("proteomic_fractions_linear_files/Yang_linear_img/238550118.jpg", "238550118")</f>
        <v>238550118</v>
      </c>
      <c r="C5801" s="3" t="str">
        <f>HYPERLINK("http://www.ncbi.nlm.nih.gov/protein/238550118","Pqlc3")</f>
        <v>Pqlc3</v>
      </c>
      <c r="E5801" t="str">
        <f>HYPERLINK("J:\Depot - mpkCCD Fractions\Main Web Page\Web Pages_old\proteomic_fractions_linear_files/Yang_linear_img/238550118.jpg","show blot")</f>
        <v>show blot</v>
      </c>
      <c r="G5801" t="s">
        <v>5589</v>
      </c>
      <c r="I5801" s="6">
        <v>3.1276071042735158</v>
      </c>
      <c r="K5801" s="8"/>
    </row>
    <row r="5802" spans="1:11" ht="15" x14ac:dyDescent="0.25">
      <c r="A5802" s="3" t="str">
        <f>HYPERLINK("proteomic_fractions_linear_files/Yang_linear_img/254750692.jpg", "254750692")</f>
        <v>254750692</v>
      </c>
      <c r="C5802" s="3" t="str">
        <f>HYPERLINK("http://www.ncbi.nlm.nih.gov/protein/254750692","Pradc1")</f>
        <v>Pradc1</v>
      </c>
      <c r="E5802" t="str">
        <f>HYPERLINK("J:\Depot - mpkCCD Fractions\Main Web Page\Web Pages_old\proteomic_fractions_linear_files/Yang_linear_img/254750692.jpg","show blot")</f>
        <v>show blot</v>
      </c>
      <c r="G5802" t="s">
        <v>5590</v>
      </c>
      <c r="I5802" s="6">
        <v>1.5008428903049955</v>
      </c>
      <c r="K5802" s="8"/>
    </row>
    <row r="5803" spans="1:11" ht="15" x14ac:dyDescent="0.25">
      <c r="A5803" s="3" t="str">
        <f>HYPERLINK("proteomic_fractions_linear_files/Yang_linear_img/20070422.jpg", "20070422")</f>
        <v>20070422</v>
      </c>
      <c r="C5803" s="3" t="str">
        <f>HYPERLINK("http://www.ncbi.nlm.nih.gov/protein/20070422","Praf2")</f>
        <v>Praf2</v>
      </c>
      <c r="E5803" t="str">
        <f>HYPERLINK("J:\Depot - mpkCCD Fractions\Main Web Page\Web Pages_old\proteomic_fractions_linear_files/Yang_linear_img/20070422.jpg","show blot")</f>
        <v>show blot</v>
      </c>
      <c r="G5803" t="s">
        <v>5591</v>
      </c>
      <c r="I5803" s="6">
        <v>4.6545559753688703</v>
      </c>
      <c r="K5803" s="8"/>
    </row>
    <row r="5804" spans="1:11" ht="15" x14ac:dyDescent="0.25">
      <c r="A5804" s="3" t="str">
        <f>HYPERLINK("proteomic_fractions_linear_files/Yang_linear_img/255308896.jpg", "255308896")</f>
        <v>255308896</v>
      </c>
      <c r="C5804" s="3" t="str">
        <f>HYPERLINK("http://www.ncbi.nlm.nih.gov/protein/255308896","Pram1")</f>
        <v>Pram1</v>
      </c>
      <c r="E5804" t="str">
        <f>HYPERLINK("J:\Depot - mpkCCD Fractions\Main Web Page\Web Pages_old\proteomic_fractions_linear_files/Yang_linear_img/255308896.jpg","show blot")</f>
        <v>show blot</v>
      </c>
      <c r="G5804" t="s">
        <v>5592</v>
      </c>
      <c r="I5804" s="6">
        <v>2.2756030901378606</v>
      </c>
      <c r="K5804" s="8"/>
    </row>
    <row r="5805" spans="1:11" ht="15" x14ac:dyDescent="0.25">
      <c r="A5805" s="3" t="str">
        <f>HYPERLINK("proteomic_fractions_linear_files/Yang_linear_img/188219557.jpg", "188219557")</f>
        <v>188219557</v>
      </c>
      <c r="C5805" s="3" t="str">
        <f>HYPERLINK("http://www.ncbi.nlm.nih.gov/protein/188219557","Prc1")</f>
        <v>Prc1</v>
      </c>
      <c r="E5805" t="str">
        <f>HYPERLINK("J:\Depot - mpkCCD Fractions\Main Web Page\Web Pages_old\proteomic_fractions_linear_files/Yang_linear_img/188219557.jpg","show blot")</f>
        <v>show blot</v>
      </c>
      <c r="G5805" t="s">
        <v>5593</v>
      </c>
      <c r="I5805" s="6">
        <v>2.5081217391555595</v>
      </c>
      <c r="K5805" s="8"/>
    </row>
    <row r="5806" spans="1:11" ht="15" x14ac:dyDescent="0.25">
      <c r="A5806" s="3" t="str">
        <f>HYPERLINK("proteomic_fractions_linear_files/Yang_linear_img/33469015.jpg", "33469015")</f>
        <v>33469015</v>
      </c>
      <c r="C5806" s="3" t="str">
        <f>HYPERLINK("http://www.ncbi.nlm.nih.gov/protein/33469015","Prcp")</f>
        <v>Prcp</v>
      </c>
      <c r="E5806" t="str">
        <f>HYPERLINK("J:\Depot - mpkCCD Fractions\Main Web Page\Web Pages_old\proteomic_fractions_linear_files/Yang_linear_img/33469015.jpg","show blot")</f>
        <v>show blot</v>
      </c>
      <c r="G5806" t="s">
        <v>5594</v>
      </c>
      <c r="I5806" s="6">
        <v>4.5728646031133282</v>
      </c>
      <c r="K5806" s="8"/>
    </row>
    <row r="5807" spans="1:11" ht="15" x14ac:dyDescent="0.25">
      <c r="A5807" s="3" t="str">
        <f>HYPERLINK("proteomic_fractions_linear_files/Yang_linear_img/172073164.jpg", "172073164")</f>
        <v>172073164</v>
      </c>
      <c r="C5807" s="3" t="str">
        <f>HYPERLINK("http://www.ncbi.nlm.nih.gov/protein/172073164","Prdm1")</f>
        <v>Prdm1</v>
      </c>
      <c r="E5807" t="str">
        <f>HYPERLINK("J:\Depot - mpkCCD Fractions\Main Web Page\Web Pages_old\proteomic_fractions_linear_files/Yang_linear_img/172073164.jpg","show blot")</f>
        <v>show blot</v>
      </c>
      <c r="G5807" t="s">
        <v>5595</v>
      </c>
      <c r="I5807" s="6">
        <v>2.4338567606243622</v>
      </c>
      <c r="K5807" s="8"/>
    </row>
    <row r="5808" spans="1:11" ht="15" x14ac:dyDescent="0.25">
      <c r="A5808" s="3" t="str">
        <f>HYPERLINK("proteomic_fractions_linear_files/Yang_linear_img/294712532.jpg", "294712532")</f>
        <v>294712532</v>
      </c>
      <c r="C5808" s="3" t="str">
        <f>HYPERLINK("http://www.ncbi.nlm.nih.gov/protein/294712532","Prdm11")</f>
        <v>Prdm11</v>
      </c>
      <c r="E5808" t="str">
        <f>HYPERLINK("J:\Depot - mpkCCD Fractions\Main Web Page\Web Pages_old\proteomic_fractions_linear_files/Yang_linear_img/294712532.jpg","show blot")</f>
        <v>show blot</v>
      </c>
      <c r="G5808" t="s">
        <v>5596</v>
      </c>
      <c r="I5808" s="6">
        <v>3.1719725281450795</v>
      </c>
      <c r="K5808" s="8"/>
    </row>
    <row r="5809" spans="1:11" ht="15" x14ac:dyDescent="0.25">
      <c r="A5809" s="3" t="str">
        <f>HYPERLINK("proteomic_fractions_linear_files/Yang_linear_img/6754976.jpg", "6754976")</f>
        <v>6754976</v>
      </c>
      <c r="C5809" s="3" t="str">
        <f>HYPERLINK("http://www.ncbi.nlm.nih.gov/protein/6754976","Prdx1")</f>
        <v>Prdx1</v>
      </c>
      <c r="E5809" t="str">
        <f>HYPERLINK("J:\Depot - mpkCCD Fractions\Main Web Page\Web Pages_old\proteomic_fractions_linear_files/Yang_linear_img/6754976.jpg","show blot")</f>
        <v>show blot</v>
      </c>
      <c r="G5809" t="s">
        <v>5597</v>
      </c>
      <c r="I5809" s="6">
        <v>7.3453000973266001</v>
      </c>
      <c r="K5809" s="8"/>
    </row>
    <row r="5810" spans="1:11" ht="15" x14ac:dyDescent="0.25">
      <c r="A5810" s="3" t="str">
        <f>HYPERLINK("proteomic_fractions_linear_files/Yang_linear_img/148747558.jpg", "148747558")</f>
        <v>148747558</v>
      </c>
      <c r="C5810" s="3" t="str">
        <f>HYPERLINK("http://www.ncbi.nlm.nih.gov/protein/148747558","Prdx2")</f>
        <v>Prdx2</v>
      </c>
      <c r="E5810" t="str">
        <f>HYPERLINK("J:\Depot - mpkCCD Fractions\Main Web Page\Web Pages_old\proteomic_fractions_linear_files/Yang_linear_img/148747558.jpg","show blot")</f>
        <v>show blot</v>
      </c>
      <c r="G5810" t="s">
        <v>5598</v>
      </c>
      <c r="I5810" s="6">
        <v>6.640511836957165</v>
      </c>
      <c r="K5810" s="8"/>
    </row>
    <row r="5811" spans="1:11" ht="15" x14ac:dyDescent="0.25">
      <c r="A5811" s="3" t="str">
        <f>HYPERLINK("proteomic_fractions_linear_files/Yang_linear_img/6680690.jpg", "6680690")</f>
        <v>6680690</v>
      </c>
      <c r="C5811" s="3" t="str">
        <f>HYPERLINK("http://www.ncbi.nlm.nih.gov/protein/6680690","Prdx3")</f>
        <v>Prdx3</v>
      </c>
      <c r="E5811" t="str">
        <f>HYPERLINK("J:\Depot - mpkCCD Fractions\Main Web Page\Web Pages_old\proteomic_fractions_linear_files/Yang_linear_img/6680690.jpg","show blot")</f>
        <v>show blot</v>
      </c>
      <c r="G5811" t="s">
        <v>5599</v>
      </c>
      <c r="I5811" s="6">
        <v>6.5257829604483346</v>
      </c>
      <c r="K5811" s="8"/>
    </row>
    <row r="5812" spans="1:11" ht="15" x14ac:dyDescent="0.25">
      <c r="A5812" s="3" t="str">
        <f>HYPERLINK("proteomic_fractions_linear_files/Yang_linear_img/7948999.jpg", "7948999")</f>
        <v>7948999</v>
      </c>
      <c r="C5812" s="3" t="str">
        <f>HYPERLINK("http://www.ncbi.nlm.nih.gov/protein/7948999","Prdx4")</f>
        <v>Prdx4</v>
      </c>
      <c r="E5812" t="str">
        <f>HYPERLINK("J:\Depot - mpkCCD Fractions\Main Web Page\Web Pages_old\proteomic_fractions_linear_files/Yang_linear_img/7948999.jpg","show blot")</f>
        <v>show blot</v>
      </c>
      <c r="G5812" t="s">
        <v>5600</v>
      </c>
      <c r="I5812" s="6">
        <v>6.700793531247287</v>
      </c>
      <c r="K5812" s="8"/>
    </row>
    <row r="5813" spans="1:11" ht="15" x14ac:dyDescent="0.25">
      <c r="A5813" s="3" t="str">
        <f>HYPERLINK("proteomic_fractions_linear_files/Yang_linear_img/6755114.jpg", "6755114")</f>
        <v>6755114</v>
      </c>
      <c r="C5813" s="3" t="str">
        <f>HYPERLINK("http://www.ncbi.nlm.nih.gov/protein/6755114","Prdx5")</f>
        <v>Prdx5</v>
      </c>
      <c r="E5813" t="str">
        <f>HYPERLINK("J:\Depot - mpkCCD Fractions\Main Web Page\Web Pages_old\proteomic_fractions_linear_files/Yang_linear_img/6755114.jpg","show blot")</f>
        <v>show blot</v>
      </c>
      <c r="G5813" t="s">
        <v>5601</v>
      </c>
      <c r="I5813" s="6">
        <v>6.9049426454455984</v>
      </c>
      <c r="K5813" s="8"/>
    </row>
    <row r="5814" spans="1:11" ht="15" x14ac:dyDescent="0.25">
      <c r="A5814" s="3" t="str">
        <f>HYPERLINK("proteomic_fractions_linear_files/Yang_linear_img/6671549.jpg", "6671549")</f>
        <v>6671549</v>
      </c>
      <c r="C5814" s="3" t="str">
        <f>HYPERLINK("http://www.ncbi.nlm.nih.gov/protein/6671549","Prdx6")</f>
        <v>Prdx6</v>
      </c>
      <c r="E5814" t="str">
        <f>HYPERLINK("J:\Depot - mpkCCD Fractions\Main Web Page\Web Pages_old\proteomic_fractions_linear_files/Yang_linear_img/6671549.jpg","show blot")</f>
        <v>show blot</v>
      </c>
      <c r="G5814" t="s">
        <v>5602</v>
      </c>
      <c r="I5814" s="6">
        <v>6.7523448952320058</v>
      </c>
      <c r="K5814" s="8"/>
    </row>
    <row r="5815" spans="1:11" ht="15" x14ac:dyDescent="0.25">
      <c r="A5815" s="3" t="str">
        <f>HYPERLINK("proteomic_fractions_linear_files/Yang_linear_img/28916703.jpg", "28916703")</f>
        <v>28916703</v>
      </c>
      <c r="C5815" s="3" t="str">
        <f>HYPERLINK("http://www.ncbi.nlm.nih.gov/protein/28916703","Prdx6b")</f>
        <v>Prdx6b</v>
      </c>
      <c r="E5815" t="str">
        <f>HYPERLINK("J:\Depot - mpkCCD Fractions\Main Web Page\Web Pages_old\proteomic_fractions_linear_files/Yang_linear_img/28916703.jpg","show blot")</f>
        <v>show blot</v>
      </c>
      <c r="G5815" t="s">
        <v>5603</v>
      </c>
      <c r="I5815" s="6">
        <v>6.3962509508311243</v>
      </c>
      <c r="K5815" s="8"/>
    </row>
    <row r="5816" spans="1:11" ht="15" x14ac:dyDescent="0.25">
      <c r="A5816" s="3" t="str">
        <f>HYPERLINK("proteomic_fractions_linear_files/Yang_linear_img/158749640.jpg", "158749640")</f>
        <v>158749640</v>
      </c>
      <c r="C5816" s="3" t="str">
        <f>HYPERLINK("http://www.ncbi.nlm.nih.gov/protein/158749640","Preb")</f>
        <v>Preb</v>
      </c>
      <c r="E5816" t="str">
        <f>HYPERLINK("J:\Depot - mpkCCD Fractions\Main Web Page\Web Pages_old\proteomic_fractions_linear_files/Yang_linear_img/158749640.jpg","show blot")</f>
        <v>show blot</v>
      </c>
      <c r="G5816" t="s">
        <v>5604</v>
      </c>
      <c r="I5816" s="6">
        <v>4.104799899799243</v>
      </c>
      <c r="K5816" s="8"/>
    </row>
    <row r="5817" spans="1:11" ht="15" x14ac:dyDescent="0.25">
      <c r="A5817" s="3" t="str">
        <f>HYPERLINK("proteomic_fractions_linear_files/Yang_linear_img/6755152.jpg", "6755152")</f>
        <v>6755152</v>
      </c>
      <c r="C5817" s="3" t="str">
        <f>HYPERLINK("http://www.ncbi.nlm.nih.gov/protein/6755152","Prep")</f>
        <v>Prep</v>
      </c>
      <c r="E5817" t="str">
        <f>HYPERLINK("J:\Depot - mpkCCD Fractions\Main Web Page\Web Pages_old\proteomic_fractions_linear_files/Yang_linear_img/6755152.jpg","show blot")</f>
        <v>show blot</v>
      </c>
      <c r="G5817" t="s">
        <v>5605</v>
      </c>
      <c r="I5817" s="6">
        <v>5.2366417887509016</v>
      </c>
      <c r="K5817" s="8"/>
    </row>
    <row r="5818" spans="1:11" ht="15" x14ac:dyDescent="0.25">
      <c r="A5818" s="3" t="str">
        <f>HYPERLINK("proteomic_fractions_linear_files/Yang_linear_img/6679459.jpg", "6679459")</f>
        <v>6679459</v>
      </c>
      <c r="C5818" s="3" t="str">
        <f>HYPERLINK("http://www.ncbi.nlm.nih.gov/protein/6679459","Prim1")</f>
        <v>Prim1</v>
      </c>
      <c r="E5818" t="str">
        <f>HYPERLINK("J:\Depot - mpkCCD Fractions\Main Web Page\Web Pages_old\proteomic_fractions_linear_files/Yang_linear_img/6679459.jpg","show blot")</f>
        <v>show blot</v>
      </c>
      <c r="G5818" t="s">
        <v>5606</v>
      </c>
      <c r="I5818" s="6">
        <v>5.0990570687971219</v>
      </c>
      <c r="K5818" s="8"/>
    </row>
    <row r="5819" spans="1:11" ht="15" x14ac:dyDescent="0.25">
      <c r="A5819" s="3" t="str">
        <f>HYPERLINK("proteomic_fractions_linear_files/Yang_linear_img/6679461.jpg", "6679461")</f>
        <v>6679461</v>
      </c>
      <c r="C5819" s="3" t="str">
        <f>HYPERLINK("http://www.ncbi.nlm.nih.gov/protein/6679461","Prim2")</f>
        <v>Prim2</v>
      </c>
      <c r="E5819" t="str">
        <f>HYPERLINK("J:\Depot - mpkCCD Fractions\Main Web Page\Web Pages_old\proteomic_fractions_linear_files/Yang_linear_img/6679461.jpg","show blot")</f>
        <v>show blot</v>
      </c>
      <c r="G5819" t="s">
        <v>5607</v>
      </c>
      <c r="I5819" s="6">
        <v>5.304510842442772</v>
      </c>
      <c r="K5819" s="8"/>
    </row>
    <row r="5820" spans="1:11" ht="15" x14ac:dyDescent="0.25">
      <c r="A5820" s="3" t="str">
        <f>HYPERLINK("proteomic_fractions_linear_files/Yang_linear_img/94681061.jpg", "94681061")</f>
        <v>94681061</v>
      </c>
      <c r="C5820" s="3" t="str">
        <f>HYPERLINK("http://www.ncbi.nlm.nih.gov/protein/94681061","Prkaa1")</f>
        <v>Prkaa1</v>
      </c>
      <c r="E5820" t="str">
        <f>HYPERLINK("J:\Depot - mpkCCD Fractions\Main Web Page\Web Pages_old\proteomic_fractions_linear_files/Yang_linear_img/94681061.jpg","show blot")</f>
        <v>show blot</v>
      </c>
      <c r="G5820" t="s">
        <v>5608</v>
      </c>
      <c r="I5820" s="6">
        <v>5.7315444499070924</v>
      </c>
      <c r="K5820" s="8"/>
    </row>
    <row r="5821" spans="1:11" ht="15" x14ac:dyDescent="0.25">
      <c r="A5821" s="3" t="str">
        <f>HYPERLINK("proteomic_fractions_linear_files/Yang_linear_img/227452236.jpg", "227452236")</f>
        <v>227452236</v>
      </c>
      <c r="C5821" s="3" t="str">
        <f>HYPERLINK("http://www.ncbi.nlm.nih.gov/protein/227452236","Prkaa2")</f>
        <v>Prkaa2</v>
      </c>
      <c r="E5821" t="str">
        <f>HYPERLINK("J:\Depot - mpkCCD Fractions\Main Web Page\Web Pages_old\proteomic_fractions_linear_files/Yang_linear_img/227452236.jpg","show blot")</f>
        <v>show blot</v>
      </c>
      <c r="G5821" t="s">
        <v>5609</v>
      </c>
      <c r="I5821" s="6">
        <v>4.8437188117839458</v>
      </c>
      <c r="K5821" s="8"/>
    </row>
    <row r="5822" spans="1:11" ht="15" x14ac:dyDescent="0.25">
      <c r="A5822" s="3" t="str">
        <f>HYPERLINK("proteomic_fractions_linear_files/Yang_linear_img/23956234.jpg", "23956234")</f>
        <v>23956234</v>
      </c>
      <c r="C5822" s="3" t="str">
        <f>HYPERLINK("http://www.ncbi.nlm.nih.gov/protein/23956234","Prkab1")</f>
        <v>Prkab1</v>
      </c>
      <c r="E5822" t="str">
        <f>HYPERLINK("J:\Depot - mpkCCD Fractions\Main Web Page\Web Pages_old\proteomic_fractions_linear_files/Yang_linear_img/23956234.jpg","show blot")</f>
        <v>show blot</v>
      </c>
      <c r="G5822" t="s">
        <v>5610</v>
      </c>
      <c r="I5822" s="6">
        <v>5.0476760910091691</v>
      </c>
      <c r="K5822" s="8"/>
    </row>
    <row r="5823" spans="1:11" ht="15" x14ac:dyDescent="0.25">
      <c r="A5823" s="3" t="str">
        <f>HYPERLINK("proteomic_fractions_linear_files/Yang_linear_img/72384347.jpg", "72384347")</f>
        <v>72384347</v>
      </c>
      <c r="C5823" s="3" t="str">
        <f>HYPERLINK("http://www.ncbi.nlm.nih.gov/protein/72384347","Prkab2")</f>
        <v>Prkab2</v>
      </c>
      <c r="E5823" t="str">
        <f>HYPERLINK("J:\Depot - mpkCCD Fractions\Main Web Page\Web Pages_old\proteomic_fractions_linear_files/Yang_linear_img/72384347.jpg","show blot")</f>
        <v>show blot</v>
      </c>
      <c r="G5823" t="s">
        <v>5611</v>
      </c>
      <c r="I5823" s="6">
        <v>4.7683631526723831</v>
      </c>
      <c r="K5823" s="8"/>
    </row>
    <row r="5824" spans="1:11" ht="15" x14ac:dyDescent="0.25">
      <c r="A5824" s="3" t="str">
        <f>HYPERLINK("proteomic_fractions_linear_files/Yang_linear_img/483968030.jpg", "483968030")</f>
        <v>483968030</v>
      </c>
      <c r="C5824" s="3" t="str">
        <f>HYPERLINK("http://www.ncbi.nlm.nih.gov/protein/483968030","Prkaca")</f>
        <v>Prkaca</v>
      </c>
      <c r="E5824" t="str">
        <f>HYPERLINK("J:\Depot - mpkCCD Fractions\Main Web Page\Web Pages_old\proteomic_fractions_linear_files/Yang_linear_img/483968030.jpg","show blot")</f>
        <v>show blot</v>
      </c>
      <c r="G5824" t="s">
        <v>5612</v>
      </c>
      <c r="I5824" s="6">
        <v>5.840196734073726</v>
      </c>
      <c r="K5824" s="8"/>
    </row>
    <row r="5825" spans="1:11" ht="15" x14ac:dyDescent="0.25">
      <c r="A5825" s="3" t="str">
        <f>HYPERLINK("proteomic_fractions_linear_files/Yang_linear_img/7110693.jpg", "7110693")</f>
        <v>7110693</v>
      </c>
      <c r="C5825" s="3" t="str">
        <f>HYPERLINK("http://www.ncbi.nlm.nih.gov/protein/7110693","Prkaca")</f>
        <v>Prkaca</v>
      </c>
      <c r="E5825" t="str">
        <f>HYPERLINK("J:\Depot - mpkCCD Fractions\Main Web Page\Web Pages_old\proteomic_fractions_linear_files/Yang_linear_img/7110693.jpg","show blot")</f>
        <v>show blot</v>
      </c>
      <c r="G5825" t="s">
        <v>5613</v>
      </c>
      <c r="I5825" s="6">
        <v>5.840196734073726</v>
      </c>
      <c r="K5825" s="8"/>
    </row>
    <row r="5826" spans="1:11" ht="15" x14ac:dyDescent="0.25">
      <c r="A5826" s="3" t="str">
        <f>HYPERLINK("proteomic_fractions_linear_files/Yang_linear_img/255958156.jpg", "255958156")</f>
        <v>255958156</v>
      </c>
      <c r="C5826" s="3" t="str">
        <f>HYPERLINK("http://www.ncbi.nlm.nih.gov/protein/255958156","Prkacb")</f>
        <v>Prkacb</v>
      </c>
      <c r="E5826" t="str">
        <f>HYPERLINK("J:\Depot - mpkCCD Fractions\Main Web Page\Web Pages_old\proteomic_fractions_linear_files/Yang_linear_img/255958156.jpg","show blot")</f>
        <v>show blot</v>
      </c>
      <c r="G5826" t="s">
        <v>5614</v>
      </c>
      <c r="I5826" s="6">
        <v>5.5605515972916724</v>
      </c>
      <c r="K5826" s="8"/>
    </row>
    <row r="5827" spans="1:11" ht="15" x14ac:dyDescent="0.25">
      <c r="A5827" s="3" t="str">
        <f>HYPERLINK("proteomic_fractions_linear_files/Yang_linear_img/255958318.jpg", "255958318")</f>
        <v>255958318</v>
      </c>
      <c r="C5827" s="3" t="str">
        <f>HYPERLINK("http://www.ncbi.nlm.nih.gov/protein/255958318","Prkacb")</f>
        <v>Prkacb</v>
      </c>
      <c r="E5827" t="str">
        <f>HYPERLINK("J:\Depot - mpkCCD Fractions\Main Web Page\Web Pages_old\proteomic_fractions_linear_files/Yang_linear_img/255958318.jpg","show blot")</f>
        <v>show blot</v>
      </c>
      <c r="G5827" t="s">
        <v>5615</v>
      </c>
      <c r="I5827" s="6">
        <v>5.5605515972916724</v>
      </c>
      <c r="K5827" s="8"/>
    </row>
    <row r="5828" spans="1:11" ht="15" x14ac:dyDescent="0.25">
      <c r="A5828" s="3" t="str">
        <f>HYPERLINK("proteomic_fractions_linear_files/Yang_linear_img/255958320.jpg", "255958320")</f>
        <v>255958320</v>
      </c>
      <c r="C5828" s="3" t="str">
        <f>HYPERLINK("http://www.ncbi.nlm.nih.gov/protein/255958320","Prkacb")</f>
        <v>Prkacb</v>
      </c>
      <c r="E5828" t="str">
        <f>HYPERLINK("J:\Depot - mpkCCD Fractions\Main Web Page\Web Pages_old\proteomic_fractions_linear_files/Yang_linear_img/255958320.jpg","show blot")</f>
        <v>show blot</v>
      </c>
      <c r="G5828" t="s">
        <v>5616</v>
      </c>
      <c r="I5828" s="6">
        <v>5.5605515972916724</v>
      </c>
      <c r="K5828" s="8"/>
    </row>
    <row r="5829" spans="1:11" ht="15" x14ac:dyDescent="0.25">
      <c r="A5829" s="3" t="str">
        <f>HYPERLINK("proteomic_fractions_linear_files/Yang_linear_img/6755076.jpg", "6755076")</f>
        <v>6755076</v>
      </c>
      <c r="C5829" s="3" t="str">
        <f>HYPERLINK("http://www.ncbi.nlm.nih.gov/protein/6755076","Prkacb")</f>
        <v>Prkacb</v>
      </c>
      <c r="E5829" t="str">
        <f>HYPERLINK("J:\Depot - mpkCCD Fractions\Main Web Page\Web Pages_old\proteomic_fractions_linear_files/Yang_linear_img/6755076.jpg","show blot")</f>
        <v>show blot</v>
      </c>
      <c r="G5829" t="s">
        <v>5617</v>
      </c>
      <c r="I5829" s="6">
        <v>5.5605515972916724</v>
      </c>
      <c r="K5829" s="8"/>
    </row>
    <row r="5830" spans="1:11" ht="15" x14ac:dyDescent="0.25">
      <c r="A5830" s="3" t="str">
        <f>HYPERLINK("proteomic_fractions_linear_files/Yang_linear_img/124107596.jpg", "124107596")</f>
        <v>124107596</v>
      </c>
      <c r="C5830" s="3" t="str">
        <f>HYPERLINK("http://www.ncbi.nlm.nih.gov/protein/124107596","Prkag1")</f>
        <v>Prkag1</v>
      </c>
      <c r="E5830" t="str">
        <f>HYPERLINK("J:\Depot - mpkCCD Fractions\Main Web Page\Web Pages_old\proteomic_fractions_linear_files/Yang_linear_img/124107596.jpg","show blot")</f>
        <v>show blot</v>
      </c>
      <c r="G5830" t="s">
        <v>5618</v>
      </c>
      <c r="I5830" s="6">
        <v>5.7504530141006587</v>
      </c>
      <c r="K5830" s="8"/>
    </row>
    <row r="5831" spans="1:11" ht="15" x14ac:dyDescent="0.25">
      <c r="A5831" s="3" t="str">
        <f>HYPERLINK("proteomic_fractions_linear_files/Yang_linear_img/282847325.jpg", "282847325")</f>
        <v>282847325</v>
      </c>
      <c r="C5831" s="3" t="str">
        <f>HYPERLINK("http://www.ncbi.nlm.nih.gov/protein/282847325","Prkag2")</f>
        <v>Prkag2</v>
      </c>
      <c r="E5831" t="str">
        <f>HYPERLINK("J:\Depot - mpkCCD Fractions\Main Web Page\Web Pages_old\proteomic_fractions_linear_files/Yang_linear_img/282847325.jpg","show blot")</f>
        <v>show blot</v>
      </c>
      <c r="G5831" t="s">
        <v>5619</v>
      </c>
      <c r="I5831" s="6">
        <v>4.8521041815899029</v>
      </c>
      <c r="K5831" s="8"/>
    </row>
    <row r="5832" spans="1:11" ht="15" x14ac:dyDescent="0.25">
      <c r="A5832" s="3" t="str">
        <f>HYPERLINK("proteomic_fractions_linear_files/Yang_linear_img/282847327.jpg", "282847327")</f>
        <v>282847327</v>
      </c>
      <c r="C5832" s="3" t="str">
        <f>HYPERLINK("http://www.ncbi.nlm.nih.gov/protein/282847327","Prkag2")</f>
        <v>Prkag2</v>
      </c>
      <c r="E5832" t="str">
        <f>HYPERLINK("J:\Depot - mpkCCD Fractions\Main Web Page\Web Pages_old\proteomic_fractions_linear_files/Yang_linear_img/282847327.jpg","show blot")</f>
        <v>show blot</v>
      </c>
      <c r="G5832" t="s">
        <v>5620</v>
      </c>
      <c r="I5832" s="6">
        <v>4.8521041815899029</v>
      </c>
      <c r="K5832" s="8"/>
    </row>
    <row r="5833" spans="1:11" ht="15" x14ac:dyDescent="0.25">
      <c r="A5833" s="3" t="str">
        <f>HYPERLINK("proteomic_fractions_linear_files/Yang_linear_img/282847331.jpg", "282847331")</f>
        <v>282847331</v>
      </c>
      <c r="C5833" s="3" t="str">
        <f>HYPERLINK("http://www.ncbi.nlm.nih.gov/protein/282847331","Prkag2")</f>
        <v>Prkag2</v>
      </c>
      <c r="E5833" t="str">
        <f>HYPERLINK("J:\Depot - mpkCCD Fractions\Main Web Page\Web Pages_old\proteomic_fractions_linear_files/Yang_linear_img/282847331.jpg","show blot")</f>
        <v>show blot</v>
      </c>
      <c r="G5833" t="s">
        <v>5621</v>
      </c>
      <c r="I5833" s="6">
        <v>4.8521041815899029</v>
      </c>
      <c r="K5833" s="8"/>
    </row>
    <row r="5834" spans="1:11" ht="15" x14ac:dyDescent="0.25">
      <c r="A5834" s="3" t="str">
        <f>HYPERLINK("proteomic_fractions_linear_files/Yang_linear_img/30794476.jpg", "30794476")</f>
        <v>30794476</v>
      </c>
      <c r="C5834" s="3" t="str">
        <f>HYPERLINK("http://www.ncbi.nlm.nih.gov/protein/30794476","Prkar1a")</f>
        <v>Prkar1a</v>
      </c>
      <c r="E5834" t="str">
        <f>HYPERLINK("J:\Depot - mpkCCD Fractions\Main Web Page\Web Pages_old\proteomic_fractions_linear_files/Yang_linear_img/30794476.jpg","show blot")</f>
        <v>show blot</v>
      </c>
      <c r="G5834" t="s">
        <v>5622</v>
      </c>
      <c r="I5834" s="6">
        <v>5.243813802120763</v>
      </c>
      <c r="K5834" s="8"/>
    </row>
    <row r="5835" spans="1:11" ht="15" x14ac:dyDescent="0.25">
      <c r="A5835" s="3" t="str">
        <f>HYPERLINK("proteomic_fractions_linear_files/Yang_linear_img/359751382;254675178.jpg", "359751382;254675178")</f>
        <v>359751382;254675178</v>
      </c>
      <c r="C5835" s="3" t="str">
        <f>HYPERLINK("http://www.ncbi.nlm.nih.gov/protein/359751382;254675178","Prkar1b")</f>
        <v>Prkar1b</v>
      </c>
      <c r="E5835" t="str">
        <f>HYPERLINK("J:\Depot - mpkCCD Fractions\Main Web Page\Web Pages_old\proteomic_fractions_linear_files/Yang_linear_img/359751382;254675178.jpg","show blot")</f>
        <v>show blot</v>
      </c>
      <c r="G5835" t="s">
        <v>5623</v>
      </c>
      <c r="I5835" s="6">
        <v>4.3845360280915822</v>
      </c>
      <c r="K5835" s="8"/>
    </row>
    <row r="5836" spans="1:11" ht="15" x14ac:dyDescent="0.25">
      <c r="A5836" s="3" t="str">
        <f>HYPERLINK("proteomic_fractions_linear_files/Yang_linear_img/22550094.jpg", "22550094")</f>
        <v>22550094</v>
      </c>
      <c r="C5836" s="3" t="str">
        <f>HYPERLINK("http://www.ncbi.nlm.nih.gov/protein/22550094","Prkar2a")</f>
        <v>Prkar2a</v>
      </c>
      <c r="E5836" t="str">
        <f>HYPERLINK("J:\Depot - mpkCCD Fractions\Main Web Page\Web Pages_old\proteomic_fractions_linear_files/Yang_linear_img/22550094.jpg","show blot")</f>
        <v>show blot</v>
      </c>
      <c r="G5836" t="s">
        <v>5624</v>
      </c>
      <c r="I5836" s="6">
        <v>5.2975477176934866</v>
      </c>
      <c r="K5836" s="8"/>
    </row>
    <row r="5837" spans="1:11" ht="15" x14ac:dyDescent="0.25">
      <c r="A5837" s="3" t="str">
        <f>HYPERLINK("proteomic_fractions_linear_files/Yang_linear_img/45598396.jpg", "45598396")</f>
        <v>45598396</v>
      </c>
      <c r="C5837" s="3" t="str">
        <f>HYPERLINK("http://www.ncbi.nlm.nih.gov/protein/45598396","Prkar2b")</f>
        <v>Prkar2b</v>
      </c>
      <c r="E5837" t="str">
        <f>HYPERLINK("J:\Depot - mpkCCD Fractions\Main Web Page\Web Pages_old\proteomic_fractions_linear_files/Yang_linear_img/45598396.jpg","show blot")</f>
        <v>show blot</v>
      </c>
      <c r="G5837" t="s">
        <v>5625</v>
      </c>
      <c r="I5837" s="6">
        <v>5.7328767784883157</v>
      </c>
      <c r="K5837" s="8"/>
    </row>
    <row r="5838" spans="1:11" ht="15" x14ac:dyDescent="0.25">
      <c r="A5838" s="3" t="str">
        <f>HYPERLINK("proteomic_fractions_linear_files/Yang_linear_img/164663791.jpg", "164663791")</f>
        <v>164663791</v>
      </c>
      <c r="C5838" s="3" t="str">
        <f>HYPERLINK("http://www.ncbi.nlm.nih.gov/protein/164663791","Prkca")</f>
        <v>Prkca</v>
      </c>
      <c r="E5838" t="str">
        <f>HYPERLINK("J:\Depot - mpkCCD Fractions\Main Web Page\Web Pages_old\proteomic_fractions_linear_files/Yang_linear_img/164663791.jpg","show blot")</f>
        <v>show blot</v>
      </c>
      <c r="G5838" t="s">
        <v>5626</v>
      </c>
      <c r="I5838" s="6">
        <v>3.370679868698419</v>
      </c>
      <c r="K5838" s="8"/>
    </row>
    <row r="5839" spans="1:11" ht="15" x14ac:dyDescent="0.25">
      <c r="A5839" s="3" t="str">
        <f>HYPERLINK("proteomic_fractions_linear_files/Yang_linear_img/6679345.jpg", "6679345")</f>
        <v>6679345</v>
      </c>
      <c r="C5839" s="3" t="str">
        <f>HYPERLINK("http://www.ncbi.nlm.nih.gov/protein/6679345","Prkcb")</f>
        <v>Prkcb</v>
      </c>
      <c r="E5839" t="str">
        <f>HYPERLINK("J:\Depot - mpkCCD Fractions\Main Web Page\Web Pages_old\proteomic_fractions_linear_files/Yang_linear_img/6679345.jpg","show blot")</f>
        <v>show blot</v>
      </c>
      <c r="G5839" t="s">
        <v>5627</v>
      </c>
      <c r="I5839" s="6">
        <v>3.0514986716091248</v>
      </c>
      <c r="K5839" s="8"/>
    </row>
    <row r="5840" spans="1:11" ht="15" x14ac:dyDescent="0.25">
      <c r="A5840" s="3" t="str">
        <f>HYPERLINK("proteomic_fractions_linear_files/Yang_linear_img/6755082.jpg", "6755082")</f>
        <v>6755082</v>
      </c>
      <c r="C5840" s="3" t="str">
        <f>HYPERLINK("http://www.ncbi.nlm.nih.gov/protein/6755082","Prkcd")</f>
        <v>Prkcd</v>
      </c>
      <c r="E5840" t="str">
        <f>HYPERLINK("J:\Depot - mpkCCD Fractions\Main Web Page\Web Pages_old\proteomic_fractions_linear_files/Yang_linear_img/6755082.jpg","show blot")</f>
        <v>show blot</v>
      </c>
      <c r="G5840" t="s">
        <v>5628</v>
      </c>
      <c r="I5840" s="6">
        <v>4.6372528401033959</v>
      </c>
      <c r="K5840" s="8"/>
    </row>
    <row r="5841" spans="1:11" ht="15" x14ac:dyDescent="0.25">
      <c r="A5841" s="3" t="str">
        <f>HYPERLINK("proteomic_fractions_linear_files/Yang_linear_img/6755084.jpg", "6755084")</f>
        <v>6755084</v>
      </c>
      <c r="C5841" s="3" t="str">
        <f>HYPERLINK("http://www.ncbi.nlm.nih.gov/protein/6755084","Prkce")</f>
        <v>Prkce</v>
      </c>
      <c r="E5841" t="str">
        <f>HYPERLINK("J:\Depot - mpkCCD Fractions\Main Web Page\Web Pages_old\proteomic_fractions_linear_files/Yang_linear_img/6755084.jpg","show blot")</f>
        <v>show blot</v>
      </c>
      <c r="G5841" t="s">
        <v>5629</v>
      </c>
      <c r="I5841" s="6">
        <v>3.2696057683295856</v>
      </c>
      <c r="K5841" s="8"/>
    </row>
    <row r="5842" spans="1:11" ht="15" x14ac:dyDescent="0.25">
      <c r="A5842" s="3" t="str">
        <f>HYPERLINK("proteomic_fractions_linear_files/Yang_linear_img/6755080.jpg", "6755080")</f>
        <v>6755080</v>
      </c>
      <c r="C5842" s="3" t="str">
        <f>HYPERLINK("http://www.ncbi.nlm.nih.gov/protein/6755080","Prkcg")</f>
        <v>Prkcg</v>
      </c>
      <c r="E5842" t="str">
        <f>HYPERLINK("J:\Depot - mpkCCD Fractions\Main Web Page\Web Pages_old\proteomic_fractions_linear_files/Yang_linear_img/6755080.jpg","show blot")</f>
        <v>show blot</v>
      </c>
      <c r="G5842" t="s">
        <v>5630</v>
      </c>
      <c r="I5842" s="6">
        <v>3.4379848608693302</v>
      </c>
      <c r="K5842" s="8"/>
    </row>
    <row r="5843" spans="1:11" ht="15" x14ac:dyDescent="0.25">
      <c r="A5843" s="3" t="str">
        <f>HYPERLINK("proteomic_fractions_linear_files/Yang_linear_img/31543511.jpg", "31543511")</f>
        <v>31543511</v>
      </c>
      <c r="C5843" s="3" t="str">
        <f>HYPERLINK("http://www.ncbi.nlm.nih.gov/protein/31543511","Prkch")</f>
        <v>Prkch</v>
      </c>
      <c r="E5843" t="str">
        <f>HYPERLINK("J:\Depot - mpkCCD Fractions\Main Web Page\Web Pages_old\proteomic_fractions_linear_files/Yang_linear_img/31543511.jpg","show blot")</f>
        <v>show blot</v>
      </c>
      <c r="G5843" t="s">
        <v>5631</v>
      </c>
      <c r="I5843" s="6">
        <v>2.8896679503238518</v>
      </c>
      <c r="K5843" s="8"/>
    </row>
    <row r="5844" spans="1:11" ht="15" x14ac:dyDescent="0.25">
      <c r="A5844" s="3" t="str">
        <f>HYPERLINK("proteomic_fractions_linear_files/Yang_linear_img/133778989.jpg", "133778989")</f>
        <v>133778989</v>
      </c>
      <c r="C5844" s="3" t="str">
        <f>HYPERLINK("http://www.ncbi.nlm.nih.gov/protein/133778989","Prkci")</f>
        <v>Prkci</v>
      </c>
      <c r="E5844" t="str">
        <f>HYPERLINK("J:\Depot - mpkCCD Fractions\Main Web Page\Web Pages_old\proteomic_fractions_linear_files/Yang_linear_img/133778989.jpg","show blot")</f>
        <v>show blot</v>
      </c>
      <c r="G5844" t="s">
        <v>5632</v>
      </c>
      <c r="I5844" s="6">
        <v>5.469161079389381</v>
      </c>
      <c r="K5844" s="8"/>
    </row>
    <row r="5845" spans="1:11" ht="15" x14ac:dyDescent="0.25">
      <c r="A5845" s="3" t="str">
        <f>HYPERLINK("proteomic_fractions_linear_files/Yang_linear_img/6679353.jpg", "6679353")</f>
        <v>6679353</v>
      </c>
      <c r="C5845" s="3" t="str">
        <f>HYPERLINK("http://www.ncbi.nlm.nih.gov/protein/6679353","Prkcq")</f>
        <v>Prkcq</v>
      </c>
      <c r="E5845" t="str">
        <f>HYPERLINK("J:\Depot - mpkCCD Fractions\Main Web Page\Web Pages_old\proteomic_fractions_linear_files/Yang_linear_img/6679353.jpg","show blot")</f>
        <v>show blot</v>
      </c>
      <c r="G5845" t="s">
        <v>5633</v>
      </c>
      <c r="I5845" s="6">
        <v>2.8732775341356822</v>
      </c>
      <c r="K5845" s="8"/>
    </row>
    <row r="5846" spans="1:11" ht="15" x14ac:dyDescent="0.25">
      <c r="A5846" s="3" t="str">
        <f>HYPERLINK("proteomic_fractions_linear_files/Yang_linear_img/6679465.jpg", "6679465")</f>
        <v>6679465</v>
      </c>
      <c r="C5846" s="3" t="str">
        <f>HYPERLINK("http://www.ncbi.nlm.nih.gov/protein/6679465","Prkcsh")</f>
        <v>Prkcsh</v>
      </c>
      <c r="E5846" t="str">
        <f>HYPERLINK("J:\Depot - mpkCCD Fractions\Main Web Page\Web Pages_old\proteomic_fractions_linear_files/Yang_linear_img/6679465.jpg","show blot")</f>
        <v>show blot</v>
      </c>
      <c r="G5846" t="s">
        <v>5634</v>
      </c>
      <c r="I5846" s="6">
        <v>5.9775140400573452</v>
      </c>
      <c r="K5846" s="8"/>
    </row>
    <row r="5847" spans="1:11" ht="15" x14ac:dyDescent="0.25">
      <c r="A5847" s="3" t="str">
        <f>HYPERLINK("proteomic_fractions_linear_files/Yang_linear_img/84872200.jpg", "84872200")</f>
        <v>84872200</v>
      </c>
      <c r="C5847" s="3" t="str">
        <f>HYPERLINK("http://www.ncbi.nlm.nih.gov/protein/84872200","Prkcz")</f>
        <v>Prkcz</v>
      </c>
      <c r="E5847" t="str">
        <f>HYPERLINK("J:\Depot - mpkCCD Fractions\Main Web Page\Web Pages_old\proteomic_fractions_linear_files/Yang_linear_img/84872200.jpg","show blot")</f>
        <v>show blot</v>
      </c>
      <c r="G5847" t="s">
        <v>5635</v>
      </c>
      <c r="I5847" s="6">
        <v>3.5233788400102055</v>
      </c>
      <c r="K5847" s="8"/>
    </row>
    <row r="5848" spans="1:11" ht="15" x14ac:dyDescent="0.25">
      <c r="A5848" s="3" t="str">
        <f>HYPERLINK("proteomic_fractions_linear_files/Yang_linear_img/84872205.jpg", "84872205")</f>
        <v>84872205</v>
      </c>
      <c r="C5848" s="3" t="str">
        <f>HYPERLINK("http://www.ncbi.nlm.nih.gov/protein/84872205","Prkcz")</f>
        <v>Prkcz</v>
      </c>
      <c r="E5848" t="str">
        <f>HYPERLINK("J:\Depot - mpkCCD Fractions\Main Web Page\Web Pages_old\proteomic_fractions_linear_files/Yang_linear_img/84872205.jpg","show blot")</f>
        <v>show blot</v>
      </c>
      <c r="G5848" t="s">
        <v>5636</v>
      </c>
      <c r="I5848" s="6">
        <v>3.5233788400102055</v>
      </c>
      <c r="K5848" s="8"/>
    </row>
    <row r="5849" spans="1:11" ht="15" x14ac:dyDescent="0.25">
      <c r="A5849" s="3" t="str">
        <f>HYPERLINK("proteomic_fractions_linear_files/Yang_linear_img/356995870;30725754.jpg", "356995870;30725754")</f>
        <v>356995870;30725754</v>
      </c>
      <c r="C5849" s="3" t="str">
        <f>HYPERLINK("http://www.ncbi.nlm.nih.gov/protein/356995870;30725754","Prkd2")</f>
        <v>Prkd2</v>
      </c>
      <c r="E5849" t="str">
        <f>HYPERLINK("J:\Depot - mpkCCD Fractions\Main Web Page\Web Pages_old\proteomic_fractions_linear_files/Yang_linear_img/356995870;30725754.jpg","show blot")</f>
        <v>show blot</v>
      </c>
      <c r="G5849" t="s">
        <v>5637</v>
      </c>
      <c r="I5849" s="6">
        <v>4.5633361686216691</v>
      </c>
      <c r="K5849" s="8"/>
    </row>
    <row r="5850" spans="1:11" ht="15" x14ac:dyDescent="0.25">
      <c r="A5850" s="3" t="str">
        <f>HYPERLINK("proteomic_fractions_linear_files/Yang_linear_img/30725754.jpg", "30725754")</f>
        <v>30725754</v>
      </c>
      <c r="C5850" s="3" t="str">
        <f>HYPERLINK("http://www.ncbi.nlm.nih.gov/protein/30725754","Prkd2")</f>
        <v>Prkd2</v>
      </c>
      <c r="E5850" t="str">
        <f>HYPERLINK("J:\Depot - mpkCCD Fractions\Main Web Page\Web Pages_old\proteomic_fractions_linear_files/Yang_linear_img/30725754.jpg","show blot")</f>
        <v>show blot</v>
      </c>
      <c r="G5850" t="s">
        <v>5637</v>
      </c>
      <c r="I5850" s="6">
        <v>4.5633361686216691</v>
      </c>
      <c r="K5850" s="8"/>
    </row>
    <row r="5851" spans="1:11" ht="15" x14ac:dyDescent="0.25">
      <c r="A5851" s="3" t="str">
        <f>HYPERLINK("proteomic_fractions_linear_files/Yang_linear_img/124517706.jpg", "124517706")</f>
        <v>124517706</v>
      </c>
      <c r="C5851" s="3" t="str">
        <f>HYPERLINK("http://www.ncbi.nlm.nih.gov/protein/124517706","Prkdc")</f>
        <v>Prkdc</v>
      </c>
      <c r="E5851" t="str">
        <f>HYPERLINK("J:\Depot - mpkCCD Fractions\Main Web Page\Web Pages_old\proteomic_fractions_linear_files/Yang_linear_img/124517706.jpg","show blot")</f>
        <v>show blot</v>
      </c>
      <c r="G5851" t="s">
        <v>5638</v>
      </c>
      <c r="I5851" s="6">
        <v>3.9970109721336482</v>
      </c>
      <c r="K5851" s="8"/>
    </row>
    <row r="5852" spans="1:11" ht="15" x14ac:dyDescent="0.25">
      <c r="A5852" s="3" t="str">
        <f>HYPERLINK("proteomic_fractions_linear_files/Yang_linear_img/6755162.jpg", "6755162")</f>
        <v>6755162</v>
      </c>
      <c r="C5852" s="3" t="str">
        <f>HYPERLINK("http://www.ncbi.nlm.nih.gov/protein/6755162","Prkra")</f>
        <v>Prkra</v>
      </c>
      <c r="E5852" t="str">
        <f>HYPERLINK("J:\Depot - mpkCCD Fractions\Main Web Page\Web Pages_old\proteomic_fractions_linear_files/Yang_linear_img/6755162.jpg","show blot")</f>
        <v>show blot</v>
      </c>
      <c r="G5852" t="s">
        <v>5639</v>
      </c>
      <c r="I5852" s="6">
        <v>5.6590478806185391</v>
      </c>
      <c r="K5852" s="8"/>
    </row>
    <row r="5853" spans="1:11" ht="15" x14ac:dyDescent="0.25">
      <c r="A5853" s="3" t="str">
        <f>HYPERLINK("proteomic_fractions_linear_files/Yang_linear_img/357197160.jpg", "357197160")</f>
        <v>357197160</v>
      </c>
      <c r="C5853" s="3" t="str">
        <f>HYPERLINK("http://www.ncbi.nlm.nih.gov/protein/357197160","Prmt1")</f>
        <v>Prmt1</v>
      </c>
      <c r="E5853" t="str">
        <f>HYPERLINK("J:\Depot - mpkCCD Fractions\Main Web Page\Web Pages_old\proteomic_fractions_linear_files/Yang_linear_img/357197160.jpg","show blot")</f>
        <v>show blot</v>
      </c>
      <c r="G5853" t="s">
        <v>5640</v>
      </c>
      <c r="I5853" s="6">
        <v>6.4087068101045057</v>
      </c>
      <c r="K5853" s="8"/>
    </row>
    <row r="5854" spans="1:11" ht="15" x14ac:dyDescent="0.25">
      <c r="A5854" s="3" t="str">
        <f>HYPERLINK("proteomic_fractions_linear_files/Yang_linear_img/357197158.jpg", "357197158")</f>
        <v>357197158</v>
      </c>
      <c r="C5854" s="3" t="str">
        <f>HYPERLINK("http://www.ncbi.nlm.nih.gov/protein/357197158","Prmt1")</f>
        <v>Prmt1</v>
      </c>
      <c r="E5854" t="str">
        <f>HYPERLINK("J:\Depot - mpkCCD Fractions\Main Web Page\Web Pages_old\proteomic_fractions_linear_files/Yang_linear_img/357197158.jpg","show blot")</f>
        <v>show blot</v>
      </c>
      <c r="G5854" t="s">
        <v>5641</v>
      </c>
      <c r="I5854" s="6">
        <v>6.4087068101045057</v>
      </c>
      <c r="K5854" s="8"/>
    </row>
    <row r="5855" spans="1:11" ht="15" x14ac:dyDescent="0.25">
      <c r="A5855" s="3" t="str">
        <f>HYPERLINK("proteomic_fractions_linear_files/Yang_linear_img/9790109.jpg", "9790109")</f>
        <v>9790109</v>
      </c>
      <c r="C5855" s="3" t="str">
        <f>HYPERLINK("http://www.ncbi.nlm.nih.gov/protein/9790109","Prmt1")</f>
        <v>Prmt1</v>
      </c>
      <c r="E5855" t="str">
        <f>HYPERLINK("J:\Depot - mpkCCD Fractions\Main Web Page\Web Pages_old\proteomic_fractions_linear_files/Yang_linear_img/9790109.jpg","show blot")</f>
        <v>show blot</v>
      </c>
      <c r="G5855" t="s">
        <v>5642</v>
      </c>
      <c r="I5855" s="6">
        <v>6.4087068101045057</v>
      </c>
      <c r="K5855" s="8"/>
    </row>
    <row r="5856" spans="1:11" ht="15" x14ac:dyDescent="0.25">
      <c r="A5856" s="3" t="str">
        <f>HYPERLINK("proteomic_fractions_linear_files/Yang_linear_img/117938280.jpg", "117938280")</f>
        <v>117938280</v>
      </c>
      <c r="C5856" s="3" t="str">
        <f>HYPERLINK("http://www.ncbi.nlm.nih.gov/protein/117938280","Prmt2")</f>
        <v>Prmt2</v>
      </c>
      <c r="E5856" t="str">
        <f>HYPERLINK("J:\Depot - mpkCCD Fractions\Main Web Page\Web Pages_old\proteomic_fractions_linear_files/Yang_linear_img/117938280.jpg","show blot")</f>
        <v>show blot</v>
      </c>
      <c r="G5856" t="s">
        <v>5643</v>
      </c>
      <c r="I5856" s="6">
        <v>4.7133910889571409</v>
      </c>
      <c r="K5856" s="8"/>
    </row>
    <row r="5857" spans="1:11" ht="15" x14ac:dyDescent="0.25">
      <c r="A5857" s="3" t="str">
        <f>HYPERLINK("proteomic_fractions_linear_files/Yang_linear_img/29789323.jpg", "29789323")</f>
        <v>29789323</v>
      </c>
      <c r="C5857" s="3" t="str">
        <f>HYPERLINK("http://www.ncbi.nlm.nih.gov/protein/29789323","Prmt3")</f>
        <v>Prmt3</v>
      </c>
      <c r="E5857" t="str">
        <f>HYPERLINK("J:\Depot - mpkCCD Fractions\Main Web Page\Web Pages_old\proteomic_fractions_linear_files/Yang_linear_img/29789323.jpg","show blot")</f>
        <v>show blot</v>
      </c>
      <c r="G5857" t="s">
        <v>5644</v>
      </c>
      <c r="I5857" s="6">
        <v>3.7301311165277857</v>
      </c>
      <c r="K5857" s="8"/>
    </row>
    <row r="5858" spans="1:11" ht="15" x14ac:dyDescent="0.25">
      <c r="A5858" s="3" t="str">
        <f>HYPERLINK("proteomic_fractions_linear_files/Yang_linear_img/188528624.jpg", "188528624")</f>
        <v>188528624</v>
      </c>
      <c r="C5858" s="3" t="str">
        <f>HYPERLINK("http://www.ncbi.nlm.nih.gov/protein/188528624","Prmt5")</f>
        <v>Prmt5</v>
      </c>
      <c r="E5858" t="str">
        <f>HYPERLINK("J:\Depot - mpkCCD Fractions\Main Web Page\Web Pages_old\proteomic_fractions_linear_files/Yang_linear_img/188528624.jpg","show blot")</f>
        <v>show blot</v>
      </c>
      <c r="G5858" t="s">
        <v>5645</v>
      </c>
      <c r="I5858" s="6">
        <v>5.5867968570114286</v>
      </c>
      <c r="K5858" s="8"/>
    </row>
    <row r="5859" spans="1:11" ht="15" x14ac:dyDescent="0.25">
      <c r="A5859" s="3" t="str">
        <f>HYPERLINK("proteomic_fractions_linear_files/Yang_linear_img/126432554.jpg", "126432554")</f>
        <v>126432554</v>
      </c>
      <c r="C5859" s="3" t="str">
        <f>HYPERLINK("http://www.ncbi.nlm.nih.gov/protein/126432554","Prmt6")</f>
        <v>Prmt6</v>
      </c>
      <c r="E5859" t="str">
        <f>HYPERLINK("J:\Depot - mpkCCD Fractions\Main Web Page\Web Pages_old\proteomic_fractions_linear_files/Yang_linear_img/126432554.jpg","show blot")</f>
        <v>show blot</v>
      </c>
      <c r="G5859" t="s">
        <v>5646</v>
      </c>
      <c r="I5859" s="6">
        <v>4.025331134368253</v>
      </c>
      <c r="K5859" s="8"/>
    </row>
    <row r="5860" spans="1:11" ht="15" x14ac:dyDescent="0.25">
      <c r="A5860" s="3" t="str">
        <f>HYPERLINK("proteomic_fractions_linear_files/Yang_linear_img/21703808.jpg", "21703808")</f>
        <v>21703808</v>
      </c>
      <c r="C5860" s="3" t="str">
        <f>HYPERLINK("http://www.ncbi.nlm.nih.gov/protein/21703808","Prmt7")</f>
        <v>Prmt7</v>
      </c>
      <c r="E5860" t="str">
        <f>HYPERLINK("J:\Depot - mpkCCD Fractions\Main Web Page\Web Pages_old\proteomic_fractions_linear_files/Yang_linear_img/21703808.jpg","show blot")</f>
        <v>show blot</v>
      </c>
      <c r="G5860" t="s">
        <v>5647</v>
      </c>
      <c r="I5860" s="6">
        <v>3.2217539535478932</v>
      </c>
      <c r="K5860" s="8"/>
    </row>
    <row r="5861" spans="1:11" ht="15" x14ac:dyDescent="0.25">
      <c r="A5861" s="3" t="str">
        <f>HYPERLINK("proteomic_fractions_linear_files/Yang_linear_img/357527369.jpg", "357527369")</f>
        <v>357527369</v>
      </c>
      <c r="C5861" s="3" t="str">
        <f>HYPERLINK("http://www.ncbi.nlm.nih.gov/protein/357527369","Prmt8")</f>
        <v>Prmt8</v>
      </c>
      <c r="E5861" t="str">
        <f>HYPERLINK("J:\Depot - mpkCCD Fractions\Main Web Page\Web Pages_old\proteomic_fractions_linear_files/Yang_linear_img/357527369.jpg","show blot")</f>
        <v>show blot</v>
      </c>
      <c r="G5861" t="s">
        <v>5648</v>
      </c>
      <c r="I5861" s="6">
        <v>5.6332218682388877</v>
      </c>
      <c r="K5861" s="8"/>
    </row>
    <row r="5862" spans="1:11" ht="15" x14ac:dyDescent="0.25">
      <c r="A5862" s="3" t="str">
        <f>HYPERLINK("proteomic_fractions_linear_files/Yang_linear_img/118601004.jpg", "118601004")</f>
        <v>118601004</v>
      </c>
      <c r="C5862" s="3" t="str">
        <f>HYPERLINK("http://www.ncbi.nlm.nih.gov/protein/118601004","Prodh")</f>
        <v>Prodh</v>
      </c>
      <c r="E5862" t="str">
        <f>HYPERLINK("J:\Depot - mpkCCD Fractions\Main Web Page\Web Pages_old\proteomic_fractions_linear_files/Yang_linear_img/118601004.jpg","show blot")</f>
        <v>show blot</v>
      </c>
      <c r="G5862" t="s">
        <v>5649</v>
      </c>
      <c r="I5862" s="6">
        <v>4.8145247268463587</v>
      </c>
      <c r="K5862" s="8"/>
    </row>
    <row r="5863" spans="1:11" ht="15" x14ac:dyDescent="0.25">
      <c r="A5863" s="3" t="str">
        <f>HYPERLINK("proteomic_fractions_linear_files/Yang_linear_img/254675296.jpg", "254675296")</f>
        <v>254675296</v>
      </c>
      <c r="C5863" s="3" t="str">
        <f>HYPERLINK("http://www.ncbi.nlm.nih.gov/protein/254675296","Prom1")</f>
        <v>Prom1</v>
      </c>
      <c r="E5863" t="str">
        <f>HYPERLINK("J:\Depot - mpkCCD Fractions\Main Web Page\Web Pages_old\proteomic_fractions_linear_files/Yang_linear_img/254675296.jpg","show blot")</f>
        <v>show blot</v>
      </c>
      <c r="G5863" t="s">
        <v>5650</v>
      </c>
      <c r="I5863" s="6">
        <v>4.3015791296171422</v>
      </c>
      <c r="K5863" s="8"/>
    </row>
    <row r="5864" spans="1:11" ht="15" x14ac:dyDescent="0.25">
      <c r="A5864" s="3" t="str">
        <f>HYPERLINK("proteomic_fractions_linear_files/Yang_linear_img/254675298.jpg", "254675298")</f>
        <v>254675298</v>
      </c>
      <c r="C5864" s="3" t="str">
        <f>HYPERLINK("http://www.ncbi.nlm.nih.gov/protein/254675298","Prom1")</f>
        <v>Prom1</v>
      </c>
      <c r="E5864" t="str">
        <f>HYPERLINK("J:\Depot - mpkCCD Fractions\Main Web Page\Web Pages_old\proteomic_fractions_linear_files/Yang_linear_img/254675298.jpg","show blot")</f>
        <v>show blot</v>
      </c>
      <c r="G5864" t="s">
        <v>5651</v>
      </c>
      <c r="I5864" s="6">
        <v>4.3015791296171422</v>
      </c>
      <c r="K5864" s="8"/>
    </row>
    <row r="5865" spans="1:11" ht="15" x14ac:dyDescent="0.25">
      <c r="A5865" s="3" t="str">
        <f>HYPERLINK("proteomic_fractions_linear_files/Yang_linear_img/254675304.jpg", "254675304")</f>
        <v>254675304</v>
      </c>
      <c r="C5865" s="3" t="str">
        <f>HYPERLINK("http://www.ncbi.nlm.nih.gov/protein/254675304","Prom1")</f>
        <v>Prom1</v>
      </c>
      <c r="E5865" t="str">
        <f>HYPERLINK("J:\Depot - mpkCCD Fractions\Main Web Page\Web Pages_old\proteomic_fractions_linear_files/Yang_linear_img/254675304.jpg","show blot")</f>
        <v>show blot</v>
      </c>
      <c r="G5865" t="s">
        <v>5652</v>
      </c>
      <c r="I5865" s="6">
        <v>4.3015791296171422</v>
      </c>
      <c r="K5865" s="8"/>
    </row>
    <row r="5866" spans="1:11" ht="15" x14ac:dyDescent="0.25">
      <c r="A5866" s="3" t="str">
        <f>HYPERLINK("proteomic_fractions_linear_files/Yang_linear_img/254675312.jpg", "254675312")</f>
        <v>254675312</v>
      </c>
      <c r="C5866" s="3" t="str">
        <f>HYPERLINK("http://www.ncbi.nlm.nih.gov/protein/254675312","Prom1")</f>
        <v>Prom1</v>
      </c>
      <c r="E5866" t="str">
        <f>HYPERLINK("J:\Depot - mpkCCD Fractions\Main Web Page\Web Pages_old\proteomic_fractions_linear_files/Yang_linear_img/254675312.jpg","show blot")</f>
        <v>show blot</v>
      </c>
      <c r="G5866" t="s">
        <v>5653</v>
      </c>
      <c r="I5866" s="6">
        <v>4.3015791296171422</v>
      </c>
      <c r="K5866" s="8"/>
    </row>
    <row r="5867" spans="1:11" ht="15" x14ac:dyDescent="0.25">
      <c r="A5867" s="3" t="str">
        <f>HYPERLINK("proteomic_fractions_linear_files/Yang_linear_img/254675314.jpg", "254675314")</f>
        <v>254675314</v>
      </c>
      <c r="C5867" s="3" t="str">
        <f>HYPERLINK("http://www.ncbi.nlm.nih.gov/protein/254675314","Prom1")</f>
        <v>Prom1</v>
      </c>
      <c r="E5867" t="str">
        <f>HYPERLINK("J:\Depot - mpkCCD Fractions\Main Web Page\Web Pages_old\proteomic_fractions_linear_files/Yang_linear_img/254675314.jpg","show blot")</f>
        <v>show blot</v>
      </c>
      <c r="G5867" t="s">
        <v>5654</v>
      </c>
      <c r="I5867" s="6">
        <v>4.3015791296171422</v>
      </c>
      <c r="K5867" s="8"/>
    </row>
    <row r="5868" spans="1:11" ht="15" x14ac:dyDescent="0.25">
      <c r="A5868" s="3" t="str">
        <f>HYPERLINK("proteomic_fractions_linear_files/Yang_linear_img/254675316.jpg", "254675316")</f>
        <v>254675316</v>
      </c>
      <c r="C5868" s="3" t="str">
        <f>HYPERLINK("http://www.ncbi.nlm.nih.gov/protein/254675316","Prom1")</f>
        <v>Prom1</v>
      </c>
      <c r="E5868" t="str">
        <f>HYPERLINK("J:\Depot - mpkCCD Fractions\Main Web Page\Web Pages_old\proteomic_fractions_linear_files/Yang_linear_img/254675316.jpg","show blot")</f>
        <v>show blot</v>
      </c>
      <c r="G5868" t="s">
        <v>5655</v>
      </c>
      <c r="I5868" s="6">
        <v>4.3015791296171422</v>
      </c>
      <c r="K5868" s="8"/>
    </row>
    <row r="5869" spans="1:11" ht="15" x14ac:dyDescent="0.25">
      <c r="A5869" s="3" t="str">
        <f>HYPERLINK("proteomic_fractions_linear_files/Yang_linear_img/254675318.jpg", "254675318")</f>
        <v>254675318</v>
      </c>
      <c r="C5869" s="3" t="str">
        <f>HYPERLINK("http://www.ncbi.nlm.nih.gov/protein/254675318","Prom1")</f>
        <v>Prom1</v>
      </c>
      <c r="E5869" t="str">
        <f>HYPERLINK("J:\Depot - mpkCCD Fractions\Main Web Page\Web Pages_old\proteomic_fractions_linear_files/Yang_linear_img/254675318.jpg","show blot")</f>
        <v>show blot</v>
      </c>
      <c r="G5869" t="s">
        <v>5656</v>
      </c>
      <c r="I5869" s="6">
        <v>4.3015791296171422</v>
      </c>
      <c r="K5869" s="8"/>
    </row>
    <row r="5870" spans="1:11" ht="15" x14ac:dyDescent="0.25">
      <c r="A5870" s="3" t="str">
        <f>HYPERLINK("proteomic_fractions_linear_files/Yang_linear_img/254675320.jpg", "254675320")</f>
        <v>254675320</v>
      </c>
      <c r="C5870" s="3" t="str">
        <f>HYPERLINK("http://www.ncbi.nlm.nih.gov/protein/254675320","Prom1")</f>
        <v>Prom1</v>
      </c>
      <c r="E5870" t="str">
        <f>HYPERLINK("J:\Depot - mpkCCD Fractions\Main Web Page\Web Pages_old\proteomic_fractions_linear_files/Yang_linear_img/254675320.jpg","show blot")</f>
        <v>show blot</v>
      </c>
      <c r="G5870" t="s">
        <v>5657</v>
      </c>
      <c r="I5870" s="6">
        <v>4.3015791296171422</v>
      </c>
      <c r="K5870" s="8"/>
    </row>
    <row r="5871" spans="1:11" ht="15" x14ac:dyDescent="0.25">
      <c r="A5871" s="3" t="str">
        <f>HYPERLINK("proteomic_fractions_linear_files/Yang_linear_img/224994182.jpg", "224994182")</f>
        <v>224994182</v>
      </c>
      <c r="C5871" s="3" t="str">
        <f>HYPERLINK("http://www.ncbi.nlm.nih.gov/protein/224994182","Prom2")</f>
        <v>Prom2</v>
      </c>
      <c r="E5871" t="str">
        <f>HYPERLINK("J:\Depot - mpkCCD Fractions\Main Web Page\Web Pages_old\proteomic_fractions_linear_files/Yang_linear_img/224994182.jpg","show blot")</f>
        <v>show blot</v>
      </c>
      <c r="G5871" t="s">
        <v>5658</v>
      </c>
      <c r="I5871" s="6">
        <v>4.065436400735245</v>
      </c>
      <c r="K5871" s="8"/>
    </row>
    <row r="5872" spans="1:11" ht="15" x14ac:dyDescent="0.25">
      <c r="A5872" s="3" t="str">
        <f>HYPERLINK("proteomic_fractions_linear_files/Yang_linear_img/224994184.jpg", "224994184")</f>
        <v>224994184</v>
      </c>
      <c r="C5872" s="3" t="str">
        <f>HYPERLINK("http://www.ncbi.nlm.nih.gov/protein/224994184","Prom2")</f>
        <v>Prom2</v>
      </c>
      <c r="E5872" t="str">
        <f>HYPERLINK("J:\Depot - mpkCCD Fractions\Main Web Page\Web Pages_old\proteomic_fractions_linear_files/Yang_linear_img/224994184.jpg","show blot")</f>
        <v>show blot</v>
      </c>
      <c r="G5872" t="s">
        <v>5659</v>
      </c>
      <c r="I5872" s="6">
        <v>4.065436400735245</v>
      </c>
      <c r="K5872" s="8"/>
    </row>
    <row r="5873" spans="1:11" ht="15" x14ac:dyDescent="0.25">
      <c r="A5873" s="3" t="str">
        <f>HYPERLINK("proteomic_fractions_linear_files/Yang_linear_img/254540216.jpg", "254540216")</f>
        <v>254540216</v>
      </c>
      <c r="C5873" s="3" t="str">
        <f>HYPERLINK("http://www.ncbi.nlm.nih.gov/protein/254540216","Prorsd1")</f>
        <v>Prorsd1</v>
      </c>
      <c r="E5873" t="str">
        <f>HYPERLINK("J:\Depot - mpkCCD Fractions\Main Web Page\Web Pages_old\proteomic_fractions_linear_files/Yang_linear_img/254540216.jpg","show blot")</f>
        <v>show blot</v>
      </c>
      <c r="G5873" t="s">
        <v>5660</v>
      </c>
      <c r="I5873" s="6">
        <v>4.9582398937404317</v>
      </c>
      <c r="K5873" s="8"/>
    </row>
    <row r="5874" spans="1:11" ht="15" x14ac:dyDescent="0.25">
      <c r="A5874" s="3" t="str">
        <f>HYPERLINK("proteomic_fractions_linear_files/Yang_linear_img/21312706.jpg", "21312706")</f>
        <v>21312706</v>
      </c>
      <c r="C5874" s="3" t="str">
        <f>HYPERLINK("http://www.ncbi.nlm.nih.gov/protein/21312706","Prorsd1")</f>
        <v>Prorsd1</v>
      </c>
      <c r="E5874" t="str">
        <f>HYPERLINK("J:\Depot - mpkCCD Fractions\Main Web Page\Web Pages_old\proteomic_fractions_linear_files/Yang_linear_img/21312706.jpg","show blot")</f>
        <v>show blot</v>
      </c>
      <c r="G5874" t="s">
        <v>5661</v>
      </c>
      <c r="I5874" s="6">
        <v>4.9582398937404317</v>
      </c>
      <c r="K5874" s="8"/>
    </row>
    <row r="5875" spans="1:11" ht="15" x14ac:dyDescent="0.25">
      <c r="A5875" s="3" t="str">
        <f>HYPERLINK("proteomic_fractions_linear_files/Yang_linear_img/84872187.jpg", "84872187")</f>
        <v>84872187</v>
      </c>
      <c r="C5875" s="3" t="str">
        <f>HYPERLINK("http://www.ncbi.nlm.nih.gov/protein/84872187","Prosc")</f>
        <v>Prosc</v>
      </c>
      <c r="E5875" t="str">
        <f>HYPERLINK("J:\Depot - mpkCCD Fractions\Main Web Page\Web Pages_old\proteomic_fractions_linear_files/Yang_linear_img/84872187.jpg","show blot")</f>
        <v>show blot</v>
      </c>
      <c r="G5875" t="s">
        <v>5662</v>
      </c>
      <c r="I5875" s="6">
        <v>5.8228670481733591</v>
      </c>
      <c r="K5875" s="8"/>
    </row>
    <row r="5876" spans="1:11" ht="15" x14ac:dyDescent="0.25">
      <c r="A5876" s="3" t="str">
        <f>HYPERLINK("proteomic_fractions_linear_files/Yang_linear_img/16930823.jpg", "16930823")</f>
        <v>16930823</v>
      </c>
      <c r="C5876" s="3" t="str">
        <f>HYPERLINK("http://www.ncbi.nlm.nih.gov/protein/16930823","Prosc")</f>
        <v>Prosc</v>
      </c>
      <c r="E5876" t="str">
        <f>HYPERLINK("J:\Depot - mpkCCD Fractions\Main Web Page\Web Pages_old\proteomic_fractions_linear_files/Yang_linear_img/16930823.jpg","show blot")</f>
        <v>show blot</v>
      </c>
      <c r="G5876" t="s">
        <v>5663</v>
      </c>
      <c r="I5876" s="6">
        <v>5.8228670481733591</v>
      </c>
      <c r="K5876" s="8"/>
    </row>
    <row r="5877" spans="1:11" ht="15" x14ac:dyDescent="0.25">
      <c r="A5877" s="3" t="str">
        <f>HYPERLINK("proteomic_fractions_linear_files/Yang_linear_img/84872182.jpg", "84872182")</f>
        <v>84872182</v>
      </c>
      <c r="C5877" s="3" t="str">
        <f>HYPERLINK("http://www.ncbi.nlm.nih.gov/protein/84872182","Prosc")</f>
        <v>Prosc</v>
      </c>
      <c r="E5877" t="str">
        <f>HYPERLINK("J:\Depot - mpkCCD Fractions\Main Web Page\Web Pages_old\proteomic_fractions_linear_files/Yang_linear_img/84872182.jpg","show blot")</f>
        <v>show blot</v>
      </c>
      <c r="G5877" t="s">
        <v>5664</v>
      </c>
      <c r="I5877" s="6">
        <v>5.8228670481733591</v>
      </c>
      <c r="K5877" s="8"/>
    </row>
    <row r="5878" spans="1:11" ht="15" x14ac:dyDescent="0.25">
      <c r="A5878" s="3" t="str">
        <f>HYPERLINK("proteomic_fractions_linear_files/Yang_linear_img/110625904.jpg", "110625904")</f>
        <v>110625904</v>
      </c>
      <c r="C5878" s="3" t="str">
        <f>HYPERLINK("http://www.ncbi.nlm.nih.gov/protein/110625904","Proser2")</f>
        <v>Proser2</v>
      </c>
      <c r="E5878" t="str">
        <f>HYPERLINK("J:\Depot - mpkCCD Fractions\Main Web Page\Web Pages_old\proteomic_fractions_linear_files/Yang_linear_img/110625904.jpg","show blot")</f>
        <v>show blot</v>
      </c>
      <c r="G5878" t="s">
        <v>5665</v>
      </c>
      <c r="I5878" s="6">
        <v>3.70278226488101</v>
      </c>
      <c r="K5878" s="8"/>
    </row>
    <row r="5879" spans="1:11" ht="15" x14ac:dyDescent="0.25">
      <c r="A5879" s="3" t="str">
        <f>HYPERLINK("proteomic_fractions_linear_files/Yang_linear_img/40254503.jpg", "40254503")</f>
        <v>40254503</v>
      </c>
      <c r="C5879" s="3" t="str">
        <f>HYPERLINK("http://www.ncbi.nlm.nih.gov/protein/40254503","Prpf18")</f>
        <v>Prpf18</v>
      </c>
      <c r="E5879" t="str">
        <f>HYPERLINK("J:\Depot - mpkCCD Fractions\Main Web Page\Web Pages_old\proteomic_fractions_linear_files/Yang_linear_img/40254503.jpg","show blot")</f>
        <v>show blot</v>
      </c>
      <c r="G5879" t="s">
        <v>5666</v>
      </c>
      <c r="I5879" s="6">
        <v>2.1013370059955538</v>
      </c>
      <c r="K5879" s="8"/>
    </row>
    <row r="5880" spans="1:11" ht="15" x14ac:dyDescent="0.25">
      <c r="A5880" s="3" t="str">
        <f>HYPERLINK("proteomic_fractions_linear_files/Yang_linear_img/19527358.jpg", "19527358")</f>
        <v>19527358</v>
      </c>
      <c r="C5880" s="3" t="str">
        <f>HYPERLINK("http://www.ncbi.nlm.nih.gov/protein/19527358","Prpf19")</f>
        <v>Prpf19</v>
      </c>
      <c r="E5880" t="str">
        <f>HYPERLINK("J:\Depot - mpkCCD Fractions\Main Web Page\Web Pages_old\proteomic_fractions_linear_files/Yang_linear_img/19527358.jpg","show blot")</f>
        <v>show blot</v>
      </c>
      <c r="G5880" t="s">
        <v>5667</v>
      </c>
      <c r="I5880" s="6">
        <v>6.0717052538569085</v>
      </c>
      <c r="K5880" s="8"/>
    </row>
    <row r="5881" spans="1:11" ht="15" x14ac:dyDescent="0.25">
      <c r="A5881" s="3" t="str">
        <f>HYPERLINK("proteomic_fractions_linear_files/Yang_linear_img/359718917.jpg", "359718917")</f>
        <v>359718917</v>
      </c>
      <c r="C5881" s="3" t="str">
        <f>HYPERLINK("http://www.ncbi.nlm.nih.gov/protein/359718917","Prpf19")</f>
        <v>Prpf19</v>
      </c>
      <c r="E5881" t="str">
        <f>HYPERLINK("J:\Depot - mpkCCD Fractions\Main Web Page\Web Pages_old\proteomic_fractions_linear_files/Yang_linear_img/359718917.jpg","show blot")</f>
        <v>show blot</v>
      </c>
      <c r="G5881" t="s">
        <v>5668</v>
      </c>
      <c r="I5881" s="6">
        <v>6.0717052538569085</v>
      </c>
      <c r="K5881" s="8"/>
    </row>
    <row r="5882" spans="1:11" ht="15" x14ac:dyDescent="0.25">
      <c r="A5882" s="3" t="str">
        <f>HYPERLINK("proteomic_fractions_linear_files/Yang_linear_img/359718922.jpg", "359718922")</f>
        <v>359718922</v>
      </c>
      <c r="C5882" s="3" t="str">
        <f>HYPERLINK("http://www.ncbi.nlm.nih.gov/protein/359718922","Prpf19")</f>
        <v>Prpf19</v>
      </c>
      <c r="E5882" t="str">
        <f>HYPERLINK("J:\Depot - mpkCCD Fractions\Main Web Page\Web Pages_old\proteomic_fractions_linear_files/Yang_linear_img/359718922.jpg","show blot")</f>
        <v>show blot</v>
      </c>
      <c r="G5882" t="s">
        <v>5669</v>
      </c>
      <c r="I5882" s="6">
        <v>6.0717052538569085</v>
      </c>
      <c r="K5882" s="8"/>
    </row>
    <row r="5883" spans="1:11" ht="15" x14ac:dyDescent="0.25">
      <c r="A5883" s="3" t="str">
        <f>HYPERLINK("proteomic_fractions_linear_files/Yang_linear_img/31980657.jpg", "31980657")</f>
        <v>31980657</v>
      </c>
      <c r="C5883" s="3" t="str">
        <f>HYPERLINK("http://www.ncbi.nlm.nih.gov/protein/31980657","Prpf3")</f>
        <v>Prpf3</v>
      </c>
      <c r="E5883" t="str">
        <f>HYPERLINK("J:\Depot - mpkCCD Fractions\Main Web Page\Web Pages_old\proteomic_fractions_linear_files/Yang_linear_img/31980657.jpg","show blot")</f>
        <v>show blot</v>
      </c>
      <c r="G5883" t="s">
        <v>5670</v>
      </c>
      <c r="I5883" s="6">
        <v>5.0704184324765071</v>
      </c>
      <c r="K5883" s="8"/>
    </row>
    <row r="5884" spans="1:11" ht="15" x14ac:dyDescent="0.25">
      <c r="A5884" s="3" t="str">
        <f>HYPERLINK("proteomic_fractions_linear_files/Yang_linear_img/228480236.jpg", "228480236")</f>
        <v>228480236</v>
      </c>
      <c r="C5884" s="3" t="str">
        <f>HYPERLINK("http://www.ncbi.nlm.nih.gov/protein/228480236","Prpf31")</f>
        <v>Prpf31</v>
      </c>
      <c r="E5884" t="str">
        <f>HYPERLINK("J:\Depot - mpkCCD Fractions\Main Web Page\Web Pages_old\proteomic_fractions_linear_files/Yang_linear_img/228480236.jpg","show blot")</f>
        <v>show blot</v>
      </c>
      <c r="G5884" t="s">
        <v>5671</v>
      </c>
      <c r="I5884" s="6">
        <v>4.5624209482443021</v>
      </c>
      <c r="K5884" s="8"/>
    </row>
    <row r="5885" spans="1:11" ht="15" x14ac:dyDescent="0.25">
      <c r="A5885" s="3" t="str">
        <f>HYPERLINK("proteomic_fractions_linear_files/Yang_linear_img/228480238.jpg", "228480238")</f>
        <v>228480238</v>
      </c>
      <c r="C5885" s="3" t="str">
        <f>HYPERLINK("http://www.ncbi.nlm.nih.gov/protein/228480238","Prpf31")</f>
        <v>Prpf31</v>
      </c>
      <c r="E5885" t="str">
        <f>HYPERLINK("J:\Depot - mpkCCD Fractions\Main Web Page\Web Pages_old\proteomic_fractions_linear_files/Yang_linear_img/228480238.jpg","show blot")</f>
        <v>show blot</v>
      </c>
      <c r="G5885" t="s">
        <v>5672</v>
      </c>
      <c r="I5885" s="6">
        <v>4.5624209482443021</v>
      </c>
      <c r="K5885" s="8"/>
    </row>
    <row r="5886" spans="1:11" ht="15" x14ac:dyDescent="0.25">
      <c r="A5886" s="3" t="str">
        <f>HYPERLINK("proteomic_fractions_linear_files/Yang_linear_img/227497256.jpg", "227497256")</f>
        <v>227497256</v>
      </c>
      <c r="C5886" s="3" t="str">
        <f>HYPERLINK("http://www.ncbi.nlm.nih.gov/protein/227497256","Prpf38a")</f>
        <v>Prpf38a</v>
      </c>
      <c r="E5886" t="str">
        <f>HYPERLINK("J:\Depot - mpkCCD Fractions\Main Web Page\Web Pages_old\proteomic_fractions_linear_files/Yang_linear_img/227497256.jpg","show blot")</f>
        <v>show blot</v>
      </c>
      <c r="G5886" t="s">
        <v>5673</v>
      </c>
      <c r="I5886" s="6">
        <v>3.4784816318637914</v>
      </c>
      <c r="K5886" s="8"/>
    </row>
    <row r="5887" spans="1:11" ht="15" x14ac:dyDescent="0.25">
      <c r="A5887" s="3" t="str">
        <f>HYPERLINK("proteomic_fractions_linear_files/Yang_linear_img/30794464.jpg", "30794464")</f>
        <v>30794464</v>
      </c>
      <c r="C5887" s="3" t="str">
        <f>HYPERLINK("http://www.ncbi.nlm.nih.gov/protein/30794464","Prpf38b")</f>
        <v>Prpf38b</v>
      </c>
      <c r="E5887" t="str">
        <f>HYPERLINK("J:\Depot - mpkCCD Fractions\Main Web Page\Web Pages_old\proteomic_fractions_linear_files/Yang_linear_img/30794464.jpg","show blot")</f>
        <v>show blot</v>
      </c>
      <c r="G5887" t="s">
        <v>5674</v>
      </c>
      <c r="I5887" s="6">
        <v>4.0665874536354689</v>
      </c>
      <c r="K5887" s="8"/>
    </row>
    <row r="5888" spans="1:11" ht="15" x14ac:dyDescent="0.25">
      <c r="A5888" s="3" t="str">
        <f>HYPERLINK("proteomic_fractions_linear_files/Yang_linear_img/156546892.jpg", "156546892")</f>
        <v>156546892</v>
      </c>
      <c r="C5888" s="3" t="str">
        <f>HYPERLINK("http://www.ncbi.nlm.nih.gov/protein/156546892","Prpf39")</f>
        <v>Prpf39</v>
      </c>
      <c r="E5888" t="str">
        <f>HYPERLINK("J:\Depot - mpkCCD Fractions\Main Web Page\Web Pages_old\proteomic_fractions_linear_files/Yang_linear_img/156546892.jpg","show blot")</f>
        <v>show blot</v>
      </c>
      <c r="G5888" t="s">
        <v>5675</v>
      </c>
      <c r="I5888" s="6">
        <v>4.4509019419057489</v>
      </c>
      <c r="K5888" s="8"/>
    </row>
    <row r="5889" spans="1:11" ht="15" x14ac:dyDescent="0.25">
      <c r="A5889" s="3" t="str">
        <f>HYPERLINK("proteomic_fractions_linear_files/Yang_linear_img/55925589.jpg", "55925589")</f>
        <v>55925589</v>
      </c>
      <c r="C5889" s="3" t="str">
        <f>HYPERLINK("http://www.ncbi.nlm.nih.gov/protein/55925589","Prpf4")</f>
        <v>Prpf4</v>
      </c>
      <c r="E5889" t="str">
        <f>HYPERLINK("J:\Depot - mpkCCD Fractions\Main Web Page\Web Pages_old\proteomic_fractions_linear_files/Yang_linear_img/55925589.jpg","show blot")</f>
        <v>show blot</v>
      </c>
      <c r="G5889" t="s">
        <v>5676</v>
      </c>
      <c r="I5889" s="6">
        <v>5.3637229872538192</v>
      </c>
      <c r="K5889" s="8"/>
    </row>
    <row r="5890" spans="1:11" ht="15" x14ac:dyDescent="0.25">
      <c r="A5890" s="3" t="str">
        <f>HYPERLINK("proteomic_fractions_linear_files/Yang_linear_img/9055218.jpg", "9055218")</f>
        <v>9055218</v>
      </c>
      <c r="C5890" s="3" t="str">
        <f>HYPERLINK("http://www.ncbi.nlm.nih.gov/protein/9055218","Prpf40a")</f>
        <v>Prpf40a</v>
      </c>
      <c r="E5890" t="str">
        <f>HYPERLINK("J:\Depot - mpkCCD Fractions\Main Web Page\Web Pages_old\proteomic_fractions_linear_files/Yang_linear_img/9055218.jpg","show blot")</f>
        <v>show blot</v>
      </c>
      <c r="G5890" t="s">
        <v>5677</v>
      </c>
      <c r="I5890" s="6">
        <v>4.4503589768577445</v>
      </c>
      <c r="K5890" s="8"/>
    </row>
    <row r="5891" spans="1:11" ht="15" x14ac:dyDescent="0.25">
      <c r="A5891" s="3" t="str">
        <f>HYPERLINK("proteomic_fractions_linear_files/Yang_linear_img/9055244.jpg", "9055244")</f>
        <v>9055244</v>
      </c>
      <c r="C5891" s="3" t="str">
        <f>HYPERLINK("http://www.ncbi.nlm.nih.gov/protein/9055244","Prpf40b")</f>
        <v>Prpf40b</v>
      </c>
      <c r="E5891" t="str">
        <f>HYPERLINK("J:\Depot - mpkCCD Fractions\Main Web Page\Web Pages_old\proteomic_fractions_linear_files/Yang_linear_img/9055244.jpg","show blot")</f>
        <v>show blot</v>
      </c>
      <c r="G5891" t="s">
        <v>5678</v>
      </c>
      <c r="I5891" s="6">
        <v>2.0130678257056625</v>
      </c>
      <c r="K5891" s="8"/>
    </row>
    <row r="5892" spans="1:11" ht="15" x14ac:dyDescent="0.25">
      <c r="A5892" s="3" t="str">
        <f>HYPERLINK("proteomic_fractions_linear_files/Yang_linear_img/158854005.jpg", "158854005")</f>
        <v>158854005</v>
      </c>
      <c r="C5892" s="3" t="str">
        <f>HYPERLINK("http://www.ncbi.nlm.nih.gov/protein/158854005","Prpf4b")</f>
        <v>Prpf4b</v>
      </c>
      <c r="E5892" t="str">
        <f>HYPERLINK("J:\Depot - mpkCCD Fractions\Main Web Page\Web Pages_old\proteomic_fractions_linear_files/Yang_linear_img/158854005.jpg","show blot")</f>
        <v>show blot</v>
      </c>
      <c r="G5892" t="s">
        <v>5679</v>
      </c>
      <c r="I5892" s="6">
        <v>2.6503070424976389</v>
      </c>
      <c r="K5892" s="8"/>
    </row>
    <row r="5893" spans="1:11" ht="15" x14ac:dyDescent="0.25">
      <c r="A5893" s="3" t="str">
        <f>HYPERLINK("proteomic_fractions_linear_files/Yang_linear_img/21539655.jpg", "21539655")</f>
        <v>21539655</v>
      </c>
      <c r="C5893" s="3" t="str">
        <f>HYPERLINK("http://www.ncbi.nlm.nih.gov/protein/21539655","Prpf6")</f>
        <v>Prpf6</v>
      </c>
      <c r="E5893" t="str">
        <f>HYPERLINK("J:\Depot - mpkCCD Fractions\Main Web Page\Web Pages_old\proteomic_fractions_linear_files/Yang_linear_img/21539655.jpg","show blot")</f>
        <v>show blot</v>
      </c>
      <c r="G5893" t="s">
        <v>5680</v>
      </c>
      <c r="I5893" s="6">
        <v>4.5699096155118069</v>
      </c>
      <c r="K5893" s="8"/>
    </row>
    <row r="5894" spans="1:11" ht="15" x14ac:dyDescent="0.25">
      <c r="A5894" s="3" t="str">
        <f>HYPERLINK("proteomic_fractions_linear_files/Yang_linear_img/115583687.jpg", "115583687")</f>
        <v>115583687</v>
      </c>
      <c r="C5894" s="3" t="str">
        <f>HYPERLINK("http://www.ncbi.nlm.nih.gov/protein/115583687","Prpf8")</f>
        <v>Prpf8</v>
      </c>
      <c r="E5894" t="str">
        <f>HYPERLINK("J:\Depot - mpkCCD Fractions\Main Web Page\Web Pages_old\proteomic_fractions_linear_files/Yang_linear_img/115583687.jpg","show blot")</f>
        <v>show blot</v>
      </c>
      <c r="G5894" t="s">
        <v>5681</v>
      </c>
      <c r="I5894" s="6">
        <v>5.100871796438148</v>
      </c>
      <c r="K5894" s="8"/>
    </row>
    <row r="5895" spans="1:11" ht="15" x14ac:dyDescent="0.25">
      <c r="A5895" s="3" t="str">
        <f>HYPERLINK("proteomic_fractions_linear_files/Yang_linear_img/254675335.jpg", "254675335")</f>
        <v>254675335</v>
      </c>
      <c r="C5895" s="3" t="str">
        <f>HYPERLINK("http://www.ncbi.nlm.nih.gov/protein/254675335","Prph")</f>
        <v>Prph</v>
      </c>
      <c r="E5895" t="str">
        <f>HYPERLINK("J:\Depot - mpkCCD Fractions\Main Web Page\Web Pages_old\proteomic_fractions_linear_files/Yang_linear_img/254675335.jpg","show blot")</f>
        <v>show blot</v>
      </c>
      <c r="G5895" t="s">
        <v>5682</v>
      </c>
      <c r="I5895" s="6">
        <v>6.437105828102073</v>
      </c>
      <c r="K5895" s="8"/>
    </row>
    <row r="5896" spans="1:11" ht="15" x14ac:dyDescent="0.25">
      <c r="A5896" s="3" t="str">
        <f>HYPERLINK("proteomic_fractions_linear_files/Yang_linear_img/254675337.jpg", "254675337")</f>
        <v>254675337</v>
      </c>
      <c r="C5896" s="3" t="str">
        <f>HYPERLINK("http://www.ncbi.nlm.nih.gov/protein/254675337","Prph")</f>
        <v>Prph</v>
      </c>
      <c r="E5896" t="str">
        <f>HYPERLINK("J:\Depot - mpkCCD Fractions\Main Web Page\Web Pages_old\proteomic_fractions_linear_files/Yang_linear_img/254675337.jpg","show blot")</f>
        <v>show blot</v>
      </c>
      <c r="G5896" t="s">
        <v>5683</v>
      </c>
      <c r="I5896" s="6">
        <v>6.437105828102073</v>
      </c>
      <c r="K5896" s="8"/>
    </row>
    <row r="5897" spans="1:11" ht="15" x14ac:dyDescent="0.25">
      <c r="A5897" s="3" t="str">
        <f>HYPERLINK("proteomic_fractions_linear_files/Yang_linear_img/254675339.jpg", "254675339")</f>
        <v>254675339</v>
      </c>
      <c r="C5897" s="3" t="str">
        <f>HYPERLINK("http://www.ncbi.nlm.nih.gov/protein/254675339","Prph")</f>
        <v>Prph</v>
      </c>
      <c r="E5897" t="str">
        <f>HYPERLINK("J:\Depot - mpkCCD Fractions\Main Web Page\Web Pages_old\proteomic_fractions_linear_files/Yang_linear_img/254675339.jpg","show blot")</f>
        <v>show blot</v>
      </c>
      <c r="G5897" t="s">
        <v>5684</v>
      </c>
      <c r="I5897" s="6">
        <v>6.437105828102073</v>
      </c>
      <c r="K5897" s="8"/>
    </row>
    <row r="5898" spans="1:11" ht="15" x14ac:dyDescent="0.25">
      <c r="A5898" s="3" t="str">
        <f>HYPERLINK("proteomic_fractions_linear_files/Yang_linear_img/10946854.jpg", "10946854")</f>
        <v>10946854</v>
      </c>
      <c r="C5898" s="3" t="str">
        <f>HYPERLINK("http://www.ncbi.nlm.nih.gov/protein/10946854","Prps1")</f>
        <v>Prps1</v>
      </c>
      <c r="E5898" t="str">
        <f>HYPERLINK("J:\Depot - mpkCCD Fractions\Main Web Page\Web Pages_old\proteomic_fractions_linear_files/Yang_linear_img/10946854.jpg","show blot")</f>
        <v>show blot</v>
      </c>
      <c r="G5898" t="s">
        <v>5685</v>
      </c>
      <c r="I5898" s="6">
        <v>6.388589242320819</v>
      </c>
      <c r="K5898" s="8"/>
    </row>
    <row r="5899" spans="1:11" ht="15" x14ac:dyDescent="0.25">
      <c r="A5899" s="3" t="str">
        <f>HYPERLINK("proteomic_fractions_linear_files/Yang_linear_img/30794182.jpg", "30794182")</f>
        <v>30794182</v>
      </c>
      <c r="C5899" s="3" t="str">
        <f>HYPERLINK("http://www.ncbi.nlm.nih.gov/protein/30794182","Prps1l1")</f>
        <v>Prps1l1</v>
      </c>
      <c r="E5899" t="str">
        <f>HYPERLINK("J:\Depot - mpkCCD Fractions\Main Web Page\Web Pages_old\proteomic_fractions_linear_files/Yang_linear_img/30794182.jpg","show blot")</f>
        <v>show blot</v>
      </c>
      <c r="G5899" t="s">
        <v>5686</v>
      </c>
      <c r="I5899" s="6">
        <v>6.2504108885592977</v>
      </c>
      <c r="K5899" s="8"/>
    </row>
    <row r="5900" spans="1:11" ht="15" x14ac:dyDescent="0.25">
      <c r="A5900" s="3" t="str">
        <f>HYPERLINK("proteomic_fractions_linear_files/Yang_linear_img/256418956.jpg", "256418956")</f>
        <v>256418956</v>
      </c>
      <c r="C5900" s="3" t="str">
        <f>HYPERLINK("http://www.ncbi.nlm.nih.gov/protein/256418956","Prps1l3")</f>
        <v>Prps1l3</v>
      </c>
      <c r="E5900" t="str">
        <f>HYPERLINK("J:\Depot - mpkCCD Fractions\Main Web Page\Web Pages_old\proteomic_fractions_linear_files/Yang_linear_img/256418956.jpg","show blot")</f>
        <v>show blot</v>
      </c>
      <c r="G5900" t="s">
        <v>5687</v>
      </c>
      <c r="I5900" s="6">
        <v>6.4977695593053557</v>
      </c>
      <c r="K5900" s="8"/>
    </row>
    <row r="5901" spans="1:11" ht="15" x14ac:dyDescent="0.25">
      <c r="A5901" s="3" t="str">
        <f>HYPERLINK("proteomic_fractions_linear_files/Yang_linear_img/13386146.jpg", "13386146")</f>
        <v>13386146</v>
      </c>
      <c r="C5901" s="3" t="str">
        <f>HYPERLINK("http://www.ncbi.nlm.nih.gov/protein/13386146","Prps2")</f>
        <v>Prps2</v>
      </c>
      <c r="E5901" t="str">
        <f>HYPERLINK("J:\Depot - mpkCCD Fractions\Main Web Page\Web Pages_old\proteomic_fractions_linear_files/Yang_linear_img/13386146.jpg","show blot")</f>
        <v>show blot</v>
      </c>
      <c r="G5901" t="s">
        <v>5688</v>
      </c>
      <c r="I5901" s="6">
        <v>6.4532884914437085</v>
      </c>
      <c r="K5901" s="8"/>
    </row>
    <row r="5902" spans="1:11" ht="15" x14ac:dyDescent="0.25">
      <c r="A5902" s="3" t="str">
        <f>HYPERLINK("proteomic_fractions_linear_files/Yang_linear_img/254540089.jpg", "254540089")</f>
        <v>254540089</v>
      </c>
      <c r="C5902" s="3" t="str">
        <f>HYPERLINK("http://www.ncbi.nlm.nih.gov/protein/254540089","Prpsap1")</f>
        <v>Prpsap1</v>
      </c>
      <c r="E5902" t="str">
        <f>HYPERLINK("J:\Depot - mpkCCD Fractions\Main Web Page\Web Pages_old\proteomic_fractions_linear_files/Yang_linear_img/254540089.jpg","show blot")</f>
        <v>show blot</v>
      </c>
      <c r="G5902" t="s">
        <v>5689</v>
      </c>
      <c r="I5902" s="6">
        <v>5.8768849070238565</v>
      </c>
      <c r="K5902" s="8"/>
    </row>
    <row r="5903" spans="1:11" ht="15" x14ac:dyDescent="0.25">
      <c r="A5903" s="3" t="str">
        <f>HYPERLINK("proteomic_fractions_linear_files/Yang_linear_img/21450169.jpg", "21450169")</f>
        <v>21450169</v>
      </c>
      <c r="C5903" s="3" t="str">
        <f>HYPERLINK("http://www.ncbi.nlm.nih.gov/protein/21450169","Prpsap2")</f>
        <v>Prpsap2</v>
      </c>
      <c r="E5903" t="str">
        <f>HYPERLINK("J:\Depot - mpkCCD Fractions\Main Web Page\Web Pages_old\proteomic_fractions_linear_files/Yang_linear_img/21450169.jpg","show blot")</f>
        <v>show blot</v>
      </c>
      <c r="G5903" t="s">
        <v>5690</v>
      </c>
      <c r="I5903" s="6">
        <v>6.1489197829092461</v>
      </c>
      <c r="K5903" s="8"/>
    </row>
    <row r="5904" spans="1:11" ht="15" x14ac:dyDescent="0.25">
      <c r="A5904" s="3" t="str">
        <f>HYPERLINK("proteomic_fractions_linear_files/Yang_linear_img/256773295.jpg", "256773295")</f>
        <v>256773295</v>
      </c>
      <c r="C5904" s="3" t="str">
        <f>HYPERLINK("http://www.ncbi.nlm.nih.gov/protein/256773295","Prpsap2")</f>
        <v>Prpsap2</v>
      </c>
      <c r="E5904" t="str">
        <f>HYPERLINK("J:\Depot - mpkCCD Fractions\Main Web Page\Web Pages_old\proteomic_fractions_linear_files/Yang_linear_img/256773295.jpg","show blot")</f>
        <v>show blot</v>
      </c>
      <c r="G5904" t="s">
        <v>5691</v>
      </c>
      <c r="I5904" s="6">
        <v>6.1489197829092461</v>
      </c>
      <c r="K5904" s="8"/>
    </row>
    <row r="5905" spans="1:11" ht="15" x14ac:dyDescent="0.25">
      <c r="A5905" s="3" t="str">
        <f>HYPERLINK("proteomic_fractions_linear_files/Yang_linear_img/110625811.jpg", "110625811")</f>
        <v>110625811</v>
      </c>
      <c r="C5905" s="3" t="str">
        <f>HYPERLINK("http://www.ncbi.nlm.nih.gov/protein/110625811","Prrc1")</f>
        <v>Prrc1</v>
      </c>
      <c r="E5905" t="str">
        <f>HYPERLINK("J:\Depot - mpkCCD Fractions\Main Web Page\Web Pages_old\proteomic_fractions_linear_files/Yang_linear_img/110625811.jpg","show blot")</f>
        <v>show blot</v>
      </c>
      <c r="G5905" t="s">
        <v>5692</v>
      </c>
      <c r="I5905" s="6">
        <v>4.0958442835846363</v>
      </c>
      <c r="K5905" s="8"/>
    </row>
    <row r="5906" spans="1:11" ht="15" x14ac:dyDescent="0.25">
      <c r="A5906" s="3" t="str">
        <f>HYPERLINK("proteomic_fractions_linear_files/Yang_linear_img/312261233.jpg", "312261233")</f>
        <v>312261233</v>
      </c>
      <c r="C5906" s="3" t="str">
        <f>HYPERLINK("http://www.ncbi.nlm.nih.gov/protein/312261233","Prrc2a")</f>
        <v>Prrc2a</v>
      </c>
      <c r="E5906" t="str">
        <f>HYPERLINK("J:\Depot - mpkCCD Fractions\Main Web Page\Web Pages_old\proteomic_fractions_linear_files/Yang_linear_img/312261233.jpg","show blot")</f>
        <v>show blot</v>
      </c>
      <c r="G5906" t="s">
        <v>5693</v>
      </c>
      <c r="I5906" s="6">
        <v>3.2776962736373654</v>
      </c>
      <c r="K5906" s="8"/>
    </row>
    <row r="5907" spans="1:11" ht="15" x14ac:dyDescent="0.25">
      <c r="A5907" s="3" t="str">
        <f>HYPERLINK("proteomic_fractions_linear_files/Yang_linear_img/92110037.jpg", "92110037")</f>
        <v>92110037</v>
      </c>
      <c r="C5907" s="3" t="str">
        <f>HYPERLINK("http://www.ncbi.nlm.nih.gov/protein/92110037","Prrc2a")</f>
        <v>Prrc2a</v>
      </c>
      <c r="E5907" t="str">
        <f>HYPERLINK("J:\Depot - mpkCCD Fractions\Main Web Page\Web Pages_old\proteomic_fractions_linear_files/Yang_linear_img/92110037.jpg","show blot")</f>
        <v>show blot</v>
      </c>
      <c r="G5907" t="s">
        <v>5694</v>
      </c>
      <c r="I5907" s="6">
        <v>3.2776962736373654</v>
      </c>
      <c r="K5907" s="8"/>
    </row>
    <row r="5908" spans="1:11" ht="15" x14ac:dyDescent="0.25">
      <c r="A5908" s="3" t="str">
        <f>HYPERLINK("proteomic_fractions_linear_files/Yang_linear_img/227500365.jpg", "227500365")</f>
        <v>227500365</v>
      </c>
      <c r="C5908" s="3" t="str">
        <f>HYPERLINK("http://www.ncbi.nlm.nih.gov/protein/227500365","Prrc2b")</f>
        <v>Prrc2b</v>
      </c>
      <c r="E5908" t="str">
        <f>HYPERLINK("J:\Depot - mpkCCD Fractions\Main Web Page\Web Pages_old\proteomic_fractions_linear_files/Yang_linear_img/227500365.jpg","show blot")</f>
        <v>show blot</v>
      </c>
      <c r="G5908" t="s">
        <v>5695</v>
      </c>
      <c r="I5908" s="6">
        <v>2.0641323090602475</v>
      </c>
      <c r="K5908" s="8"/>
    </row>
    <row r="5909" spans="1:11" ht="15" x14ac:dyDescent="0.25">
      <c r="A5909" s="3" t="str">
        <f>HYPERLINK("proteomic_fractions_linear_files/Yang_linear_img/34328385.jpg", "34328385")</f>
        <v>34328385</v>
      </c>
      <c r="C5909" s="3" t="str">
        <f>HYPERLINK("http://www.ncbi.nlm.nih.gov/protein/34328385","Prrc2b")</f>
        <v>Prrc2b</v>
      </c>
      <c r="E5909" t="str">
        <f>HYPERLINK("J:\Depot - mpkCCD Fractions\Main Web Page\Web Pages_old\proteomic_fractions_linear_files/Yang_linear_img/34328385.jpg","show blot")</f>
        <v>show blot</v>
      </c>
      <c r="G5909" t="s">
        <v>5696</v>
      </c>
      <c r="I5909" s="6">
        <v>2.0641323090602475</v>
      </c>
      <c r="K5909" s="8"/>
    </row>
    <row r="5910" spans="1:11" ht="15" x14ac:dyDescent="0.25">
      <c r="A5910" s="3" t="str">
        <f>HYPERLINK("proteomic_fractions_linear_files/Yang_linear_img/124486835.jpg", "124486835")</f>
        <v>124486835</v>
      </c>
      <c r="C5910" s="3" t="str">
        <f>HYPERLINK("http://www.ncbi.nlm.nih.gov/protein/124486835","Prrc2c")</f>
        <v>Prrc2c</v>
      </c>
      <c r="E5910" t="str">
        <f>HYPERLINK("J:\Depot - mpkCCD Fractions\Main Web Page\Web Pages_old\proteomic_fractions_linear_files/Yang_linear_img/124486835.jpg","show blot")</f>
        <v>show blot</v>
      </c>
      <c r="G5910" t="s">
        <v>5697</v>
      </c>
      <c r="I5910" s="6">
        <v>3.8253693021844581</v>
      </c>
      <c r="K5910" s="8"/>
    </row>
    <row r="5911" spans="1:11" ht="15" x14ac:dyDescent="0.25">
      <c r="A5911" s="3" t="str">
        <f>HYPERLINK("proteomic_fractions_linear_files/Yang_linear_img/16716569.jpg", "16716569")</f>
        <v>16716569</v>
      </c>
      <c r="C5911" s="3" t="str">
        <f>HYPERLINK("http://www.ncbi.nlm.nih.gov/protein/16716569","Prss1")</f>
        <v>Prss1</v>
      </c>
      <c r="E5911" t="str">
        <f>HYPERLINK("J:\Depot - mpkCCD Fractions\Main Web Page\Web Pages_old\proteomic_fractions_linear_files/Yang_linear_img/16716569.jpg","show blot")</f>
        <v>show blot</v>
      </c>
      <c r="G5911" t="s">
        <v>5698</v>
      </c>
      <c r="I5911" s="6">
        <v>4.7017089620604064</v>
      </c>
      <c r="K5911" s="8"/>
    </row>
    <row r="5912" spans="1:11" ht="15" x14ac:dyDescent="0.25">
      <c r="A5912" s="3" t="str">
        <f>HYPERLINK("proteomic_fractions_linear_files/Yang_linear_img/19111160.jpg", "19111160")</f>
        <v>19111160</v>
      </c>
      <c r="C5912" s="3" t="str">
        <f>HYPERLINK("http://www.ncbi.nlm.nih.gov/protein/19111160","Prss8")</f>
        <v>Prss8</v>
      </c>
      <c r="E5912" t="str">
        <f>HYPERLINK("J:\Depot - mpkCCD Fractions\Main Web Page\Web Pages_old\proteomic_fractions_linear_files/Yang_linear_img/19111160.jpg","show blot")</f>
        <v>show blot</v>
      </c>
      <c r="G5912" t="s">
        <v>5699</v>
      </c>
      <c r="I5912" s="6">
        <v>3.4120864383906375</v>
      </c>
      <c r="K5912" s="8"/>
    </row>
    <row r="5913" spans="1:11" ht="15" x14ac:dyDescent="0.25">
      <c r="A5913" s="3" t="str">
        <f>HYPERLINK("proteomic_fractions_linear_files/Yang_linear_img/27597069.jpg", "27597069")</f>
        <v>27597069</v>
      </c>
      <c r="C5913" s="3" t="str">
        <f>HYPERLINK("http://www.ncbi.nlm.nih.gov/protein/27597069","Prune")</f>
        <v>Prune</v>
      </c>
      <c r="E5913" t="str">
        <f>HYPERLINK("J:\Depot - mpkCCD Fractions\Main Web Page\Web Pages_old\proteomic_fractions_linear_files/Yang_linear_img/27597069.jpg","show blot")</f>
        <v>show blot</v>
      </c>
      <c r="G5913" t="s">
        <v>5700</v>
      </c>
      <c r="I5913" s="6">
        <v>5.3805400912113361</v>
      </c>
      <c r="K5913" s="8"/>
    </row>
    <row r="5914" spans="1:11" ht="15" x14ac:dyDescent="0.25">
      <c r="A5914" s="3" t="str">
        <f>HYPERLINK("proteomic_fractions_linear_files/Yang_linear_img/225735645.jpg", "225735645")</f>
        <v>225735645</v>
      </c>
      <c r="C5914" s="3" t="str">
        <f>HYPERLINK("http://www.ncbi.nlm.nih.gov/protein/225735645","Psap")</f>
        <v>Psap</v>
      </c>
      <c r="E5914" t="str">
        <f>HYPERLINK("J:\Depot - mpkCCD Fractions\Main Web Page\Web Pages_old\proteomic_fractions_linear_files/Yang_linear_img/225735645.jpg","show blot")</f>
        <v>show blot</v>
      </c>
      <c r="G5914" t="s">
        <v>5701</v>
      </c>
      <c r="I5914" s="6">
        <v>6.9244216860397882</v>
      </c>
      <c r="K5914" s="8"/>
    </row>
    <row r="5915" spans="1:11" ht="15" x14ac:dyDescent="0.25">
      <c r="A5915" s="3" t="str">
        <f>HYPERLINK("proteomic_fractions_linear_files/Yang_linear_img/225735649.jpg", "225735649")</f>
        <v>225735649</v>
      </c>
      <c r="C5915" s="3" t="str">
        <f>HYPERLINK("http://www.ncbi.nlm.nih.gov/protein/225735649","Psap")</f>
        <v>Psap</v>
      </c>
      <c r="E5915" t="str">
        <f>HYPERLINK("J:\Depot - mpkCCD Fractions\Main Web Page\Web Pages_old\proteomic_fractions_linear_files/Yang_linear_img/225735649.jpg","show blot")</f>
        <v>show blot</v>
      </c>
      <c r="G5915" t="s">
        <v>5702</v>
      </c>
      <c r="I5915" s="6">
        <v>6.9244216860397882</v>
      </c>
      <c r="K5915" s="8"/>
    </row>
    <row r="5916" spans="1:11" ht="15" x14ac:dyDescent="0.25">
      <c r="A5916" s="3" t="str">
        <f>HYPERLINK("proteomic_fractions_linear_files/Yang_linear_img/225735651.jpg", "225735651")</f>
        <v>225735651</v>
      </c>
      <c r="C5916" s="3" t="str">
        <f>HYPERLINK("http://www.ncbi.nlm.nih.gov/protein/225735651","Psap")</f>
        <v>Psap</v>
      </c>
      <c r="E5916" t="str">
        <f>HYPERLINK("J:\Depot - mpkCCD Fractions\Main Web Page\Web Pages_old\proteomic_fractions_linear_files/Yang_linear_img/225735651.jpg","show blot")</f>
        <v>show blot</v>
      </c>
      <c r="G5916" t="s">
        <v>5703</v>
      </c>
      <c r="I5916" s="6">
        <v>6.9244216860397882</v>
      </c>
      <c r="K5916" s="8"/>
    </row>
    <row r="5917" spans="1:11" ht="15" x14ac:dyDescent="0.25">
      <c r="A5917" s="3" t="str">
        <f>HYPERLINK("proteomic_fractions_linear_files/Yang_linear_img/225735653.jpg", "225735653")</f>
        <v>225735653</v>
      </c>
      <c r="C5917" s="3" t="str">
        <f>HYPERLINK("http://www.ncbi.nlm.nih.gov/protein/225735653","Psap")</f>
        <v>Psap</v>
      </c>
      <c r="E5917" t="str">
        <f>HYPERLINK("J:\Depot - mpkCCD Fractions\Main Web Page\Web Pages_old\proteomic_fractions_linear_files/Yang_linear_img/225735653.jpg","show blot")</f>
        <v>show blot</v>
      </c>
      <c r="G5917" t="s">
        <v>5704</v>
      </c>
      <c r="I5917" s="6">
        <v>6.9244216860397882</v>
      </c>
      <c r="K5917" s="8"/>
    </row>
    <row r="5918" spans="1:11" ht="15" x14ac:dyDescent="0.25">
      <c r="A5918" s="3" t="str">
        <f>HYPERLINK("proteomic_fractions_linear_files/Yang_linear_img/225735655.jpg", "225735655")</f>
        <v>225735655</v>
      </c>
      <c r="C5918" s="3" t="str">
        <f>HYPERLINK("http://www.ncbi.nlm.nih.gov/protein/225735655","Psap")</f>
        <v>Psap</v>
      </c>
      <c r="E5918" t="str">
        <f>HYPERLINK("J:\Depot - mpkCCD Fractions\Main Web Page\Web Pages_old\proteomic_fractions_linear_files/Yang_linear_img/225735655.jpg","show blot")</f>
        <v>show blot</v>
      </c>
      <c r="G5918" t="s">
        <v>5705</v>
      </c>
      <c r="I5918" s="6">
        <v>6.9244216860397882</v>
      </c>
      <c r="K5918" s="8"/>
    </row>
    <row r="5919" spans="1:11" ht="15" x14ac:dyDescent="0.25">
      <c r="A5919" s="3" t="str">
        <f>HYPERLINK("proteomic_fractions_linear_files/Yang_linear_img/225735657.jpg", "225735657")</f>
        <v>225735657</v>
      </c>
      <c r="C5919" s="3" t="str">
        <f>HYPERLINK("http://www.ncbi.nlm.nih.gov/protein/225735657","Psap")</f>
        <v>Psap</v>
      </c>
      <c r="E5919" t="str">
        <f>HYPERLINK("J:\Depot - mpkCCD Fractions\Main Web Page\Web Pages_old\proteomic_fractions_linear_files/Yang_linear_img/225735657.jpg","show blot")</f>
        <v>show blot</v>
      </c>
      <c r="G5919" t="s">
        <v>5706</v>
      </c>
      <c r="I5919" s="6">
        <v>6.9244216860397882</v>
      </c>
      <c r="K5919" s="8"/>
    </row>
    <row r="5920" spans="1:11" ht="15" x14ac:dyDescent="0.25">
      <c r="A5920" s="3" t="str">
        <f>HYPERLINK("proteomic_fractions_linear_files/Yang_linear_img/329299029.jpg", "329299029")</f>
        <v>329299029</v>
      </c>
      <c r="C5920" s="3" t="str">
        <f>HYPERLINK("http://www.ncbi.nlm.nih.gov/protein/329299029","Psat1")</f>
        <v>Psat1</v>
      </c>
      <c r="E5920" t="str">
        <f>HYPERLINK("J:\Depot - mpkCCD Fractions\Main Web Page\Web Pages_old\proteomic_fractions_linear_files/Yang_linear_img/329299029.jpg","show blot")</f>
        <v>show blot</v>
      </c>
      <c r="G5920" t="s">
        <v>5707</v>
      </c>
      <c r="I5920" s="6">
        <v>6.6423636770720371</v>
      </c>
      <c r="K5920" s="8"/>
    </row>
    <row r="5921" spans="1:11" ht="15" x14ac:dyDescent="0.25">
      <c r="A5921" s="3" t="str">
        <f>HYPERLINK("proteomic_fractions_linear_files/Yang_linear_img/54292132.jpg", "54292132")</f>
        <v>54292132</v>
      </c>
      <c r="C5921" s="3" t="str">
        <f>HYPERLINK("http://www.ncbi.nlm.nih.gov/protein/54292132","Psat1")</f>
        <v>Psat1</v>
      </c>
      <c r="E5921" t="str">
        <f>HYPERLINK("J:\Depot - mpkCCD Fractions\Main Web Page\Web Pages_old\proteomic_fractions_linear_files/Yang_linear_img/54292132.jpg","show blot")</f>
        <v>show blot</v>
      </c>
      <c r="G5921" t="s">
        <v>5708</v>
      </c>
      <c r="I5921" s="6">
        <v>6.6423636770720371</v>
      </c>
      <c r="K5921" s="8"/>
    </row>
    <row r="5922" spans="1:11" ht="15" x14ac:dyDescent="0.25">
      <c r="A5922" s="3" t="str">
        <f>HYPERLINK("proteomic_fractions_linear_files/Yang_linear_img/6679493.jpg", "6679493")</f>
        <v>6679493</v>
      </c>
      <c r="C5922" s="3" t="str">
        <f>HYPERLINK("http://www.ncbi.nlm.nih.gov/protein/6679493","Psen1")</f>
        <v>Psen1</v>
      </c>
      <c r="E5922" t="str">
        <f>HYPERLINK("J:\Depot - mpkCCD Fractions\Main Web Page\Web Pages_old\proteomic_fractions_linear_files/Yang_linear_img/6679493.jpg","show blot")</f>
        <v>show blot</v>
      </c>
      <c r="G5922" t="s">
        <v>5709</v>
      </c>
      <c r="I5922" s="6">
        <v>3.9422432064379871</v>
      </c>
      <c r="K5922" s="8"/>
    </row>
    <row r="5923" spans="1:11" ht="15" x14ac:dyDescent="0.25">
      <c r="A5923" s="3" t="str">
        <f>HYPERLINK("proteomic_fractions_linear_files/Yang_linear_img/190684663;190684661.jpg", "190684663;190684661")</f>
        <v>190684663;190684661</v>
      </c>
      <c r="C5923" s="3" t="str">
        <f>HYPERLINK("http://www.ncbi.nlm.nih.gov/protein/190684663;190684661","Psen2")</f>
        <v>Psen2</v>
      </c>
      <c r="E5923" t="str">
        <f>HYPERLINK("J:\Depot - mpkCCD Fractions\Main Web Page\Web Pages_old\proteomic_fractions_linear_files/Yang_linear_img/190684663;190684661.jpg","show blot")</f>
        <v>show blot</v>
      </c>
      <c r="G5923" t="s">
        <v>5710</v>
      </c>
      <c r="I5923" s="6">
        <v>3.8985222440836012</v>
      </c>
      <c r="K5923" s="8"/>
    </row>
    <row r="5924" spans="1:11" ht="15" x14ac:dyDescent="0.25">
      <c r="A5924" s="3" t="str">
        <f>HYPERLINK("proteomic_fractions_linear_files/Yang_linear_img/13384922.jpg", "13384922")</f>
        <v>13384922</v>
      </c>
      <c r="C5924" s="3" t="str">
        <f>HYPERLINK("http://www.ncbi.nlm.nih.gov/protein/13384922","Psenen")</f>
        <v>Psenen</v>
      </c>
      <c r="E5924" t="str">
        <f>HYPERLINK("J:\Depot - mpkCCD Fractions\Main Web Page\Web Pages_old\proteomic_fractions_linear_files/Yang_linear_img/13384922.jpg","show blot")</f>
        <v>show blot</v>
      </c>
      <c r="G5924" t="s">
        <v>5711</v>
      </c>
      <c r="I5924" s="6">
        <v>4.2278170674121478</v>
      </c>
      <c r="K5924" s="8"/>
    </row>
    <row r="5925" spans="1:11" ht="15" x14ac:dyDescent="0.25">
      <c r="A5925" s="3" t="str">
        <f>HYPERLINK("proteomic_fractions_linear_files/Yang_linear_img/19527168.jpg", "19527168")</f>
        <v>19527168</v>
      </c>
      <c r="C5925" s="3" t="str">
        <f>HYPERLINK("http://www.ncbi.nlm.nih.gov/protein/19527168","Psip1")</f>
        <v>Psip1</v>
      </c>
      <c r="E5925" t="str">
        <f>HYPERLINK("J:\Depot - mpkCCD Fractions\Main Web Page\Web Pages_old\proteomic_fractions_linear_files/Yang_linear_img/19527168.jpg","show blot")</f>
        <v>show blot</v>
      </c>
      <c r="G5925" t="s">
        <v>5712</v>
      </c>
      <c r="I5925" s="6">
        <v>5.1184936974106252</v>
      </c>
      <c r="K5925" s="8"/>
    </row>
    <row r="5926" spans="1:11" ht="15" x14ac:dyDescent="0.25">
      <c r="A5926" s="3" t="str">
        <f>HYPERLINK("proteomic_fractions_linear_files/Yang_linear_img/33563282.jpg", "33563282")</f>
        <v>33563282</v>
      </c>
      <c r="C5926" s="3" t="str">
        <f>HYPERLINK("http://www.ncbi.nlm.nih.gov/protein/33563282","Psma1")</f>
        <v>Psma1</v>
      </c>
      <c r="E5926" t="str">
        <f>HYPERLINK("J:\Depot - mpkCCD Fractions\Main Web Page\Web Pages_old\proteomic_fractions_linear_files/Yang_linear_img/33563282.jpg","show blot")</f>
        <v>show blot</v>
      </c>
      <c r="G5926" t="s">
        <v>5713</v>
      </c>
      <c r="I5926" s="6">
        <v>6.6542351087763407</v>
      </c>
      <c r="K5926" s="8"/>
    </row>
    <row r="5927" spans="1:11" ht="15" x14ac:dyDescent="0.25">
      <c r="A5927" s="3" t="str">
        <f>HYPERLINK("proteomic_fractions_linear_files/Yang_linear_img/134031994.jpg", "134031994")</f>
        <v>134031994</v>
      </c>
      <c r="C5927" s="3" t="str">
        <f>HYPERLINK("http://www.ncbi.nlm.nih.gov/protein/134031994","Psma2")</f>
        <v>Psma2</v>
      </c>
      <c r="E5927" t="str">
        <f>HYPERLINK("J:\Depot - mpkCCD Fractions\Main Web Page\Web Pages_old\proteomic_fractions_linear_files/Yang_linear_img/134031994.jpg","show blot")</f>
        <v>show blot</v>
      </c>
      <c r="G5927" t="s">
        <v>5714</v>
      </c>
      <c r="I5927" s="6">
        <v>5.8593175097339181</v>
      </c>
      <c r="K5927" s="8"/>
    </row>
    <row r="5928" spans="1:11" ht="15" x14ac:dyDescent="0.25">
      <c r="A5928" s="3" t="str">
        <f>HYPERLINK("proteomic_fractions_linear_files/Yang_linear_img/261824000.jpg", "261824000")</f>
        <v>261824000</v>
      </c>
      <c r="C5928" s="3" t="str">
        <f>HYPERLINK("http://www.ncbi.nlm.nih.gov/protein/261824000","Psma3")</f>
        <v>Psma3</v>
      </c>
      <c r="E5928" t="str">
        <f>HYPERLINK("J:\Depot - mpkCCD Fractions\Main Web Page\Web Pages_old\proteomic_fractions_linear_files/Yang_linear_img/261824000.jpg","show blot")</f>
        <v>show blot</v>
      </c>
      <c r="G5928" t="s">
        <v>5715</v>
      </c>
      <c r="I5928" s="6">
        <v>6.4199973446637983</v>
      </c>
      <c r="K5928" s="8"/>
    </row>
    <row r="5929" spans="1:11" ht="15" x14ac:dyDescent="0.25">
      <c r="A5929" s="3" t="str">
        <f>HYPERLINK("proteomic_fractions_linear_files/Yang_linear_img/6755196.jpg", "6755196")</f>
        <v>6755196</v>
      </c>
      <c r="C5929" s="3" t="str">
        <f>HYPERLINK("http://www.ncbi.nlm.nih.gov/protein/6755196","Psma4")</f>
        <v>Psma4</v>
      </c>
      <c r="E5929" t="str">
        <f>HYPERLINK("J:\Depot - mpkCCD Fractions\Main Web Page\Web Pages_old\proteomic_fractions_linear_files/Yang_linear_img/6755196.jpg","show blot")</f>
        <v>show blot</v>
      </c>
      <c r="G5929" t="s">
        <v>5716</v>
      </c>
      <c r="I5929" s="6">
        <v>6.3217882233308984</v>
      </c>
      <c r="K5929" s="8"/>
    </row>
    <row r="5930" spans="1:11" ht="15" x14ac:dyDescent="0.25">
      <c r="A5930" s="3" t="str">
        <f>HYPERLINK("proteomic_fractions_linear_files/Yang_linear_img/7106387.jpg", "7106387")</f>
        <v>7106387</v>
      </c>
      <c r="C5930" s="3" t="str">
        <f>HYPERLINK("http://www.ncbi.nlm.nih.gov/protein/7106387","Psma5")</f>
        <v>Psma5</v>
      </c>
      <c r="E5930" t="str">
        <f>HYPERLINK("J:\Depot - mpkCCD Fractions\Main Web Page\Web Pages_old\proteomic_fractions_linear_files/Yang_linear_img/7106387.jpg","show blot")</f>
        <v>show blot</v>
      </c>
      <c r="G5930" t="s">
        <v>5717</v>
      </c>
      <c r="I5930" s="6">
        <v>6.3923201720808542</v>
      </c>
      <c r="K5930" s="8"/>
    </row>
    <row r="5931" spans="1:11" ht="15" x14ac:dyDescent="0.25">
      <c r="A5931" s="3" t="str">
        <f>HYPERLINK("proteomic_fractions_linear_files/Yang_linear_img/6755198.jpg", "6755198")</f>
        <v>6755198</v>
      </c>
      <c r="C5931" s="3" t="str">
        <f>HYPERLINK("http://www.ncbi.nlm.nih.gov/protein/6755198","Psma6")</f>
        <v>Psma6</v>
      </c>
      <c r="E5931" t="str">
        <f>HYPERLINK("J:\Depot - mpkCCD Fractions\Main Web Page\Web Pages_old\proteomic_fractions_linear_files/Yang_linear_img/6755198.jpg","show blot")</f>
        <v>show blot</v>
      </c>
      <c r="G5931" t="s">
        <v>5718</v>
      </c>
      <c r="I5931" s="6">
        <v>6.6864466956120561</v>
      </c>
      <c r="K5931" s="8"/>
    </row>
    <row r="5932" spans="1:11" ht="15" x14ac:dyDescent="0.25">
      <c r="A5932" s="3" t="str">
        <f>HYPERLINK("proteomic_fractions_linear_files/Yang_linear_img/7106389.jpg", "7106389")</f>
        <v>7106389</v>
      </c>
      <c r="C5932" s="3" t="str">
        <f>HYPERLINK("http://www.ncbi.nlm.nih.gov/protein/7106389","Psma7")</f>
        <v>Psma7</v>
      </c>
      <c r="E5932" t="str">
        <f>HYPERLINK("J:\Depot - mpkCCD Fractions\Main Web Page\Web Pages_old\proteomic_fractions_linear_files/Yang_linear_img/7106389.jpg","show blot")</f>
        <v>show blot</v>
      </c>
      <c r="G5932" t="s">
        <v>5719</v>
      </c>
      <c r="I5932" s="6">
        <v>6.590060132233619</v>
      </c>
      <c r="K5932" s="8"/>
    </row>
    <row r="5933" spans="1:11" ht="15" x14ac:dyDescent="0.25">
      <c r="A5933" s="3" t="str">
        <f>HYPERLINK("proteomic_fractions_linear_files/Yang_linear_img/254692831.jpg", "254692831")</f>
        <v>254692831</v>
      </c>
      <c r="C5933" s="3" t="str">
        <f>HYPERLINK("http://www.ncbi.nlm.nih.gov/protein/254692831","Psma8")</f>
        <v>Psma8</v>
      </c>
      <c r="E5933" t="str">
        <f>HYPERLINK("J:\Depot - mpkCCD Fractions\Main Web Page\Web Pages_old\proteomic_fractions_linear_files/Yang_linear_img/254692831.jpg","show blot")</f>
        <v>show blot</v>
      </c>
      <c r="G5933" t="s">
        <v>5720</v>
      </c>
      <c r="I5933" s="6">
        <v>5.7546283355511907</v>
      </c>
      <c r="K5933" s="8"/>
    </row>
    <row r="5934" spans="1:11" ht="15" x14ac:dyDescent="0.25">
      <c r="A5934" s="3" t="str">
        <f>HYPERLINK("proteomic_fractions_linear_files/Yang_linear_img/7242197.jpg", "7242197")</f>
        <v>7242197</v>
      </c>
      <c r="C5934" s="3" t="str">
        <f>HYPERLINK("http://www.ncbi.nlm.nih.gov/protein/7242197","Psmb1")</f>
        <v>Psmb1</v>
      </c>
      <c r="E5934" t="str">
        <f>HYPERLINK("J:\Depot - mpkCCD Fractions\Main Web Page\Web Pages_old\proteomic_fractions_linear_files/Yang_linear_img/7242197.jpg","show blot")</f>
        <v>show blot</v>
      </c>
      <c r="G5934" t="s">
        <v>5721</v>
      </c>
      <c r="I5934" s="6">
        <v>6.3876051650508172</v>
      </c>
      <c r="K5934" s="8"/>
    </row>
    <row r="5935" spans="1:11" ht="15" x14ac:dyDescent="0.25">
      <c r="A5935" s="3" t="str">
        <f>HYPERLINK("proteomic_fractions_linear_files/Yang_linear_img/227116345.jpg", "227116345")</f>
        <v>227116345</v>
      </c>
      <c r="C5935" s="3" t="str">
        <f>HYPERLINK("http://www.ncbi.nlm.nih.gov/protein/227116345","Psmb2")</f>
        <v>Psmb2</v>
      </c>
      <c r="E5935" t="str">
        <f>HYPERLINK("J:\Depot - mpkCCD Fractions\Main Web Page\Web Pages_old\proteomic_fractions_linear_files/Yang_linear_img/227116345.jpg","show blot")</f>
        <v>show blot</v>
      </c>
      <c r="G5935" t="s">
        <v>5722</v>
      </c>
      <c r="I5935" s="6">
        <v>6.2138881663611443</v>
      </c>
      <c r="K5935" s="8"/>
    </row>
    <row r="5936" spans="1:11" ht="15" x14ac:dyDescent="0.25">
      <c r="A5936" s="3" t="str">
        <f>HYPERLINK("proteomic_fractions_linear_files/Yang_linear_img/6755202.jpg", "6755202")</f>
        <v>6755202</v>
      </c>
      <c r="C5936" s="3" t="str">
        <f>HYPERLINK("http://www.ncbi.nlm.nih.gov/protein/6755202","Psmb3")</f>
        <v>Psmb3</v>
      </c>
      <c r="E5936" t="str">
        <f>HYPERLINK("J:\Depot - mpkCCD Fractions\Main Web Page\Web Pages_old\proteomic_fractions_linear_files/Yang_linear_img/6755202.jpg","show blot")</f>
        <v>show blot</v>
      </c>
      <c r="G5936" t="s">
        <v>5723</v>
      </c>
      <c r="I5936" s="6">
        <v>6.2065601703244537</v>
      </c>
      <c r="K5936" s="8"/>
    </row>
    <row r="5937" spans="1:11" ht="15" x14ac:dyDescent="0.25">
      <c r="A5937" s="3" t="str">
        <f>HYPERLINK("proteomic_fractions_linear_files/Yang_linear_img/254540082.jpg", "254540082")</f>
        <v>254540082</v>
      </c>
      <c r="C5937" s="3" t="str">
        <f>HYPERLINK("http://www.ncbi.nlm.nih.gov/protein/254540082","Psmb4")</f>
        <v>Psmb4</v>
      </c>
      <c r="E5937" t="str">
        <f>HYPERLINK("J:\Depot - mpkCCD Fractions\Main Web Page\Web Pages_old\proteomic_fractions_linear_files/Yang_linear_img/254540082.jpg","show blot")</f>
        <v>show blot</v>
      </c>
      <c r="G5937" t="s">
        <v>5724</v>
      </c>
      <c r="I5937" s="6">
        <v>5.9665298571860248</v>
      </c>
      <c r="K5937" s="8"/>
    </row>
    <row r="5938" spans="1:11" ht="15" x14ac:dyDescent="0.25">
      <c r="A5938" s="3" t="str">
        <f>HYPERLINK("proteomic_fractions_linear_files/Yang_linear_img/6755204.jpg", "6755204")</f>
        <v>6755204</v>
      </c>
      <c r="C5938" s="3" t="str">
        <f>HYPERLINK("http://www.ncbi.nlm.nih.gov/protein/6755204","Psmb5")</f>
        <v>Psmb5</v>
      </c>
      <c r="E5938" t="str">
        <f>HYPERLINK("J:\Depot - mpkCCD Fractions\Main Web Page\Web Pages_old\proteomic_fractions_linear_files/Yang_linear_img/6755204.jpg","show blot")</f>
        <v>show blot</v>
      </c>
      <c r="G5938" t="s">
        <v>5725</v>
      </c>
      <c r="I5938" s="6">
        <v>6.6691508353210791</v>
      </c>
      <c r="K5938" s="8"/>
    </row>
    <row r="5939" spans="1:11" ht="15" x14ac:dyDescent="0.25">
      <c r="A5939" s="3" t="str">
        <f>HYPERLINK("proteomic_fractions_linear_files/Yang_linear_img/238231384.jpg", "238231384")</f>
        <v>238231384</v>
      </c>
      <c r="C5939" s="3" t="str">
        <f>HYPERLINK("http://www.ncbi.nlm.nih.gov/protein/238231384","Psmb6")</f>
        <v>Psmb6</v>
      </c>
      <c r="E5939" t="str">
        <f>HYPERLINK("J:\Depot - mpkCCD Fractions\Main Web Page\Web Pages_old\proteomic_fractions_linear_files/Yang_linear_img/238231384.jpg","show blot")</f>
        <v>show blot</v>
      </c>
      <c r="G5939" t="s">
        <v>5726</v>
      </c>
      <c r="I5939" s="6">
        <v>6.4832478590155462</v>
      </c>
      <c r="K5939" s="8"/>
    </row>
    <row r="5940" spans="1:11" ht="15" x14ac:dyDescent="0.25">
      <c r="A5940" s="3" t="str">
        <f>HYPERLINK("proteomic_fractions_linear_files/Yang_linear_img/6755206.jpg", "6755206")</f>
        <v>6755206</v>
      </c>
      <c r="C5940" s="3" t="str">
        <f>HYPERLINK("http://www.ncbi.nlm.nih.gov/protein/6755206","Psmb7")</f>
        <v>Psmb7</v>
      </c>
      <c r="E5940" t="str">
        <f>HYPERLINK("J:\Depot - mpkCCD Fractions\Main Web Page\Web Pages_old\proteomic_fractions_linear_files/Yang_linear_img/6755206.jpg","show blot")</f>
        <v>show blot</v>
      </c>
      <c r="G5940" t="s">
        <v>5727</v>
      </c>
      <c r="I5940" s="6">
        <v>5.8035689447556251</v>
      </c>
      <c r="K5940" s="8"/>
    </row>
    <row r="5941" spans="1:11" ht="15" x14ac:dyDescent="0.25">
      <c r="A5941" s="3" t="str">
        <f>HYPERLINK("proteomic_fractions_linear_files/Yang_linear_img/158303322.jpg", "158303322")</f>
        <v>158303322</v>
      </c>
      <c r="C5941" s="3" t="str">
        <f>HYPERLINK("http://www.ncbi.nlm.nih.gov/protein/158303322","Psmb8")</f>
        <v>Psmb8</v>
      </c>
      <c r="E5941" t="str">
        <f>HYPERLINK("J:\Depot - mpkCCD Fractions\Main Web Page\Web Pages_old\proteomic_fractions_linear_files/Yang_linear_img/158303322.jpg","show blot")</f>
        <v>show blot</v>
      </c>
      <c r="G5941" t="s">
        <v>5728</v>
      </c>
      <c r="I5941" s="6">
        <v>3.1002180014245626</v>
      </c>
      <c r="K5941" s="8"/>
    </row>
    <row r="5942" spans="1:11" ht="15" x14ac:dyDescent="0.25">
      <c r="A5942" s="3" t="str">
        <f>HYPERLINK("proteomic_fractions_linear_files/Yang_linear_img/6679501.jpg", "6679501")</f>
        <v>6679501</v>
      </c>
      <c r="C5942" s="3" t="str">
        <f>HYPERLINK("http://www.ncbi.nlm.nih.gov/protein/6679501","Psmc1")</f>
        <v>Psmc1</v>
      </c>
      <c r="E5942" t="str">
        <f>HYPERLINK("J:\Depot - mpkCCD Fractions\Main Web Page\Web Pages_old\proteomic_fractions_linear_files/Yang_linear_img/6679501.jpg","show blot")</f>
        <v>show blot</v>
      </c>
      <c r="G5942" t="s">
        <v>5729</v>
      </c>
      <c r="I5942" s="6">
        <v>6.1812007053309754</v>
      </c>
      <c r="K5942" s="8"/>
    </row>
    <row r="5943" spans="1:11" ht="15" x14ac:dyDescent="0.25">
      <c r="A5943" s="3" t="str">
        <f>HYPERLINK("proteomic_fractions_linear_files/Yang_linear_img/33859604.jpg", "33859604")</f>
        <v>33859604</v>
      </c>
      <c r="C5943" s="3" t="str">
        <f>HYPERLINK("http://www.ncbi.nlm.nih.gov/protein/33859604","Psmc2")</f>
        <v>Psmc2</v>
      </c>
      <c r="E5943" t="str">
        <f>HYPERLINK("J:\Depot - mpkCCD Fractions\Main Web Page\Web Pages_old\proteomic_fractions_linear_files/Yang_linear_img/33859604.jpg","show blot")</f>
        <v>show blot</v>
      </c>
      <c r="G5943" t="s">
        <v>5730</v>
      </c>
      <c r="I5943" s="6">
        <v>6.2716449851586855</v>
      </c>
      <c r="K5943" s="8"/>
    </row>
    <row r="5944" spans="1:11" ht="15" x14ac:dyDescent="0.25">
      <c r="A5944" s="3" t="str">
        <f>HYPERLINK("proteomic_fractions_linear_files/Yang_linear_img/228008337.jpg", "228008337")</f>
        <v>228008337</v>
      </c>
      <c r="C5944" s="3" t="str">
        <f>HYPERLINK("http://www.ncbi.nlm.nih.gov/protein/228008337","Psmc3")</f>
        <v>Psmc3</v>
      </c>
      <c r="E5944" t="str">
        <f>HYPERLINK("J:\Depot - mpkCCD Fractions\Main Web Page\Web Pages_old\proteomic_fractions_linear_files/Yang_linear_img/228008337.jpg","show blot")</f>
        <v>show blot</v>
      </c>
      <c r="G5944" t="s">
        <v>5731</v>
      </c>
      <c r="I5944" s="6">
        <v>6.335752227415095</v>
      </c>
      <c r="K5944" s="8"/>
    </row>
    <row r="5945" spans="1:11" ht="15" x14ac:dyDescent="0.25">
      <c r="A5945" s="3" t="str">
        <f>HYPERLINK("proteomic_fractions_linear_files/Yang_linear_img/124248577.jpg", "124248577")</f>
        <v>124248577</v>
      </c>
      <c r="C5945" s="3" t="str">
        <f>HYPERLINK("http://www.ncbi.nlm.nih.gov/protein/124248577","Psmc4")</f>
        <v>Psmc4</v>
      </c>
      <c r="E5945" t="str">
        <f>HYPERLINK("J:\Depot - mpkCCD Fractions\Main Web Page\Web Pages_old\proteomic_fractions_linear_files/Yang_linear_img/124248577.jpg","show blot")</f>
        <v>show blot</v>
      </c>
      <c r="G5945" t="s">
        <v>5732</v>
      </c>
      <c r="I5945" s="6">
        <v>5.7936834076218746</v>
      </c>
      <c r="K5945" s="8"/>
    </row>
    <row r="5946" spans="1:11" ht="15" x14ac:dyDescent="0.25">
      <c r="A5946" s="3" t="str">
        <f>HYPERLINK("proteomic_fractions_linear_files/Yang_linear_img/7110703.jpg", "7110703")</f>
        <v>7110703</v>
      </c>
      <c r="C5946" s="3" t="str">
        <f>HYPERLINK("http://www.ncbi.nlm.nih.gov/protein/7110703","Psmc5")</f>
        <v>Psmc5</v>
      </c>
      <c r="E5946" t="str">
        <f>HYPERLINK("J:\Depot - mpkCCD Fractions\Main Web Page\Web Pages_old\proteomic_fractions_linear_files/Yang_linear_img/7110703.jpg","show blot")</f>
        <v>show blot</v>
      </c>
      <c r="G5946" t="s">
        <v>5733</v>
      </c>
      <c r="I5946" s="6">
        <v>6.1544971085941267</v>
      </c>
      <c r="K5946" s="8"/>
    </row>
    <row r="5947" spans="1:11" ht="15" x14ac:dyDescent="0.25">
      <c r="A5947" s="3" t="str">
        <f>HYPERLINK("proteomic_fractions_linear_files/Yang_linear_img/27754103.jpg", "27754103")</f>
        <v>27754103</v>
      </c>
      <c r="C5947" s="3" t="str">
        <f>HYPERLINK("http://www.ncbi.nlm.nih.gov/protein/27754103","Psmc6")</f>
        <v>Psmc6</v>
      </c>
      <c r="E5947" t="str">
        <f>HYPERLINK("J:\Depot - mpkCCD Fractions\Main Web Page\Web Pages_old\proteomic_fractions_linear_files/Yang_linear_img/27754103.jpg","show blot")</f>
        <v>show blot</v>
      </c>
      <c r="G5947" t="s">
        <v>5734</v>
      </c>
      <c r="I5947" s="6">
        <v>6.3269757584100823</v>
      </c>
      <c r="K5947" s="8"/>
    </row>
    <row r="5948" spans="1:11" ht="15" x14ac:dyDescent="0.25">
      <c r="A5948" s="3" t="str">
        <f>HYPERLINK("proteomic_fractions_linear_files/Yang_linear_img/74315975.jpg", "74315975")</f>
        <v>74315975</v>
      </c>
      <c r="C5948" s="3" t="str">
        <f>HYPERLINK("http://www.ncbi.nlm.nih.gov/protein/74315975","Psmd1")</f>
        <v>Psmd1</v>
      </c>
      <c r="E5948" t="str">
        <f>HYPERLINK("J:\Depot - mpkCCD Fractions\Main Web Page\Web Pages_old\proteomic_fractions_linear_files/Yang_linear_img/74315975.jpg","show blot")</f>
        <v>show blot</v>
      </c>
      <c r="G5948" t="s">
        <v>5735</v>
      </c>
      <c r="I5948" s="6">
        <v>6.0548917993871756</v>
      </c>
      <c r="K5948" s="8"/>
    </row>
    <row r="5949" spans="1:11" ht="15" x14ac:dyDescent="0.25">
      <c r="A5949" s="3" t="str">
        <f>HYPERLINK("proteomic_fractions_linear_files/Yang_linear_img/255958245.jpg", "255958245")</f>
        <v>255958245</v>
      </c>
      <c r="C5949" s="3" t="str">
        <f>HYPERLINK("http://www.ncbi.nlm.nih.gov/protein/255958245","Psmd10")</f>
        <v>Psmd10</v>
      </c>
      <c r="E5949" t="str">
        <f>HYPERLINK("J:\Depot - mpkCCD Fractions\Main Web Page\Web Pages_old\proteomic_fractions_linear_files/Yang_linear_img/255958245.jpg","show blot")</f>
        <v>show blot</v>
      </c>
      <c r="G5949" t="s">
        <v>5736</v>
      </c>
      <c r="I5949" s="6">
        <v>5.058117119134744</v>
      </c>
      <c r="K5949" s="8"/>
    </row>
    <row r="5950" spans="1:11" ht="15" x14ac:dyDescent="0.25">
      <c r="A5950" s="3" t="str">
        <f>HYPERLINK("proteomic_fractions_linear_files/Yang_linear_img/31980811.jpg", "31980811")</f>
        <v>31980811</v>
      </c>
      <c r="C5950" s="3" t="str">
        <f>HYPERLINK("http://www.ncbi.nlm.nih.gov/protein/31980811","Psmd10")</f>
        <v>Psmd10</v>
      </c>
      <c r="E5950" t="str">
        <f>HYPERLINK("J:\Depot - mpkCCD Fractions\Main Web Page\Web Pages_old\proteomic_fractions_linear_files/Yang_linear_img/31980811.jpg","show blot")</f>
        <v>show blot</v>
      </c>
      <c r="G5950" t="s">
        <v>5737</v>
      </c>
      <c r="I5950" s="6">
        <v>5.058117119134744</v>
      </c>
      <c r="K5950" s="8"/>
    </row>
    <row r="5951" spans="1:11" ht="15" x14ac:dyDescent="0.25">
      <c r="A5951" s="3" t="str">
        <f>HYPERLINK("proteomic_fractions_linear_files/Yang_linear_img/134053905.jpg", "134053905")</f>
        <v>134053905</v>
      </c>
      <c r="C5951" s="3" t="str">
        <f>HYPERLINK("http://www.ncbi.nlm.nih.gov/protein/134053905","Psmd11")</f>
        <v>Psmd11</v>
      </c>
      <c r="E5951" t="str">
        <f>HYPERLINK("J:\Depot - mpkCCD Fractions\Main Web Page\Web Pages_old\proteomic_fractions_linear_files/Yang_linear_img/134053905.jpg","show blot")</f>
        <v>show blot</v>
      </c>
      <c r="G5951" t="s">
        <v>5738</v>
      </c>
      <c r="I5951" s="6">
        <v>6.2659148211912559</v>
      </c>
      <c r="K5951" s="8"/>
    </row>
    <row r="5952" spans="1:11" ht="15" x14ac:dyDescent="0.25">
      <c r="A5952" s="3" t="str">
        <f>HYPERLINK("proteomic_fractions_linear_files/Yang_linear_img/13385384.jpg", "13385384")</f>
        <v>13385384</v>
      </c>
      <c r="C5952" s="3" t="str">
        <f>HYPERLINK("http://www.ncbi.nlm.nih.gov/protein/13385384","Psmd12")</f>
        <v>Psmd12</v>
      </c>
      <c r="E5952" t="str">
        <f>HYPERLINK("J:\Depot - mpkCCD Fractions\Main Web Page\Web Pages_old\proteomic_fractions_linear_files/Yang_linear_img/13385384.jpg","show blot")</f>
        <v>show blot</v>
      </c>
      <c r="G5952" t="s">
        <v>5739</v>
      </c>
      <c r="I5952" s="6">
        <v>6.1037253405619447</v>
      </c>
      <c r="K5952" s="8"/>
    </row>
    <row r="5953" spans="1:11" ht="15" x14ac:dyDescent="0.25">
      <c r="A5953" s="3" t="str">
        <f>HYPERLINK("proteomic_fractions_linear_files/Yang_linear_img/6755210.jpg", "6755210")</f>
        <v>6755210</v>
      </c>
      <c r="C5953" s="3" t="str">
        <f>HYPERLINK("http://www.ncbi.nlm.nih.gov/protein/6755210","Psmd13")</f>
        <v>Psmd13</v>
      </c>
      <c r="E5953" t="str">
        <f>HYPERLINK("J:\Depot - mpkCCD Fractions\Main Web Page\Web Pages_old\proteomic_fractions_linear_files/Yang_linear_img/6755210.jpg","show blot")</f>
        <v>show blot</v>
      </c>
      <c r="G5953" t="s">
        <v>5740</v>
      </c>
      <c r="I5953" s="6">
        <v>6.3359906378822721</v>
      </c>
      <c r="K5953" s="8"/>
    </row>
    <row r="5954" spans="1:11" ht="15" x14ac:dyDescent="0.25">
      <c r="A5954" s="3" t="str">
        <f>HYPERLINK("proteomic_fractions_linear_files/Yang_linear_img/145966883.jpg", "145966883")</f>
        <v>145966883</v>
      </c>
      <c r="C5954" s="3" t="str">
        <f>HYPERLINK("http://www.ncbi.nlm.nih.gov/protein/145966883","Psmd14")</f>
        <v>Psmd14</v>
      </c>
      <c r="E5954" t="str">
        <f>HYPERLINK("J:\Depot - mpkCCD Fractions\Main Web Page\Web Pages_old\proteomic_fractions_linear_files/Yang_linear_img/145966883.jpg","show blot")</f>
        <v>show blot</v>
      </c>
      <c r="G5954" t="s">
        <v>5741</v>
      </c>
      <c r="I5954" s="6">
        <v>5.5950326240351798</v>
      </c>
      <c r="K5954" s="8"/>
    </row>
    <row r="5955" spans="1:11" ht="15" x14ac:dyDescent="0.25">
      <c r="A5955" s="3" t="str">
        <f>HYPERLINK("proteomic_fractions_linear_files/Yang_linear_img/19882201.jpg", "19882201")</f>
        <v>19882201</v>
      </c>
      <c r="C5955" s="3" t="str">
        <f>HYPERLINK("http://www.ncbi.nlm.nih.gov/protein/19882201","Psmd2")</f>
        <v>Psmd2</v>
      </c>
      <c r="E5955" t="str">
        <f>HYPERLINK("J:\Depot - mpkCCD Fractions\Main Web Page\Web Pages_old\proteomic_fractions_linear_files/Yang_linear_img/19882201.jpg","show blot")</f>
        <v>show blot</v>
      </c>
      <c r="G5955" t="s">
        <v>5742</v>
      </c>
      <c r="I5955" s="6">
        <v>6.0440653127276276</v>
      </c>
      <c r="K5955" s="8"/>
    </row>
    <row r="5956" spans="1:11" ht="15" x14ac:dyDescent="0.25">
      <c r="A5956" s="3" t="str">
        <f>HYPERLINK("proteomic_fractions_linear_files/Yang_linear_img/19705424.jpg", "19705424")</f>
        <v>19705424</v>
      </c>
      <c r="C5956" s="3" t="str">
        <f>HYPERLINK("http://www.ncbi.nlm.nih.gov/protein/19705424","Psmd3")</f>
        <v>Psmd3</v>
      </c>
      <c r="E5956" t="str">
        <f>HYPERLINK("J:\Depot - mpkCCD Fractions\Main Web Page\Web Pages_old\proteomic_fractions_linear_files/Yang_linear_img/19705424.jpg","show blot")</f>
        <v>show blot</v>
      </c>
      <c r="G5956" t="s">
        <v>5743</v>
      </c>
      <c r="I5956" s="6">
        <v>6.3991968999126376</v>
      </c>
      <c r="K5956" s="8"/>
    </row>
    <row r="5957" spans="1:11" ht="15" x14ac:dyDescent="0.25">
      <c r="A5957" s="3" t="str">
        <f>HYPERLINK("proteomic_fractions_linear_files/Yang_linear_img/6679505.jpg", "6679505")</f>
        <v>6679505</v>
      </c>
      <c r="C5957" s="3" t="str">
        <f>HYPERLINK("http://www.ncbi.nlm.nih.gov/protein/6679505","Psmd4")</f>
        <v>Psmd4</v>
      </c>
      <c r="E5957" t="str">
        <f>HYPERLINK("J:\Depot - mpkCCD Fractions\Main Web Page\Web Pages_old\proteomic_fractions_linear_files/Yang_linear_img/6679505.jpg","show blot")</f>
        <v>show blot</v>
      </c>
      <c r="G5957" t="s">
        <v>5744</v>
      </c>
      <c r="I5957" s="6">
        <v>5.9588203581999002</v>
      </c>
      <c r="K5957" s="8"/>
    </row>
    <row r="5958" spans="1:11" ht="15" x14ac:dyDescent="0.25">
      <c r="A5958" s="3" t="str">
        <f>HYPERLINK("proteomic_fractions_linear_files/Yang_linear_img/134053913.jpg", "134053913")</f>
        <v>134053913</v>
      </c>
      <c r="C5958" s="3" t="str">
        <f>HYPERLINK("http://www.ncbi.nlm.nih.gov/protein/134053913","Psmd5")</f>
        <v>Psmd5</v>
      </c>
      <c r="E5958" t="str">
        <f>HYPERLINK("J:\Depot - mpkCCD Fractions\Main Web Page\Web Pages_old\proteomic_fractions_linear_files/Yang_linear_img/134053913.jpg","show blot")</f>
        <v>show blot</v>
      </c>
      <c r="G5958" t="s">
        <v>5745</v>
      </c>
      <c r="I5958" s="6">
        <v>6.0449235274860671</v>
      </c>
      <c r="K5958" s="8"/>
    </row>
    <row r="5959" spans="1:11" ht="15" x14ac:dyDescent="0.25">
      <c r="A5959" s="3" t="str">
        <f>HYPERLINK("proteomic_fractions_linear_files/Yang_linear_img/46049022.jpg", "46049022")</f>
        <v>46049022</v>
      </c>
      <c r="C5959" s="3" t="str">
        <f>HYPERLINK("http://www.ncbi.nlm.nih.gov/protein/46049022","Psmd6")</f>
        <v>Psmd6</v>
      </c>
      <c r="E5959" t="str">
        <f>HYPERLINK("J:\Depot - mpkCCD Fractions\Main Web Page\Web Pages_old\proteomic_fractions_linear_files/Yang_linear_img/46049022.jpg","show blot")</f>
        <v>show blot</v>
      </c>
      <c r="G5959" t="s">
        <v>5746</v>
      </c>
      <c r="I5959" s="6">
        <v>6.3304325380883286</v>
      </c>
      <c r="K5959" s="8"/>
    </row>
    <row r="5960" spans="1:11" ht="15" x14ac:dyDescent="0.25">
      <c r="A5960" s="3" t="str">
        <f>HYPERLINK("proteomic_fractions_linear_files/Yang_linear_img/6754724.jpg", "6754724")</f>
        <v>6754724</v>
      </c>
      <c r="C5960" s="3" t="str">
        <f>HYPERLINK("http://www.ncbi.nlm.nih.gov/protein/6754724","Psmd7")</f>
        <v>Psmd7</v>
      </c>
      <c r="E5960" t="str">
        <f>HYPERLINK("J:\Depot - mpkCCD Fractions\Main Web Page\Web Pages_old\proteomic_fractions_linear_files/Yang_linear_img/6754724.jpg","show blot")</f>
        <v>show blot</v>
      </c>
      <c r="G5960" t="s">
        <v>5747</v>
      </c>
      <c r="I5960" s="6">
        <v>6.0841454063322082</v>
      </c>
      <c r="K5960" s="8"/>
    </row>
    <row r="5961" spans="1:11" ht="15" x14ac:dyDescent="0.25">
      <c r="A5961" s="3" t="str">
        <f>HYPERLINK("proteomic_fractions_linear_files/Yang_linear_img/156713423.jpg", "156713423")</f>
        <v>156713423</v>
      </c>
      <c r="C5961" s="3" t="str">
        <f>HYPERLINK("http://www.ncbi.nlm.nih.gov/protein/156713423","Psmd8")</f>
        <v>Psmd8</v>
      </c>
      <c r="E5961" t="str">
        <f>HYPERLINK("J:\Depot - mpkCCD Fractions\Main Web Page\Web Pages_old\proteomic_fractions_linear_files/Yang_linear_img/156713423.jpg","show blot")</f>
        <v>show blot</v>
      </c>
      <c r="G5961" t="s">
        <v>5748</v>
      </c>
      <c r="I5961" s="6">
        <v>6.0829349341599714</v>
      </c>
      <c r="K5961" s="8"/>
    </row>
    <row r="5962" spans="1:11" ht="15" x14ac:dyDescent="0.25">
      <c r="A5962" s="3" t="str">
        <f>HYPERLINK("proteomic_fractions_linear_files/Yang_linear_img/119508441.jpg", "119508441")</f>
        <v>119508441</v>
      </c>
      <c r="C5962" s="3" t="str">
        <f>HYPERLINK("http://www.ncbi.nlm.nih.gov/protein/119508441","Psmd9")</f>
        <v>Psmd9</v>
      </c>
      <c r="E5962" t="str">
        <f>HYPERLINK("J:\Depot - mpkCCD Fractions\Main Web Page\Web Pages_old\proteomic_fractions_linear_files/Yang_linear_img/119508441.jpg","show blot")</f>
        <v>show blot</v>
      </c>
      <c r="G5962" t="s">
        <v>5749</v>
      </c>
      <c r="I5962" s="6">
        <v>5.6503634433257313</v>
      </c>
      <c r="K5962" s="8"/>
    </row>
    <row r="5963" spans="1:11" ht="15" x14ac:dyDescent="0.25">
      <c r="A5963" s="3" t="str">
        <f>HYPERLINK("proteomic_fractions_linear_files/Yang_linear_img/6755212.jpg", "6755212")</f>
        <v>6755212</v>
      </c>
      <c r="C5963" s="3" t="str">
        <f>HYPERLINK("http://www.ncbi.nlm.nih.gov/protein/6755212","Psme1")</f>
        <v>Psme1</v>
      </c>
      <c r="E5963" t="str">
        <f>HYPERLINK("J:\Depot - mpkCCD Fractions\Main Web Page\Web Pages_old\proteomic_fractions_linear_files/Yang_linear_img/6755212.jpg","show blot")</f>
        <v>show blot</v>
      </c>
      <c r="G5963" t="s">
        <v>5750</v>
      </c>
      <c r="I5963" s="6">
        <v>6.4069499960303737</v>
      </c>
      <c r="K5963" s="8"/>
    </row>
    <row r="5964" spans="1:11" ht="15" x14ac:dyDescent="0.25">
      <c r="A5964" s="3" t="str">
        <f>HYPERLINK("proteomic_fractions_linear_files/Yang_linear_img/20137004.jpg", "20137004")</f>
        <v>20137004</v>
      </c>
      <c r="C5964" s="3" t="str">
        <f>HYPERLINK("http://www.ncbi.nlm.nih.gov/protein/20137004","Psme2")</f>
        <v>Psme2</v>
      </c>
      <c r="E5964" t="str">
        <f>HYPERLINK("J:\Depot - mpkCCD Fractions\Main Web Page\Web Pages_old\proteomic_fractions_linear_files/Yang_linear_img/20137004.jpg","show blot")</f>
        <v>show blot</v>
      </c>
      <c r="G5964" t="s">
        <v>5751</v>
      </c>
      <c r="I5964" s="6">
        <v>6.1252089301627493</v>
      </c>
      <c r="K5964" s="8"/>
    </row>
    <row r="5965" spans="1:11" ht="15" x14ac:dyDescent="0.25">
      <c r="A5965" s="3" t="str">
        <f>HYPERLINK("proteomic_fractions_linear_files/Yang_linear_img/71725358.jpg", "71725358")</f>
        <v>71725358</v>
      </c>
      <c r="C5965" s="3" t="str">
        <f>HYPERLINK("http://www.ncbi.nlm.nih.gov/protein/71725358","Psme2")</f>
        <v>Psme2</v>
      </c>
      <c r="E5965" t="str">
        <f>HYPERLINK("J:\Depot - mpkCCD Fractions\Main Web Page\Web Pages_old\proteomic_fractions_linear_files/Yang_linear_img/71725358.jpg","show blot")</f>
        <v>show blot</v>
      </c>
      <c r="G5965" t="s">
        <v>5752</v>
      </c>
      <c r="I5965" s="6">
        <v>6.1252089301627493</v>
      </c>
      <c r="K5965" s="8"/>
    </row>
    <row r="5966" spans="1:11" ht="15" x14ac:dyDescent="0.25">
      <c r="A5966" s="3" t="str">
        <f>HYPERLINK("proteomic_fractions_linear_files/Yang_linear_img/527317390.jpg", "527317390")</f>
        <v>527317390</v>
      </c>
      <c r="C5966" s="3" t="str">
        <f>HYPERLINK("http://www.ncbi.nlm.nih.gov/protein/527317390","Psme2b")</f>
        <v>Psme2b</v>
      </c>
      <c r="E5966" t="str">
        <f>HYPERLINK("J:\Depot - mpkCCD Fractions\Main Web Page\Web Pages_old\proteomic_fractions_linear_files/Yang_linear_img/527317390.jpg","show blot")</f>
        <v>show blot</v>
      </c>
      <c r="G5966" t="s">
        <v>5753</v>
      </c>
      <c r="I5966" s="6">
        <v>2.6215784916635196</v>
      </c>
      <c r="K5966" s="8"/>
    </row>
    <row r="5967" spans="1:11" ht="15" x14ac:dyDescent="0.25">
      <c r="A5967" s="3" t="str">
        <f>HYPERLINK("proteomic_fractions_linear_files/Yang_linear_img/6755214.jpg", "6755214")</f>
        <v>6755214</v>
      </c>
      <c r="C5967" s="3" t="str">
        <f>HYPERLINK("http://www.ncbi.nlm.nih.gov/protein/6755214","Psme3")</f>
        <v>Psme3</v>
      </c>
      <c r="E5967" t="str">
        <f>HYPERLINK("J:\Depot - mpkCCD Fractions\Main Web Page\Web Pages_old\proteomic_fractions_linear_files/Yang_linear_img/6755214.jpg","show blot")</f>
        <v>show blot</v>
      </c>
      <c r="G5967" t="s">
        <v>5754</v>
      </c>
      <c r="I5967" s="6">
        <v>5.5558611717161366</v>
      </c>
      <c r="K5967" s="8"/>
    </row>
    <row r="5968" spans="1:11" ht="15" x14ac:dyDescent="0.25">
      <c r="A5968" s="3" t="str">
        <f>HYPERLINK("proteomic_fractions_linear_files/Yang_linear_img/117956381.jpg", "117956381")</f>
        <v>117956381</v>
      </c>
      <c r="C5968" s="3" t="str">
        <f>HYPERLINK("http://www.ncbi.nlm.nih.gov/protein/117956381","Psme4")</f>
        <v>Psme4</v>
      </c>
      <c r="E5968" t="str">
        <f>HYPERLINK("J:\Depot - mpkCCD Fractions\Main Web Page\Web Pages_old\proteomic_fractions_linear_files/Yang_linear_img/117956381.jpg","show blot")</f>
        <v>show blot</v>
      </c>
      <c r="G5968" t="s">
        <v>5755</v>
      </c>
      <c r="I5968" s="6">
        <v>3.8918406592760011</v>
      </c>
      <c r="K5968" s="8"/>
    </row>
    <row r="5969" spans="1:11" ht="15" x14ac:dyDescent="0.25">
      <c r="A5969" s="3" t="str">
        <f>HYPERLINK("proteomic_fractions_linear_files/Yang_linear_img/47078287.jpg", "47078287")</f>
        <v>47078287</v>
      </c>
      <c r="C5969" s="3" t="str">
        <f>HYPERLINK("http://www.ncbi.nlm.nih.gov/protein/47078287","Psmf1")</f>
        <v>Psmf1</v>
      </c>
      <c r="E5969" t="str">
        <f>HYPERLINK("J:\Depot - mpkCCD Fractions\Main Web Page\Web Pages_old\proteomic_fractions_linear_files/Yang_linear_img/47078287.jpg","show blot")</f>
        <v>show blot</v>
      </c>
      <c r="G5969" t="s">
        <v>5756</v>
      </c>
      <c r="I5969" s="6">
        <v>4.6630098821545651</v>
      </c>
      <c r="K5969" s="8"/>
    </row>
    <row r="5970" spans="1:11" ht="15" x14ac:dyDescent="0.25">
      <c r="A5970" s="3" t="str">
        <f>HYPERLINK("proteomic_fractions_linear_files/Yang_linear_img/9506555.jpg", "9506555")</f>
        <v>9506555</v>
      </c>
      <c r="C5970" s="3" t="str">
        <f>HYPERLINK("http://www.ncbi.nlm.nih.gov/protein/9506555","Psmg1")</f>
        <v>Psmg1</v>
      </c>
      <c r="E5970" t="str">
        <f>HYPERLINK("J:\Depot - mpkCCD Fractions\Main Web Page\Web Pages_old\proteomic_fractions_linear_files/Yang_linear_img/9506555.jpg","show blot")</f>
        <v>show blot</v>
      </c>
      <c r="G5970" t="s">
        <v>5757</v>
      </c>
      <c r="I5970" s="6">
        <v>5.0632123999506069</v>
      </c>
      <c r="K5970" s="8"/>
    </row>
    <row r="5971" spans="1:11" ht="15" x14ac:dyDescent="0.25">
      <c r="A5971" s="3" t="str">
        <f>HYPERLINK("proteomic_fractions_linear_files/Yang_linear_img/19527372.jpg", "19527372")</f>
        <v>19527372</v>
      </c>
      <c r="C5971" s="3" t="str">
        <f>HYPERLINK("http://www.ncbi.nlm.nih.gov/protein/19527372","Psmg2")</f>
        <v>Psmg2</v>
      </c>
      <c r="E5971" t="str">
        <f>HYPERLINK("J:\Depot - mpkCCD Fractions\Main Web Page\Web Pages_old\proteomic_fractions_linear_files/Yang_linear_img/19527372.jpg","show blot")</f>
        <v>show blot</v>
      </c>
      <c r="G5971" t="s">
        <v>5758</v>
      </c>
      <c r="I5971" s="6">
        <v>4.7662368632350391</v>
      </c>
      <c r="K5971" s="8"/>
    </row>
    <row r="5972" spans="1:11" ht="15" x14ac:dyDescent="0.25">
      <c r="A5972" s="3" t="str">
        <f>HYPERLINK("proteomic_fractions_linear_files/Yang_linear_img/21313432.jpg", "21313432")</f>
        <v>21313432</v>
      </c>
      <c r="C5972" s="3" t="str">
        <f>HYPERLINK("http://www.ncbi.nlm.nih.gov/protein/21313432","Psmg3")</f>
        <v>Psmg3</v>
      </c>
      <c r="E5972" t="str">
        <f>HYPERLINK("J:\Depot - mpkCCD Fractions\Main Web Page\Web Pages_old\proteomic_fractions_linear_files/Yang_linear_img/21313432.jpg","show blot")</f>
        <v>show blot</v>
      </c>
      <c r="G5972" t="s">
        <v>5759</v>
      </c>
      <c r="I5972" s="6">
        <v>4.8462741715138806</v>
      </c>
      <c r="K5972" s="8"/>
    </row>
    <row r="5973" spans="1:11" ht="15" x14ac:dyDescent="0.25">
      <c r="A5973" s="3" t="str">
        <f>HYPERLINK("proteomic_fractions_linear_files/Yang_linear_img/160333436.jpg", "160333436")</f>
        <v>160333436</v>
      </c>
      <c r="C5973" s="3" t="str">
        <f>HYPERLINK("http://www.ncbi.nlm.nih.gov/protein/160333436","Psmg4")</f>
        <v>Psmg4</v>
      </c>
      <c r="E5973" t="str">
        <f>HYPERLINK("J:\Depot - mpkCCD Fractions\Main Web Page\Web Pages_old\proteomic_fractions_linear_files/Yang_linear_img/160333436.jpg","show blot")</f>
        <v>show blot</v>
      </c>
      <c r="G5973" t="s">
        <v>5760</v>
      </c>
      <c r="I5973" s="6">
        <v>4.7006495216178363</v>
      </c>
      <c r="K5973" s="8"/>
    </row>
    <row r="5974" spans="1:11" ht="15" x14ac:dyDescent="0.25">
      <c r="A5974" s="3" t="str">
        <f>HYPERLINK("proteomic_fractions_linear_files/Yang_linear_img/160333430.jpg", "160333430")</f>
        <v>160333430</v>
      </c>
      <c r="C5974" s="3" t="str">
        <f>HYPERLINK("http://www.ncbi.nlm.nih.gov/protein/160333430","Psmg4")</f>
        <v>Psmg4</v>
      </c>
      <c r="E5974" t="str">
        <f>HYPERLINK("J:\Depot - mpkCCD Fractions\Main Web Page\Web Pages_old\proteomic_fractions_linear_files/Yang_linear_img/160333430.jpg","show blot")</f>
        <v>show blot</v>
      </c>
      <c r="G5974" t="s">
        <v>5761</v>
      </c>
      <c r="I5974" s="6">
        <v>4.7006495216178363</v>
      </c>
      <c r="K5974" s="8"/>
    </row>
    <row r="5975" spans="1:11" ht="15" x14ac:dyDescent="0.25">
      <c r="A5975" s="3" t="str">
        <f>HYPERLINK("proteomic_fractions_linear_files/Yang_linear_img/225543409.jpg", "225543409")</f>
        <v>225543409</v>
      </c>
      <c r="C5975" s="3" t="str">
        <f>HYPERLINK("http://www.ncbi.nlm.nih.gov/protein/225543409","Pspc1")</f>
        <v>Pspc1</v>
      </c>
      <c r="E5975" t="str">
        <f>HYPERLINK("J:\Depot - mpkCCD Fractions\Main Web Page\Web Pages_old\proteomic_fractions_linear_files/Yang_linear_img/225543409.jpg","show blot")</f>
        <v>show blot</v>
      </c>
      <c r="G5975" t="s">
        <v>5762</v>
      </c>
      <c r="I5975" s="6">
        <v>5.614545314241199</v>
      </c>
      <c r="K5975" s="8"/>
    </row>
    <row r="5976" spans="1:11" ht="15" x14ac:dyDescent="0.25">
      <c r="A5976" s="3" t="str">
        <f>HYPERLINK("proteomic_fractions_linear_files/Yang_linear_img/19527116.jpg", "19527116")</f>
        <v>19527116</v>
      </c>
      <c r="C5976" s="3" t="str">
        <f>HYPERLINK("http://www.ncbi.nlm.nih.gov/protein/19527116","Psph")</f>
        <v>Psph</v>
      </c>
      <c r="E5976" t="str">
        <f>HYPERLINK("J:\Depot - mpkCCD Fractions\Main Web Page\Web Pages_old\proteomic_fractions_linear_files/Yang_linear_img/19527116.jpg","show blot")</f>
        <v>show blot</v>
      </c>
      <c r="G5976" t="s">
        <v>5763</v>
      </c>
      <c r="I5976" s="6">
        <v>4.772127881916659</v>
      </c>
      <c r="K5976" s="8"/>
    </row>
    <row r="5977" spans="1:11" ht="15" x14ac:dyDescent="0.25">
      <c r="A5977" s="3" t="str">
        <f>HYPERLINK("proteomic_fractions_linear_files/Yang_linear_img/171184423.jpg", "171184423")</f>
        <v>171184423</v>
      </c>
      <c r="C5977" s="3" t="str">
        <f>HYPERLINK("http://www.ncbi.nlm.nih.gov/protein/171184423","Pstpip1")</f>
        <v>Pstpip1</v>
      </c>
      <c r="E5977" t="str">
        <f>HYPERLINK("J:\Depot - mpkCCD Fractions\Main Web Page\Web Pages_old\proteomic_fractions_linear_files/Yang_linear_img/171184423.jpg","show blot")</f>
        <v>show blot</v>
      </c>
      <c r="G5977" t="s">
        <v>5764</v>
      </c>
      <c r="I5977" s="6">
        <v>2.7655100299792195</v>
      </c>
      <c r="K5977" s="8"/>
    </row>
    <row r="5978" spans="1:11" ht="15" x14ac:dyDescent="0.25">
      <c r="A5978" s="3" t="str">
        <f>HYPERLINK("proteomic_fractions_linear_files/Yang_linear_img/258613904.jpg", "258613904")</f>
        <v>258613904</v>
      </c>
      <c r="C5978" s="3" t="str">
        <f>HYPERLINK("http://www.ncbi.nlm.nih.gov/protein/258613904","Ptar1")</f>
        <v>Ptar1</v>
      </c>
      <c r="E5978" t="str">
        <f>HYPERLINK("J:\Depot - mpkCCD Fractions\Main Web Page\Web Pages_old\proteomic_fractions_linear_files/Yang_linear_img/258613904.jpg","show blot")</f>
        <v>show blot</v>
      </c>
      <c r="G5978" t="s">
        <v>5765</v>
      </c>
      <c r="I5978" s="6">
        <v>4.5665371052767068</v>
      </c>
      <c r="K5978" s="8"/>
    </row>
    <row r="5979" spans="1:11" ht="15" x14ac:dyDescent="0.25">
      <c r="A5979" s="3" t="str">
        <f>HYPERLINK("proteomic_fractions_linear_files/Yang_linear_img/545688433.jpg", "545688433")</f>
        <v>545688433</v>
      </c>
      <c r="C5979" s="3" t="str">
        <f>HYPERLINK("http://www.ncbi.nlm.nih.gov/protein/545688433","Ptbp1")</f>
        <v>Ptbp1</v>
      </c>
      <c r="E5979" t="str">
        <f>HYPERLINK("J:\Depot - mpkCCD Fractions\Main Web Page\Web Pages_old\proteomic_fractions_linear_files/Yang_linear_img/545688433.jpg","show blot")</f>
        <v>show blot</v>
      </c>
      <c r="G5979" t="s">
        <v>5766</v>
      </c>
      <c r="I5979" s="6">
        <v>6.5262219842985036</v>
      </c>
      <c r="K5979" s="8"/>
    </row>
    <row r="5980" spans="1:11" ht="15" x14ac:dyDescent="0.25">
      <c r="A5980" s="3" t="str">
        <f>HYPERLINK("proteomic_fractions_linear_files/Yang_linear_img/116517301.jpg", "116517301")</f>
        <v>116517301</v>
      </c>
      <c r="C5980" s="3" t="str">
        <f>HYPERLINK("http://www.ncbi.nlm.nih.gov/protein/116517301","Ptbp1")</f>
        <v>Ptbp1</v>
      </c>
      <c r="E5980" t="str">
        <f>HYPERLINK("J:\Depot - mpkCCD Fractions\Main Web Page\Web Pages_old\proteomic_fractions_linear_files/Yang_linear_img/116517301.jpg","show blot")</f>
        <v>show blot</v>
      </c>
      <c r="G5980" t="s">
        <v>5767</v>
      </c>
      <c r="I5980" s="6">
        <v>6.5262219842985036</v>
      </c>
      <c r="K5980" s="8"/>
    </row>
    <row r="5981" spans="1:11" ht="15" x14ac:dyDescent="0.25">
      <c r="A5981" s="3" t="str">
        <f>HYPERLINK("proteomic_fractions_linear_files/Yang_linear_img/116517303.jpg", "116517303")</f>
        <v>116517303</v>
      </c>
      <c r="C5981" s="3" t="str">
        <f>HYPERLINK("http://www.ncbi.nlm.nih.gov/protein/116517303","Ptbp1")</f>
        <v>Ptbp1</v>
      </c>
      <c r="E5981" t="str">
        <f>HYPERLINK("J:\Depot - mpkCCD Fractions\Main Web Page\Web Pages_old\proteomic_fractions_linear_files/Yang_linear_img/116517303.jpg","show blot")</f>
        <v>show blot</v>
      </c>
      <c r="G5981" t="s">
        <v>5768</v>
      </c>
      <c r="I5981" s="6">
        <v>6.5262219842985036</v>
      </c>
      <c r="K5981" s="8"/>
    </row>
    <row r="5982" spans="1:11" ht="15" x14ac:dyDescent="0.25">
      <c r="A5982" s="3" t="str">
        <f>HYPERLINK("proteomic_fractions_linear_files/Yang_linear_img/9507003.jpg", "9507003")</f>
        <v>9507003</v>
      </c>
      <c r="C5982" s="3" t="str">
        <f>HYPERLINK("http://www.ncbi.nlm.nih.gov/protein/9507003","Ptbp2")</f>
        <v>Ptbp2</v>
      </c>
      <c r="E5982" t="str">
        <f>HYPERLINK("J:\Depot - mpkCCD Fractions\Main Web Page\Web Pages_old\proteomic_fractions_linear_files/Yang_linear_img/9507003.jpg","show blot")</f>
        <v>show blot</v>
      </c>
      <c r="G5982" t="s">
        <v>5769</v>
      </c>
      <c r="I5982" s="6">
        <v>5.8218910149495482</v>
      </c>
      <c r="K5982" s="8"/>
    </row>
    <row r="5983" spans="1:11" ht="15" x14ac:dyDescent="0.25">
      <c r="A5983" s="3" t="str">
        <f>HYPERLINK("proteomic_fractions_linear_files/Yang_linear_img/255003709.jpg", "255003709")</f>
        <v>255003709</v>
      </c>
      <c r="C5983" s="3" t="str">
        <f>HYPERLINK("http://www.ncbi.nlm.nih.gov/protein/255003709","Ptbp3")</f>
        <v>Ptbp3</v>
      </c>
      <c r="E5983" t="str">
        <f>HYPERLINK("J:\Depot - mpkCCD Fractions\Main Web Page\Web Pages_old\proteomic_fractions_linear_files/Yang_linear_img/255003709.jpg","show blot")</f>
        <v>show blot</v>
      </c>
      <c r="G5983" t="s">
        <v>5770</v>
      </c>
      <c r="I5983" s="6">
        <v>5.9914313938366268</v>
      </c>
      <c r="K5983" s="8"/>
    </row>
    <row r="5984" spans="1:11" ht="15" x14ac:dyDescent="0.25">
      <c r="A5984" s="3" t="str">
        <f>HYPERLINK("proteomic_fractions_linear_files/Yang_linear_img/30039680.jpg", "30039680")</f>
        <v>30039680</v>
      </c>
      <c r="C5984" s="3" t="str">
        <f>HYPERLINK("http://www.ncbi.nlm.nih.gov/protein/30039680","Ptbp3")</f>
        <v>Ptbp3</v>
      </c>
      <c r="E5984" t="str">
        <f>HYPERLINK("J:\Depot - mpkCCD Fractions\Main Web Page\Web Pages_old\proteomic_fractions_linear_files/Yang_linear_img/30039680.jpg","show blot")</f>
        <v>show blot</v>
      </c>
      <c r="G5984" t="s">
        <v>5771</v>
      </c>
      <c r="I5984" s="6">
        <v>5.9914313938366268</v>
      </c>
      <c r="K5984" s="8"/>
    </row>
    <row r="5985" spans="1:11" ht="15" x14ac:dyDescent="0.25">
      <c r="A5985" s="3" t="str">
        <f>HYPERLINK("proteomic_fractions_linear_files/Yang_linear_img/58037131.jpg", "58037131")</f>
        <v>58037131</v>
      </c>
      <c r="C5985" s="3" t="str">
        <f>HYPERLINK("http://www.ncbi.nlm.nih.gov/protein/58037131","Ptcd2")</f>
        <v>Ptcd2</v>
      </c>
      <c r="E5985" t="str">
        <f>HYPERLINK("J:\Depot - mpkCCD Fractions\Main Web Page\Web Pages_old\proteomic_fractions_linear_files/Yang_linear_img/58037131.jpg","show blot")</f>
        <v>show blot</v>
      </c>
      <c r="G5985" t="s">
        <v>5772</v>
      </c>
      <c r="I5985" s="6">
        <v>3.8115155970612125</v>
      </c>
      <c r="K5985" s="8"/>
    </row>
    <row r="5986" spans="1:11" ht="15" x14ac:dyDescent="0.25">
      <c r="A5986" s="3" t="str">
        <f>HYPERLINK("proteomic_fractions_linear_files/Yang_linear_img/33469980.jpg", "33469980")</f>
        <v>33469980</v>
      </c>
      <c r="C5986" s="3" t="str">
        <f>HYPERLINK("http://www.ncbi.nlm.nih.gov/protein/33469980","Ptcd3")</f>
        <v>Ptcd3</v>
      </c>
      <c r="E5986" t="str">
        <f>HYPERLINK("J:\Depot - mpkCCD Fractions\Main Web Page\Web Pages_old\proteomic_fractions_linear_files/Yang_linear_img/33469980.jpg","show blot")</f>
        <v>show blot</v>
      </c>
      <c r="G5986" t="s">
        <v>5773</v>
      </c>
      <c r="I5986" s="6">
        <v>4.3685726781472169</v>
      </c>
      <c r="K5986" s="8"/>
    </row>
    <row r="5987" spans="1:11" ht="15" x14ac:dyDescent="0.25">
      <c r="A5987" s="3" t="str">
        <f>HYPERLINK("proteomic_fractions_linear_files/Yang_linear_img/6755216.jpg", "6755216")</f>
        <v>6755216</v>
      </c>
      <c r="C5987" s="3" t="str">
        <f>HYPERLINK("http://www.ncbi.nlm.nih.gov/protein/6755216","Ptcra")</f>
        <v>Ptcra</v>
      </c>
      <c r="E5987" t="str">
        <f>HYPERLINK("J:\Depot - mpkCCD Fractions\Main Web Page\Web Pages_old\proteomic_fractions_linear_files/Yang_linear_img/6755216.jpg","show blot")</f>
        <v>show blot</v>
      </c>
      <c r="G5987" t="s">
        <v>5774</v>
      </c>
      <c r="I5987" s="6">
        <v>5.2846852309890346</v>
      </c>
      <c r="K5987" s="8"/>
    </row>
    <row r="5988" spans="1:11" ht="15" x14ac:dyDescent="0.25">
      <c r="A5988" s="3" t="str">
        <f>HYPERLINK("proteomic_fractions_linear_files/Yang_linear_img/31560651.jpg", "31560651")</f>
        <v>31560651</v>
      </c>
      <c r="C5988" s="3" t="str">
        <f>HYPERLINK("http://www.ncbi.nlm.nih.gov/protein/31560651","Ptdss1")</f>
        <v>Ptdss1</v>
      </c>
      <c r="E5988" t="str">
        <f>HYPERLINK("J:\Depot - mpkCCD Fractions\Main Web Page\Web Pages_old\proteomic_fractions_linear_files/Yang_linear_img/31560651.jpg","show blot")</f>
        <v>show blot</v>
      </c>
      <c r="G5988" t="s">
        <v>5775</v>
      </c>
      <c r="I5988" s="6">
        <v>2.4194450434751866</v>
      </c>
      <c r="K5988" s="8"/>
    </row>
    <row r="5989" spans="1:11" ht="15" x14ac:dyDescent="0.25">
      <c r="A5989" s="3" t="str">
        <f>HYPERLINK("proteomic_fractions_linear_files/Yang_linear_img/6679523.jpg", "6679523")</f>
        <v>6679523</v>
      </c>
      <c r="C5989" s="3" t="str">
        <f>HYPERLINK("http://www.ncbi.nlm.nih.gov/protein/6679523","Pten")</f>
        <v>Pten</v>
      </c>
      <c r="E5989" t="str">
        <f>HYPERLINK("J:\Depot - mpkCCD Fractions\Main Web Page\Web Pages_old\proteomic_fractions_linear_files/Yang_linear_img/6679523.jpg","show blot")</f>
        <v>show blot</v>
      </c>
      <c r="G5989" t="s">
        <v>5776</v>
      </c>
      <c r="I5989" s="6">
        <v>4.0492965876086497</v>
      </c>
      <c r="K5989" s="8"/>
    </row>
    <row r="5990" spans="1:11" ht="15" x14ac:dyDescent="0.25">
      <c r="A5990" s="3" t="str">
        <f>HYPERLINK("proteomic_fractions_linear_files/Yang_linear_img/6679525.jpg", "6679525")</f>
        <v>6679525</v>
      </c>
      <c r="C5990" s="3" t="str">
        <f>HYPERLINK("http://www.ncbi.nlm.nih.gov/protein/6679525","Pter")</f>
        <v>Pter</v>
      </c>
      <c r="E5990" t="str">
        <f>HYPERLINK("J:\Depot - mpkCCD Fractions\Main Web Page\Web Pages_old\proteomic_fractions_linear_files/Yang_linear_img/6679525.jpg","show blot")</f>
        <v>show blot</v>
      </c>
      <c r="G5990" t="s">
        <v>5777</v>
      </c>
      <c r="I5990" s="6">
        <v>5.3077516206309214</v>
      </c>
      <c r="K5990" s="8"/>
    </row>
    <row r="5991" spans="1:11" ht="15" x14ac:dyDescent="0.25">
      <c r="A5991" s="3" t="str">
        <f>HYPERLINK("proteomic_fractions_linear_files/Yang_linear_img/260763900.jpg", "260763900")</f>
        <v>260763900</v>
      </c>
      <c r="C5991" s="3" t="str">
        <f>HYPERLINK("http://www.ncbi.nlm.nih.gov/protein/260763900","Ptges2")</f>
        <v>Ptges2</v>
      </c>
      <c r="E5991" t="str">
        <f>HYPERLINK("J:\Depot - mpkCCD Fractions\Main Web Page\Web Pages_old\proteomic_fractions_linear_files/Yang_linear_img/260763900.jpg","show blot")</f>
        <v>show blot</v>
      </c>
      <c r="G5991" t="s">
        <v>5778</v>
      </c>
      <c r="I5991" s="6">
        <v>4.6548319126255766</v>
      </c>
      <c r="K5991" s="8"/>
    </row>
    <row r="5992" spans="1:11" ht="15" x14ac:dyDescent="0.25">
      <c r="A5992" s="3" t="str">
        <f>HYPERLINK("proteomic_fractions_linear_files/Yang_linear_img/50845420.jpg", "50845420")</f>
        <v>50845420</v>
      </c>
      <c r="C5992" s="3" t="str">
        <f>HYPERLINK("http://www.ncbi.nlm.nih.gov/protein/50845420","Ptgfrn")</f>
        <v>Ptgfrn</v>
      </c>
      <c r="E5992" t="str">
        <f>HYPERLINK("J:\Depot - mpkCCD Fractions\Main Web Page\Web Pages_old\proteomic_fractions_linear_files/Yang_linear_img/50845420.jpg","show blot")</f>
        <v>show blot</v>
      </c>
      <c r="G5992" t="s">
        <v>5779</v>
      </c>
      <c r="I5992" s="6">
        <v>4.5649427312575375</v>
      </c>
      <c r="K5992" s="8"/>
    </row>
    <row r="5993" spans="1:11" ht="15" x14ac:dyDescent="0.25">
      <c r="A5993" s="3" t="str">
        <f>HYPERLINK("proteomic_fractions_linear_files/Yang_linear_img/13385466.jpg", "13385466")</f>
        <v>13385466</v>
      </c>
      <c r="C5993" s="3" t="str">
        <f>HYPERLINK("http://www.ncbi.nlm.nih.gov/protein/13385466","Ptgr1")</f>
        <v>Ptgr1</v>
      </c>
      <c r="E5993" t="str">
        <f>HYPERLINK("J:\Depot - mpkCCD Fractions\Main Web Page\Web Pages_old\proteomic_fractions_linear_files/Yang_linear_img/13385466.jpg","show blot")</f>
        <v>show blot</v>
      </c>
      <c r="G5993" t="s">
        <v>5780</v>
      </c>
      <c r="I5993" s="6">
        <v>4.4085229094711735</v>
      </c>
      <c r="K5993" s="8"/>
    </row>
    <row r="5994" spans="1:11" ht="15" x14ac:dyDescent="0.25">
      <c r="A5994" s="3" t="str">
        <f>HYPERLINK("proteomic_fractions_linear_files/Yang_linear_img/357933647.jpg", "357933647")</f>
        <v>357933647</v>
      </c>
      <c r="C5994" s="3" t="str">
        <f>HYPERLINK("http://www.ncbi.nlm.nih.gov/protein/357933647","Ptgr2")</f>
        <v>Ptgr2</v>
      </c>
      <c r="E5994" t="str">
        <f>HYPERLINK("J:\Depot - mpkCCD Fractions\Main Web Page\Web Pages_old\proteomic_fractions_linear_files/Yang_linear_img/357933647.jpg","show blot")</f>
        <v>show blot</v>
      </c>
      <c r="G5994" t="s">
        <v>5781</v>
      </c>
      <c r="I5994" s="6">
        <v>5.4082204163664507</v>
      </c>
      <c r="K5994" s="8"/>
    </row>
    <row r="5995" spans="1:11" ht="15" x14ac:dyDescent="0.25">
      <c r="A5995" s="3" t="str">
        <f>HYPERLINK("proteomic_fractions_linear_files/Yang_linear_img/85719320.jpg", "85719320")</f>
        <v>85719320</v>
      </c>
      <c r="C5995" s="3" t="str">
        <f>HYPERLINK("http://www.ncbi.nlm.nih.gov/protein/85719320","Ptgr2")</f>
        <v>Ptgr2</v>
      </c>
      <c r="E5995" t="str">
        <f>HYPERLINK("J:\Depot - mpkCCD Fractions\Main Web Page\Web Pages_old\proteomic_fractions_linear_files/Yang_linear_img/85719320.jpg","show blot")</f>
        <v>show blot</v>
      </c>
      <c r="G5995" t="s">
        <v>5782</v>
      </c>
      <c r="I5995" s="6">
        <v>5.4082204163664507</v>
      </c>
      <c r="K5995" s="8"/>
    </row>
    <row r="5996" spans="1:11" ht="15" x14ac:dyDescent="0.25">
      <c r="A5996" s="3" t="str">
        <f>HYPERLINK("proteomic_fractions_linear_files/Yang_linear_img/6679537.jpg", "6679537")</f>
        <v>6679537</v>
      </c>
      <c r="C5996" s="3" t="str">
        <f>HYPERLINK("http://www.ncbi.nlm.nih.gov/protein/6679537","Ptgs1")</f>
        <v>Ptgs1</v>
      </c>
      <c r="E5996" t="str">
        <f>HYPERLINK("J:\Depot - mpkCCD Fractions\Main Web Page\Web Pages_old\proteomic_fractions_linear_files/Yang_linear_img/6679537.jpg","show blot")</f>
        <v>show blot</v>
      </c>
      <c r="G5996" t="s">
        <v>5783</v>
      </c>
      <c r="I5996" s="6">
        <v>4.3841199417379517</v>
      </c>
      <c r="K5996" s="8"/>
    </row>
    <row r="5997" spans="1:11" ht="15" x14ac:dyDescent="0.25">
      <c r="A5997" s="3" t="str">
        <f>HYPERLINK("proteomic_fractions_linear_files/Yang_linear_img/31981525.jpg", "31981525")</f>
        <v>31981525</v>
      </c>
      <c r="C5997" s="3" t="str">
        <f>HYPERLINK("http://www.ncbi.nlm.nih.gov/protein/31981525","Ptgs2")</f>
        <v>Ptgs2</v>
      </c>
      <c r="E5997" t="str">
        <f>HYPERLINK("J:\Depot - mpkCCD Fractions\Main Web Page\Web Pages_old\proteomic_fractions_linear_files/Yang_linear_img/31981525.jpg","show blot")</f>
        <v>show blot</v>
      </c>
      <c r="G5997" t="s">
        <v>5784</v>
      </c>
      <c r="I5997" s="6">
        <v>3.974407762118461</v>
      </c>
      <c r="K5997" s="8"/>
    </row>
    <row r="5998" spans="1:11" ht="15" x14ac:dyDescent="0.25">
      <c r="A5998" s="3" t="str">
        <f>HYPERLINK("proteomic_fractions_linear_files/Yang_linear_img/194353974.jpg", "194353974")</f>
        <v>194353974</v>
      </c>
      <c r="C5998" s="3" t="str">
        <f>HYPERLINK("http://www.ncbi.nlm.nih.gov/protein/194353974","Ptk2")</f>
        <v>Ptk2</v>
      </c>
      <c r="E5998" t="str">
        <f>HYPERLINK("J:\Depot - mpkCCD Fractions\Main Web Page\Web Pages_old\proteomic_fractions_linear_files/Yang_linear_img/194353974.jpg","show blot")</f>
        <v>show blot</v>
      </c>
      <c r="G5998" t="s">
        <v>5785</v>
      </c>
      <c r="I5998" s="6">
        <v>4.2954111158555852</v>
      </c>
      <c r="K5998" s="8"/>
    </row>
    <row r="5999" spans="1:11" ht="15" x14ac:dyDescent="0.25">
      <c r="A5999" s="3" t="str">
        <f>HYPERLINK("proteomic_fractions_linear_files/Yang_linear_img/194353972.jpg", "194353972")</f>
        <v>194353972</v>
      </c>
      <c r="C5999" s="3" t="str">
        <f>HYPERLINK("http://www.ncbi.nlm.nih.gov/protein/194353972","Ptk2")</f>
        <v>Ptk2</v>
      </c>
      <c r="E5999" t="str">
        <f>HYPERLINK("J:\Depot - mpkCCD Fractions\Main Web Page\Web Pages_old\proteomic_fractions_linear_files/Yang_linear_img/194353972.jpg","show blot")</f>
        <v>show blot</v>
      </c>
      <c r="G5999" t="s">
        <v>5786</v>
      </c>
      <c r="I5999" s="6">
        <v>4.2954111158555852</v>
      </c>
      <c r="K5999" s="8"/>
    </row>
    <row r="6000" spans="1:11" ht="15" x14ac:dyDescent="0.25">
      <c r="A6000" s="3" t="str">
        <f>HYPERLINK("proteomic_fractions_linear_files/Yang_linear_img/241982783.jpg", "241982783")</f>
        <v>241982783</v>
      </c>
      <c r="C6000" s="3" t="str">
        <f>HYPERLINK("http://www.ncbi.nlm.nih.gov/protein/241982783","Ptk2b")</f>
        <v>Ptk2b</v>
      </c>
      <c r="E6000" t="str">
        <f>HYPERLINK("J:\Depot - mpkCCD Fractions\Main Web Page\Web Pages_old\proteomic_fractions_linear_files/Yang_linear_img/241982783.jpg","show blot")</f>
        <v>show blot</v>
      </c>
      <c r="G6000" t="s">
        <v>5787</v>
      </c>
      <c r="I6000" s="6">
        <v>3.7109733298908241</v>
      </c>
      <c r="K6000" s="8"/>
    </row>
    <row r="6001" spans="1:11" ht="15" x14ac:dyDescent="0.25">
      <c r="A6001" s="3" t="str">
        <f>HYPERLINK("proteomic_fractions_linear_files/Yang_linear_img/241982787.jpg", "241982787")</f>
        <v>241982787</v>
      </c>
      <c r="C6001" s="3" t="str">
        <f>HYPERLINK("http://www.ncbi.nlm.nih.gov/protein/241982787","Ptk2b")</f>
        <v>Ptk2b</v>
      </c>
      <c r="E6001" t="str">
        <f>HYPERLINK("J:\Depot - mpkCCD Fractions\Main Web Page\Web Pages_old\proteomic_fractions_linear_files/Yang_linear_img/241982787.jpg","show blot")</f>
        <v>show blot</v>
      </c>
      <c r="G6001" t="s">
        <v>5788</v>
      </c>
      <c r="I6001" s="6">
        <v>3.7109733298908241</v>
      </c>
      <c r="K6001" s="8"/>
    </row>
    <row r="6002" spans="1:11" ht="15" x14ac:dyDescent="0.25">
      <c r="A6002" s="3" t="str">
        <f>HYPERLINK("proteomic_fractions_linear_files/Yang_linear_img/241982789.jpg", "241982789")</f>
        <v>241982789</v>
      </c>
      <c r="C6002" s="3" t="str">
        <f>HYPERLINK("http://www.ncbi.nlm.nih.gov/protein/241982789","Ptk2b")</f>
        <v>Ptk2b</v>
      </c>
      <c r="E6002" t="str">
        <f>HYPERLINK("J:\Depot - mpkCCD Fractions\Main Web Page\Web Pages_old\proteomic_fractions_linear_files/Yang_linear_img/241982789.jpg","show blot")</f>
        <v>show blot</v>
      </c>
      <c r="G6002" t="s">
        <v>5789</v>
      </c>
      <c r="I6002" s="6">
        <v>3.7109733298908241</v>
      </c>
      <c r="K6002" s="8"/>
    </row>
    <row r="6003" spans="1:11" ht="15" x14ac:dyDescent="0.25">
      <c r="A6003" s="3" t="str">
        <f>HYPERLINK("proteomic_fractions_linear_files/Yang_linear_img/30425042.jpg", "30425042")</f>
        <v>30425042</v>
      </c>
      <c r="C6003" s="3" t="str">
        <f>HYPERLINK("http://www.ncbi.nlm.nih.gov/protein/30425042","Ptk7")</f>
        <v>Ptk7</v>
      </c>
      <c r="E6003" t="str">
        <f>HYPERLINK("J:\Depot - mpkCCD Fractions\Main Web Page\Web Pages_old\proteomic_fractions_linear_files/Yang_linear_img/30425042.jpg","show blot")</f>
        <v>show blot</v>
      </c>
      <c r="G6003" t="s">
        <v>5790</v>
      </c>
      <c r="I6003" s="6">
        <v>4.2690017416617012</v>
      </c>
      <c r="K6003" s="8"/>
    </row>
    <row r="6004" spans="1:11" ht="15" x14ac:dyDescent="0.25">
      <c r="A6004" s="3" t="str">
        <f>HYPERLINK("proteomic_fractions_linear_files/Yang_linear_img/7110705.jpg", "7110705")</f>
        <v>7110705</v>
      </c>
      <c r="C6004" s="3" t="str">
        <f>HYPERLINK("http://www.ncbi.nlm.nih.gov/protein/7110705","Ptma")</f>
        <v>Ptma</v>
      </c>
      <c r="E6004" t="str">
        <f>HYPERLINK("J:\Depot - mpkCCD Fractions\Main Web Page\Web Pages_old\proteomic_fractions_linear_files/Yang_linear_img/7110705.jpg","show blot")</f>
        <v>show blot</v>
      </c>
      <c r="G6004" t="s">
        <v>5791</v>
      </c>
      <c r="I6004" s="6">
        <v>6.731788104998131</v>
      </c>
      <c r="K6004" s="8"/>
    </row>
    <row r="6005" spans="1:11" ht="15" x14ac:dyDescent="0.25">
      <c r="A6005" s="3" t="str">
        <f>HYPERLINK("proteomic_fractions_linear_files/Yang_linear_img/62460366.jpg", "62460366")</f>
        <v>62460366</v>
      </c>
      <c r="C6005" s="3" t="str">
        <f>HYPERLINK("http://www.ncbi.nlm.nih.gov/protein/62460366","Ptms")</f>
        <v>Ptms</v>
      </c>
      <c r="E6005" t="str">
        <f>HYPERLINK("J:\Depot - mpkCCD Fractions\Main Web Page\Web Pages_old\proteomic_fractions_linear_files/Yang_linear_img/62460366.jpg","show blot")</f>
        <v>show blot</v>
      </c>
      <c r="G6005" t="s">
        <v>5792</v>
      </c>
      <c r="I6005" s="6">
        <v>5.6161799203068341</v>
      </c>
      <c r="K6005" s="8"/>
    </row>
    <row r="6006" spans="1:11" ht="15" x14ac:dyDescent="0.25">
      <c r="A6006" s="3" t="str">
        <f>HYPERLINK("proteomic_fractions_linear_files/Yang_linear_img/258613926;6679545.jpg", "258613926;6679545")</f>
        <v>258613926;6679545</v>
      </c>
      <c r="C6006" s="3" t="str">
        <f>HYPERLINK("http://www.ncbi.nlm.nih.gov/protein/258613926;6679545","Ptp4a2")</f>
        <v>Ptp4a2</v>
      </c>
      <c r="E6006" t="str">
        <f>HYPERLINK("J:\Depot - mpkCCD Fractions\Main Web Page\Web Pages_old\proteomic_fractions_linear_files/Yang_linear_img/258613926;6679545.jpg","show blot")</f>
        <v>show blot</v>
      </c>
      <c r="G6006" t="s">
        <v>5793</v>
      </c>
      <c r="I6006" s="6">
        <v>4.7942223112577391</v>
      </c>
      <c r="K6006" s="8"/>
    </row>
    <row r="6007" spans="1:11" ht="15" x14ac:dyDescent="0.25">
      <c r="A6007" s="3" t="str">
        <f>HYPERLINK("proteomic_fractions_linear_files/Yang_linear_img/6679545.jpg", "6679545")</f>
        <v>6679545</v>
      </c>
      <c r="C6007" s="3" t="str">
        <f>HYPERLINK("http://www.ncbi.nlm.nih.gov/protein/6679545","Ptp4a2")</f>
        <v>Ptp4a2</v>
      </c>
      <c r="E6007" t="str">
        <f>HYPERLINK("J:\Depot - mpkCCD Fractions\Main Web Page\Web Pages_old\proteomic_fractions_linear_files/Yang_linear_img/6679545.jpg","show blot")</f>
        <v>show blot</v>
      </c>
      <c r="G6007" t="s">
        <v>5793</v>
      </c>
      <c r="I6007" s="6">
        <v>4.7942223112577391</v>
      </c>
      <c r="K6007" s="8"/>
    </row>
    <row r="6008" spans="1:11" ht="15" x14ac:dyDescent="0.25">
      <c r="A6008" s="3" t="str">
        <f>HYPERLINK("proteomic_fractions_linear_files/Yang_linear_img/171184435.jpg", "171184435")</f>
        <v>171184435</v>
      </c>
      <c r="C6008" s="3" t="str">
        <f>HYPERLINK("http://www.ncbi.nlm.nih.gov/protein/171184435","Ptplad1")</f>
        <v>Ptplad1</v>
      </c>
      <c r="E6008" t="str">
        <f>HYPERLINK("J:\Depot - mpkCCD Fractions\Main Web Page\Web Pages_old\proteomic_fractions_linear_files/Yang_linear_img/171184435.jpg","show blot")</f>
        <v>show blot</v>
      </c>
      <c r="G6008" t="s">
        <v>5794</v>
      </c>
      <c r="I6008" s="6">
        <v>2.2764618041732443</v>
      </c>
      <c r="K6008" s="8"/>
    </row>
    <row r="6009" spans="1:11" ht="15" x14ac:dyDescent="0.25">
      <c r="A6009" s="3" t="str">
        <f>HYPERLINK("proteomic_fractions_linear_files/Yang_linear_img/84872191.jpg", "84872191")</f>
        <v>84872191</v>
      </c>
      <c r="C6009" s="3" t="str">
        <f>HYPERLINK("http://www.ncbi.nlm.nih.gov/protein/84872191","Ptplb")</f>
        <v>Ptplb</v>
      </c>
      <c r="E6009" t="str">
        <f>HYPERLINK("J:\Depot - mpkCCD Fractions\Main Web Page\Web Pages_old\proteomic_fractions_linear_files/Yang_linear_img/84872191.jpg","show blot")</f>
        <v>show blot</v>
      </c>
      <c r="G6009" t="s">
        <v>5795</v>
      </c>
      <c r="I6009" s="6">
        <v>4.1960050699379012</v>
      </c>
      <c r="K6009" s="8"/>
    </row>
    <row r="6010" spans="1:11" ht="15" x14ac:dyDescent="0.25">
      <c r="A6010" s="3" t="str">
        <f>HYPERLINK("proteomic_fractions_linear_files/Yang_linear_img/23956130.jpg", "23956130")</f>
        <v>23956130</v>
      </c>
      <c r="C6010" s="3" t="str">
        <f>HYPERLINK("http://www.ncbi.nlm.nih.gov/protein/23956130","Ptpmt1")</f>
        <v>Ptpmt1</v>
      </c>
      <c r="E6010" t="str">
        <f>HYPERLINK("J:\Depot - mpkCCD Fractions\Main Web Page\Web Pages_old\proteomic_fractions_linear_files/Yang_linear_img/23956130.jpg","show blot")</f>
        <v>show blot</v>
      </c>
      <c r="G6010" t="s">
        <v>5796</v>
      </c>
      <c r="I6010" s="6">
        <v>3.7781343694097989</v>
      </c>
      <c r="K6010" s="8"/>
    </row>
    <row r="6011" spans="1:11" ht="15" x14ac:dyDescent="0.25">
      <c r="A6011" s="3" t="str">
        <f>HYPERLINK("proteomic_fractions_linear_files/Yang_linear_img/133505845.jpg", "133505845")</f>
        <v>133505845</v>
      </c>
      <c r="C6011" s="3" t="str">
        <f>HYPERLINK("http://www.ncbi.nlm.nih.gov/protein/133505845","Ptpn1")</f>
        <v>Ptpn1</v>
      </c>
      <c r="E6011" t="str">
        <f>HYPERLINK("J:\Depot - mpkCCD Fractions\Main Web Page\Web Pages_old\proteomic_fractions_linear_files/Yang_linear_img/133505845.jpg","show blot")</f>
        <v>show blot</v>
      </c>
      <c r="G6011" t="s">
        <v>5797</v>
      </c>
      <c r="I6011" s="6">
        <v>4.4893003700259078</v>
      </c>
      <c r="K6011" s="8"/>
    </row>
    <row r="6012" spans="1:11" ht="15" x14ac:dyDescent="0.25">
      <c r="A6012" s="3" t="str">
        <f>HYPERLINK("proteomic_fractions_linear_files/Yang_linear_img/158508568.jpg", "158508568")</f>
        <v>158508568</v>
      </c>
      <c r="C6012" s="3" t="str">
        <f>HYPERLINK("http://www.ncbi.nlm.nih.gov/protein/158508568","Ptpn11")</f>
        <v>Ptpn11</v>
      </c>
      <c r="E6012" t="str">
        <f>HYPERLINK("J:\Depot - mpkCCD Fractions\Main Web Page\Web Pages_old\proteomic_fractions_linear_files/Yang_linear_img/158508568.jpg","show blot")</f>
        <v>show blot</v>
      </c>
      <c r="G6012" t="s">
        <v>5798</v>
      </c>
      <c r="I6012" s="6">
        <v>4.9231006996352686</v>
      </c>
      <c r="K6012" s="8"/>
    </row>
    <row r="6013" spans="1:11" ht="15" x14ac:dyDescent="0.25">
      <c r="A6013" s="3" t="str">
        <f>HYPERLINK("proteomic_fractions_linear_files/Yang_linear_img/6755228.jpg", "6755228")</f>
        <v>6755228</v>
      </c>
      <c r="C6013" s="3" t="str">
        <f>HYPERLINK("http://www.ncbi.nlm.nih.gov/protein/6755228","Ptpn11")</f>
        <v>Ptpn11</v>
      </c>
      <c r="E6013" t="str">
        <f>HYPERLINK("J:\Depot - mpkCCD Fractions\Main Web Page\Web Pages_old\proteomic_fractions_linear_files/Yang_linear_img/6755228.jpg","show blot")</f>
        <v>show blot</v>
      </c>
      <c r="G6013" t="s">
        <v>5799</v>
      </c>
      <c r="I6013" s="6">
        <v>4.9231006996352686</v>
      </c>
      <c r="K6013" s="8"/>
    </row>
    <row r="6014" spans="1:11" ht="15" x14ac:dyDescent="0.25">
      <c r="A6014" s="3" t="str">
        <f>HYPERLINK("proteomic_fractions_linear_files/Yang_linear_img/34328195.jpg", "34328195")</f>
        <v>34328195</v>
      </c>
      <c r="C6014" s="3" t="str">
        <f>HYPERLINK("http://www.ncbi.nlm.nih.gov/protein/34328195","Ptpn12")</f>
        <v>Ptpn12</v>
      </c>
      <c r="E6014" t="str">
        <f>HYPERLINK("J:\Depot - mpkCCD Fractions\Main Web Page\Web Pages_old\proteomic_fractions_linear_files/Yang_linear_img/34328195.jpg","show blot")</f>
        <v>show blot</v>
      </c>
      <c r="G6014" t="s">
        <v>5800</v>
      </c>
      <c r="I6014" s="6">
        <v>4.0166973659494225</v>
      </c>
      <c r="K6014" s="8"/>
    </row>
    <row r="6015" spans="1:11" ht="15" x14ac:dyDescent="0.25">
      <c r="A6015" s="3" t="str">
        <f>HYPERLINK("proteomic_fractions_linear_files/Yang_linear_img/134948762.jpg", "134948762")</f>
        <v>134948762</v>
      </c>
      <c r="C6015" s="3" t="str">
        <f>HYPERLINK("http://www.ncbi.nlm.nih.gov/protein/134948762","Ptpn13")</f>
        <v>Ptpn13</v>
      </c>
      <c r="E6015" t="str">
        <f>HYPERLINK("J:\Depot - mpkCCD Fractions\Main Web Page\Web Pages_old\proteomic_fractions_linear_files/Yang_linear_img/134948762.jpg","show blot")</f>
        <v>show blot</v>
      </c>
      <c r="G6015" t="s">
        <v>5801</v>
      </c>
      <c r="I6015" s="6">
        <v>3.400148146576814</v>
      </c>
      <c r="K6015" s="8"/>
    </row>
    <row r="6016" spans="1:11" ht="15" x14ac:dyDescent="0.25">
      <c r="A6016" s="3" t="str">
        <f>HYPERLINK("proteomic_fractions_linear_files/Yang_linear_img/110825986.jpg", "110825986")</f>
        <v>110825986</v>
      </c>
      <c r="C6016" s="3" t="str">
        <f>HYPERLINK("http://www.ncbi.nlm.nih.gov/protein/110825986","Ptpn14")</f>
        <v>Ptpn14</v>
      </c>
      <c r="E6016" t="str">
        <f>HYPERLINK("J:\Depot - mpkCCD Fractions\Main Web Page\Web Pages_old\proteomic_fractions_linear_files/Yang_linear_img/110825986.jpg","show blot")</f>
        <v>show blot</v>
      </c>
      <c r="G6016" t="s">
        <v>5802</v>
      </c>
      <c r="I6016" s="6">
        <v>4.0000266419683399</v>
      </c>
      <c r="K6016" s="8"/>
    </row>
    <row r="6017" spans="1:11" ht="15" x14ac:dyDescent="0.25">
      <c r="A6017" s="3" t="str">
        <f>HYPERLINK("proteomic_fractions_linear_files/Yang_linear_img/187608416.jpg", "187608416")</f>
        <v>187608416</v>
      </c>
      <c r="C6017" s="3" t="str">
        <f>HYPERLINK("http://www.ncbi.nlm.nih.gov/protein/187608416","Ptpn2")</f>
        <v>Ptpn2</v>
      </c>
      <c r="E6017" t="str">
        <f>HYPERLINK("J:\Depot - mpkCCD Fractions\Main Web Page\Web Pages_old\proteomic_fractions_linear_files/Yang_linear_img/187608416.jpg","show blot")</f>
        <v>show blot</v>
      </c>
      <c r="G6017" t="s">
        <v>5803</v>
      </c>
      <c r="I6017" s="6">
        <v>2.8117784977556157</v>
      </c>
      <c r="K6017" s="8"/>
    </row>
    <row r="6018" spans="1:11" ht="15" x14ac:dyDescent="0.25">
      <c r="A6018" s="3" t="str">
        <f>HYPERLINK("proteomic_fractions_linear_files/Yang_linear_img/6679553.jpg", "6679553")</f>
        <v>6679553</v>
      </c>
      <c r="C6018" s="3" t="str">
        <f>HYPERLINK("http://www.ncbi.nlm.nih.gov/protein/6679553","Ptpn2")</f>
        <v>Ptpn2</v>
      </c>
      <c r="E6018" t="str">
        <f>HYPERLINK("J:\Depot - mpkCCD Fractions\Main Web Page\Web Pages_old\proteomic_fractions_linear_files/Yang_linear_img/6679553.jpg","show blot")</f>
        <v>show blot</v>
      </c>
      <c r="G6018" t="s">
        <v>5804</v>
      </c>
      <c r="I6018" s="6">
        <v>2.8117784977556157</v>
      </c>
      <c r="K6018" s="8"/>
    </row>
    <row r="6019" spans="1:11" ht="15" x14ac:dyDescent="0.25">
      <c r="A6019" s="3" t="str">
        <f>HYPERLINK("proteomic_fractions_linear_files/Yang_linear_img/226246561.jpg", "226246561")</f>
        <v>226246561</v>
      </c>
      <c r="C6019" s="3" t="str">
        <f>HYPERLINK("http://www.ncbi.nlm.nih.gov/protein/226246561","Ptpn21")</f>
        <v>Ptpn21</v>
      </c>
      <c r="E6019" t="str">
        <f>HYPERLINK("J:\Depot - mpkCCD Fractions\Main Web Page\Web Pages_old\proteomic_fractions_linear_files/Yang_linear_img/226246561.jpg","show blot")</f>
        <v>show blot</v>
      </c>
      <c r="G6019" t="s">
        <v>5805</v>
      </c>
      <c r="I6019" s="6">
        <v>3.2748381809174814</v>
      </c>
      <c r="K6019" s="8"/>
    </row>
    <row r="6020" spans="1:11" ht="15" x14ac:dyDescent="0.25">
      <c r="A6020" s="3" t="str">
        <f>HYPERLINK("proteomic_fractions_linear_files/Yang_linear_img/226246563;226246561.jpg", "226246563;226246561")</f>
        <v>226246563;226246561</v>
      </c>
      <c r="C6020" s="3" t="str">
        <f>HYPERLINK("http://www.ncbi.nlm.nih.gov/protein/226246563;226246561","Ptpn21")</f>
        <v>Ptpn21</v>
      </c>
      <c r="E6020" t="str">
        <f>HYPERLINK("J:\Depot - mpkCCD Fractions\Main Web Page\Web Pages_old\proteomic_fractions_linear_files/Yang_linear_img/226246563;226246561.jpg","show blot")</f>
        <v>show blot</v>
      </c>
      <c r="G6020" t="s">
        <v>5805</v>
      </c>
      <c r="I6020" s="6">
        <v>3.2748381809174814</v>
      </c>
      <c r="K6020" s="8"/>
    </row>
    <row r="6021" spans="1:11" ht="15" x14ac:dyDescent="0.25">
      <c r="A6021" s="3" t="str">
        <f>HYPERLINK("proteomic_fractions_linear_files/Yang_linear_img/124517678.jpg", "124517678")</f>
        <v>124517678</v>
      </c>
      <c r="C6021" s="3" t="str">
        <f>HYPERLINK("http://www.ncbi.nlm.nih.gov/protein/124517678","Ptpn23")</f>
        <v>Ptpn23</v>
      </c>
      <c r="E6021" t="str">
        <f>HYPERLINK("J:\Depot - mpkCCD Fractions\Main Web Page\Web Pages_old\proteomic_fractions_linear_files/Yang_linear_img/124517678.jpg","show blot")</f>
        <v>show blot</v>
      </c>
      <c r="G6021" t="s">
        <v>5806</v>
      </c>
      <c r="I6021" s="6">
        <v>5.1867132789624488</v>
      </c>
      <c r="K6021" s="8"/>
    </row>
    <row r="6022" spans="1:11" ht="15" x14ac:dyDescent="0.25">
      <c r="A6022" s="3" t="str">
        <f>HYPERLINK("proteomic_fractions_linear_files/Yang_linear_img/218505829.jpg", "218505829")</f>
        <v>218505829</v>
      </c>
      <c r="C6022" s="3" t="str">
        <f>HYPERLINK("http://www.ncbi.nlm.nih.gov/protein/218505829","Ptpn3")</f>
        <v>Ptpn3</v>
      </c>
      <c r="E6022" t="str">
        <f>HYPERLINK("J:\Depot - mpkCCD Fractions\Main Web Page\Web Pages_old\proteomic_fractions_linear_files/Yang_linear_img/218505829.jpg","show blot")</f>
        <v>show blot</v>
      </c>
      <c r="G6022" t="s">
        <v>5807</v>
      </c>
      <c r="I6022" s="6">
        <v>2.1605031606310821</v>
      </c>
      <c r="K6022" s="8"/>
    </row>
    <row r="6023" spans="1:11" ht="15" x14ac:dyDescent="0.25">
      <c r="A6023" s="3" t="str">
        <f>HYPERLINK("proteomic_fractions_linear_files/Yang_linear_img/118130771.jpg", "118130771")</f>
        <v>118130771</v>
      </c>
      <c r="C6023" s="3" t="str">
        <f>HYPERLINK("http://www.ncbi.nlm.nih.gov/protein/118130771","Ptpn6")</f>
        <v>Ptpn6</v>
      </c>
      <c r="E6023" t="str">
        <f>HYPERLINK("J:\Depot - mpkCCD Fractions\Main Web Page\Web Pages_old\proteomic_fractions_linear_files/Yang_linear_img/118130771.jpg","show blot")</f>
        <v>show blot</v>
      </c>
      <c r="G6023" t="s">
        <v>5808</v>
      </c>
      <c r="I6023" s="6">
        <v>4.7596471790770201</v>
      </c>
      <c r="K6023" s="8"/>
    </row>
    <row r="6024" spans="1:11" ht="15" x14ac:dyDescent="0.25">
      <c r="A6024" s="3" t="str">
        <f>HYPERLINK("proteomic_fractions_linear_files/Yang_linear_img/118130785.jpg", "118130785")</f>
        <v>118130785</v>
      </c>
      <c r="C6024" s="3" t="str">
        <f>HYPERLINK("http://www.ncbi.nlm.nih.gov/protein/118130785","Ptpn6")</f>
        <v>Ptpn6</v>
      </c>
      <c r="E6024" t="str">
        <f>HYPERLINK("J:\Depot - mpkCCD Fractions\Main Web Page\Web Pages_old\proteomic_fractions_linear_files/Yang_linear_img/118130785.jpg","show blot")</f>
        <v>show blot</v>
      </c>
      <c r="G6024" t="s">
        <v>5809</v>
      </c>
      <c r="I6024" s="6">
        <v>4.7596471790770201</v>
      </c>
      <c r="K6024" s="8"/>
    </row>
    <row r="6025" spans="1:11" ht="15" x14ac:dyDescent="0.25">
      <c r="A6025" s="3" t="str">
        <f>HYPERLINK("proteomic_fractions_linear_files/Yang_linear_img/61098100.jpg", "61098100")</f>
        <v>61098100</v>
      </c>
      <c r="C6025" s="3" t="str">
        <f>HYPERLINK("http://www.ncbi.nlm.nih.gov/protein/61098100","Ptpn9")</f>
        <v>Ptpn9</v>
      </c>
      <c r="E6025" t="str">
        <f>HYPERLINK("J:\Depot - mpkCCD Fractions\Main Web Page\Web Pages_old\proteomic_fractions_linear_files/Yang_linear_img/61098100.jpg","show blot")</f>
        <v>show blot</v>
      </c>
      <c r="G6025" t="s">
        <v>5810</v>
      </c>
      <c r="I6025" s="6">
        <v>5.0486846383220803</v>
      </c>
      <c r="K6025" s="8"/>
    </row>
    <row r="6026" spans="1:11" ht="15" x14ac:dyDescent="0.25">
      <c r="A6026" s="3" t="str">
        <f>HYPERLINK("proteomic_fractions_linear_files/Yang_linear_img/255304936.jpg", "255304936")</f>
        <v>255304936</v>
      </c>
      <c r="C6026" s="3" t="str">
        <f>HYPERLINK("http://www.ncbi.nlm.nih.gov/protein/255304936","Ptpra")</f>
        <v>Ptpra</v>
      </c>
      <c r="E6026" t="str">
        <f>HYPERLINK("J:\Depot - mpkCCD Fractions\Main Web Page\Web Pages_old\proteomic_fractions_linear_files/Yang_linear_img/255304936.jpg","show blot")</f>
        <v>show blot</v>
      </c>
      <c r="G6026" t="s">
        <v>5811</v>
      </c>
      <c r="I6026" s="6">
        <v>4.842235579433634</v>
      </c>
      <c r="K6026" s="8"/>
    </row>
    <row r="6027" spans="1:11" ht="15" x14ac:dyDescent="0.25">
      <c r="A6027" s="3" t="str">
        <f>HYPERLINK("proteomic_fractions_linear_files/Yang_linear_img/255304938.jpg", "255304938")</f>
        <v>255304938</v>
      </c>
      <c r="C6027" s="3" t="str">
        <f>HYPERLINK("http://www.ncbi.nlm.nih.gov/protein/255304938","Ptpra")</f>
        <v>Ptpra</v>
      </c>
      <c r="E6027" t="str">
        <f>HYPERLINK("J:\Depot - mpkCCD Fractions\Main Web Page\Web Pages_old\proteomic_fractions_linear_files/Yang_linear_img/255304938.jpg","show blot")</f>
        <v>show blot</v>
      </c>
      <c r="G6027" t="s">
        <v>5812</v>
      </c>
      <c r="I6027" s="6">
        <v>4.842235579433634</v>
      </c>
      <c r="K6027" s="8"/>
    </row>
    <row r="6028" spans="1:11" ht="15" x14ac:dyDescent="0.25">
      <c r="A6028" s="3" t="str">
        <f>HYPERLINK("proteomic_fractions_linear_files/Yang_linear_img/90403603.jpg", "90403603")</f>
        <v>90403603</v>
      </c>
      <c r="C6028" s="3" t="str">
        <f>HYPERLINK("http://www.ncbi.nlm.nih.gov/protein/90403603","Ptprd")</f>
        <v>Ptprd</v>
      </c>
      <c r="E6028" t="str">
        <f>HYPERLINK("J:\Depot - mpkCCD Fractions\Main Web Page\Web Pages_old\proteomic_fractions_linear_files/Yang_linear_img/90403603.jpg","show blot")</f>
        <v>show blot</v>
      </c>
      <c r="G6028" t="s">
        <v>5813</v>
      </c>
      <c r="I6028" s="6">
        <v>2.0883589371524964</v>
      </c>
      <c r="K6028" s="8"/>
    </row>
    <row r="6029" spans="1:11" ht="15" x14ac:dyDescent="0.25">
      <c r="A6029" s="3" t="str">
        <f>HYPERLINK("proteomic_fractions_linear_files/Yang_linear_img/115648048.jpg", "115648048")</f>
        <v>115648048</v>
      </c>
      <c r="C6029" s="3" t="str">
        <f>HYPERLINK("http://www.ncbi.nlm.nih.gov/protein/115648048","Ptprf")</f>
        <v>Ptprf</v>
      </c>
      <c r="E6029" t="str">
        <f>HYPERLINK("J:\Depot - mpkCCD Fractions\Main Web Page\Web Pages_old\proteomic_fractions_linear_files/Yang_linear_img/115648048.jpg","show blot")</f>
        <v>show blot</v>
      </c>
      <c r="G6029" t="s">
        <v>5814</v>
      </c>
      <c r="I6029" s="6">
        <v>3.6668477679371305</v>
      </c>
      <c r="K6029" s="8"/>
    </row>
    <row r="6030" spans="1:11" ht="15" x14ac:dyDescent="0.25">
      <c r="A6030" s="3" t="str">
        <f>HYPERLINK("proteomic_fractions_linear_files/Yang_linear_img/208609939.jpg", "208609939")</f>
        <v>208609939</v>
      </c>
      <c r="C6030" s="3" t="str">
        <f>HYPERLINK("http://www.ncbi.nlm.nih.gov/protein/208609939","Ptprj")</f>
        <v>Ptprj</v>
      </c>
      <c r="E6030" t="str">
        <f>HYPERLINK("J:\Depot - mpkCCD Fractions\Main Web Page\Web Pages_old\proteomic_fractions_linear_files/Yang_linear_img/208609939.jpg","show blot")</f>
        <v>show blot</v>
      </c>
      <c r="G6030" t="s">
        <v>5815</v>
      </c>
      <c r="I6030" s="6">
        <v>4.2631953526373891</v>
      </c>
      <c r="K6030" s="8"/>
    </row>
    <row r="6031" spans="1:11" ht="15" x14ac:dyDescent="0.25">
      <c r="A6031" s="3" t="str">
        <f>HYPERLINK("proteomic_fractions_linear_files/Yang_linear_img/208609941.jpg", "208609941")</f>
        <v>208609941</v>
      </c>
      <c r="C6031" s="3" t="str">
        <f>HYPERLINK("http://www.ncbi.nlm.nih.gov/protein/208609941","Ptprj")</f>
        <v>Ptprj</v>
      </c>
      <c r="E6031" t="str">
        <f>HYPERLINK("J:\Depot - mpkCCD Fractions\Main Web Page\Web Pages_old\proteomic_fractions_linear_files/Yang_linear_img/208609941.jpg","show blot")</f>
        <v>show blot</v>
      </c>
      <c r="G6031" t="s">
        <v>5816</v>
      </c>
      <c r="I6031" s="6">
        <v>4.2631953526373891</v>
      </c>
      <c r="K6031" s="8"/>
    </row>
    <row r="6032" spans="1:11" ht="15" x14ac:dyDescent="0.25">
      <c r="A6032" s="3" t="str">
        <f>HYPERLINK("proteomic_fractions_linear_files/Yang_linear_img/6679561.jpg", "6679561")</f>
        <v>6679561</v>
      </c>
      <c r="C6032" s="3" t="str">
        <f>HYPERLINK("http://www.ncbi.nlm.nih.gov/protein/6679561","Ptprk")</f>
        <v>Ptprk</v>
      </c>
      <c r="E6032" t="str">
        <f>HYPERLINK("J:\Depot - mpkCCD Fractions\Main Web Page\Web Pages_old\proteomic_fractions_linear_files/Yang_linear_img/6679561.jpg","show blot")</f>
        <v>show blot</v>
      </c>
      <c r="G6032" t="s">
        <v>5817</v>
      </c>
      <c r="I6032" s="6">
        <v>4.4121662735478031</v>
      </c>
      <c r="K6032" s="8"/>
    </row>
    <row r="6033" spans="1:11" ht="15" x14ac:dyDescent="0.25">
      <c r="A6033" s="3" t="str">
        <f>HYPERLINK("proteomic_fractions_linear_files/Yang_linear_img/226054321.jpg", "226054321")</f>
        <v>226054321</v>
      </c>
      <c r="C6033" s="3" t="str">
        <f>HYPERLINK("http://www.ncbi.nlm.nih.gov/protein/226054321","Ptprm")</f>
        <v>Ptprm</v>
      </c>
      <c r="E6033" t="str">
        <f>HYPERLINK("J:\Depot - mpkCCD Fractions\Main Web Page\Web Pages_old\proteomic_fractions_linear_files/Yang_linear_img/226054321.jpg","show blot")</f>
        <v>show blot</v>
      </c>
      <c r="G6033" t="s">
        <v>5818</v>
      </c>
      <c r="I6033" s="6">
        <v>3.3171046541668217</v>
      </c>
      <c r="K6033" s="8"/>
    </row>
    <row r="6034" spans="1:11" ht="15" x14ac:dyDescent="0.25">
      <c r="A6034" s="3" t="str">
        <f>HYPERLINK("proteomic_fractions_linear_files/Yang_linear_img/257096040.jpg", "257096040")</f>
        <v>257096040</v>
      </c>
      <c r="C6034" s="3" t="str">
        <f>HYPERLINK("http://www.ncbi.nlm.nih.gov/protein/257096040","Ptpro")</f>
        <v>Ptpro</v>
      </c>
      <c r="E6034" t="str">
        <f>HYPERLINK("J:\Depot - mpkCCD Fractions\Main Web Page\Web Pages_old\proteomic_fractions_linear_files/Yang_linear_img/257096040.jpg","show blot")</f>
        <v>show blot</v>
      </c>
      <c r="G6034" t="s">
        <v>5819</v>
      </c>
      <c r="I6034" s="6">
        <v>4.0423785981398765</v>
      </c>
      <c r="K6034" s="8"/>
    </row>
    <row r="6035" spans="1:11" ht="15" x14ac:dyDescent="0.25">
      <c r="A6035" s="3" t="str">
        <f>HYPERLINK("proteomic_fractions_linear_files/Yang_linear_img/257096042.jpg", "257096042")</f>
        <v>257096042</v>
      </c>
      <c r="C6035" s="3" t="str">
        <f>HYPERLINK("http://www.ncbi.nlm.nih.gov/protein/257096042","Ptpro")</f>
        <v>Ptpro</v>
      </c>
      <c r="E6035" t="str">
        <f>HYPERLINK("J:\Depot - mpkCCD Fractions\Main Web Page\Web Pages_old\proteomic_fractions_linear_files/Yang_linear_img/257096042.jpg","show blot")</f>
        <v>show blot</v>
      </c>
      <c r="G6035" t="s">
        <v>5820</v>
      </c>
      <c r="I6035" s="6">
        <v>4.0423785981398765</v>
      </c>
      <c r="K6035" s="8"/>
    </row>
    <row r="6036" spans="1:11" ht="15" x14ac:dyDescent="0.25">
      <c r="A6036" s="3" t="str">
        <f>HYPERLINK("proteomic_fractions_linear_files/Yang_linear_img/257096044.jpg", "257096044")</f>
        <v>257096044</v>
      </c>
      <c r="C6036" s="3" t="str">
        <f>HYPERLINK("http://www.ncbi.nlm.nih.gov/protein/257096044","Ptpro")</f>
        <v>Ptpro</v>
      </c>
      <c r="E6036" t="str">
        <f>HYPERLINK("J:\Depot - mpkCCD Fractions\Main Web Page\Web Pages_old\proteomic_fractions_linear_files/Yang_linear_img/257096044.jpg","show blot")</f>
        <v>show blot</v>
      </c>
      <c r="G6036" t="s">
        <v>5821</v>
      </c>
      <c r="I6036" s="6">
        <v>4.0423785981398765</v>
      </c>
      <c r="K6036" s="8"/>
    </row>
    <row r="6037" spans="1:11" ht="15" x14ac:dyDescent="0.25">
      <c r="A6037" s="3" t="str">
        <f>HYPERLINK("proteomic_fractions_linear_files/Yang_linear_img/257096046.jpg", "257096046")</f>
        <v>257096046</v>
      </c>
      <c r="C6037" s="3" t="str">
        <f>HYPERLINK("http://www.ncbi.nlm.nih.gov/protein/257096046","Ptpro")</f>
        <v>Ptpro</v>
      </c>
      <c r="E6037" t="str">
        <f>HYPERLINK("J:\Depot - mpkCCD Fractions\Main Web Page\Web Pages_old\proteomic_fractions_linear_files/Yang_linear_img/257096046.jpg","show blot")</f>
        <v>show blot</v>
      </c>
      <c r="G6037" t="s">
        <v>5822</v>
      </c>
      <c r="I6037" s="6">
        <v>4.0423785981398765</v>
      </c>
      <c r="K6037" s="8"/>
    </row>
    <row r="6038" spans="1:11" ht="15" x14ac:dyDescent="0.25">
      <c r="A6038" s="3" t="str">
        <f>HYPERLINK("proteomic_fractions_linear_files/Yang_linear_img/6679567.jpg", "6679567")</f>
        <v>6679567</v>
      </c>
      <c r="C6038" s="3" t="str">
        <f>HYPERLINK("http://www.ncbi.nlm.nih.gov/protein/6679567","Ptrf")</f>
        <v>Ptrf</v>
      </c>
      <c r="E6038" t="str">
        <f>HYPERLINK("J:\Depot - mpkCCD Fractions\Main Web Page\Web Pages_old\proteomic_fractions_linear_files/Yang_linear_img/6679567.jpg","show blot")</f>
        <v>show blot</v>
      </c>
      <c r="G6038" t="s">
        <v>5823</v>
      </c>
      <c r="I6038" s="6">
        <v>5.1639041599092561</v>
      </c>
      <c r="K6038" s="8"/>
    </row>
    <row r="6039" spans="1:11" ht="15" x14ac:dyDescent="0.25">
      <c r="A6039" s="3" t="str">
        <f>HYPERLINK("proteomic_fractions_linear_files/Yang_linear_img/149363634.jpg", "149363634")</f>
        <v>149363634</v>
      </c>
      <c r="C6039" s="3" t="str">
        <f>HYPERLINK("http://www.ncbi.nlm.nih.gov/protein/149363634","Ptrh2")</f>
        <v>Ptrh2</v>
      </c>
      <c r="E6039" t="str">
        <f>HYPERLINK("J:\Depot - mpkCCD Fractions\Main Web Page\Web Pages_old\proteomic_fractions_linear_files/Yang_linear_img/149363634.jpg","show blot")</f>
        <v>show blot</v>
      </c>
      <c r="G6039" t="s">
        <v>5824</v>
      </c>
      <c r="I6039" s="6">
        <v>5.648348644399686</v>
      </c>
      <c r="K6039" s="8"/>
    </row>
    <row r="6040" spans="1:11" ht="15" x14ac:dyDescent="0.25">
      <c r="A6040" s="3" t="str">
        <f>HYPERLINK("proteomic_fractions_linear_files/Yang_linear_img/33239415.jpg", "33239415")</f>
        <v>33239415</v>
      </c>
      <c r="C6040" s="3" t="str">
        <f>HYPERLINK("http://www.ncbi.nlm.nih.gov/protein/33239415","Ptrh2")</f>
        <v>Ptrh2</v>
      </c>
      <c r="E6040" t="str">
        <f>HYPERLINK("J:\Depot - mpkCCD Fractions\Main Web Page\Web Pages_old\proteomic_fractions_linear_files/Yang_linear_img/33239415.jpg","show blot")</f>
        <v>show blot</v>
      </c>
      <c r="G6040" t="s">
        <v>5825</v>
      </c>
      <c r="I6040" s="6">
        <v>5.648348644399686</v>
      </c>
      <c r="K6040" s="8"/>
    </row>
    <row r="6041" spans="1:11" ht="15" x14ac:dyDescent="0.25">
      <c r="A6041" s="3" t="str">
        <f>HYPERLINK("proteomic_fractions_linear_files/Yang_linear_img/325995166.jpg", "325995166")</f>
        <v>325995166</v>
      </c>
      <c r="C6041" s="3" t="str">
        <f>HYPERLINK("http://www.ncbi.nlm.nih.gov/protein/325995166","Ptrhd1")</f>
        <v>Ptrhd1</v>
      </c>
      <c r="E6041" t="str">
        <f>HYPERLINK("J:\Depot - mpkCCD Fractions\Main Web Page\Web Pages_old\proteomic_fractions_linear_files/Yang_linear_img/325995166.jpg","show blot")</f>
        <v>show blot</v>
      </c>
      <c r="G6041" t="s">
        <v>5826</v>
      </c>
      <c r="I6041" s="6">
        <v>4.5284555386907828</v>
      </c>
      <c r="K6041" s="8"/>
    </row>
    <row r="6042" spans="1:11" ht="15" x14ac:dyDescent="0.25">
      <c r="A6042" s="3" t="str">
        <f>HYPERLINK("proteomic_fractions_linear_files/Yang_linear_img/7110709.jpg", "7110709")</f>
        <v>7110709</v>
      </c>
      <c r="C6042" s="3" t="str">
        <f>HYPERLINK("http://www.ncbi.nlm.nih.gov/protein/7110709","Pts")</f>
        <v>Pts</v>
      </c>
      <c r="E6042" t="str">
        <f>HYPERLINK("J:\Depot - mpkCCD Fractions\Main Web Page\Web Pages_old\proteomic_fractions_linear_files/Yang_linear_img/7110709.jpg","show blot")</f>
        <v>show blot</v>
      </c>
      <c r="G6042" t="s">
        <v>5827</v>
      </c>
      <c r="I6042" s="6">
        <v>5.6293344984869824</v>
      </c>
      <c r="K6042" s="8"/>
    </row>
    <row r="6043" spans="1:11" ht="15" x14ac:dyDescent="0.25">
      <c r="A6043" s="3" t="str">
        <f>HYPERLINK("proteomic_fractions_linear_files/Yang_linear_img/22122339.jpg", "22122339")</f>
        <v>22122339</v>
      </c>
      <c r="C6043" s="3" t="str">
        <f>HYPERLINK("http://www.ncbi.nlm.nih.gov/protein/22122339","Pttg1ip")</f>
        <v>Pttg1ip</v>
      </c>
      <c r="E6043" t="str">
        <f>HYPERLINK("J:\Depot - mpkCCD Fractions\Main Web Page\Web Pages_old\proteomic_fractions_linear_files/Yang_linear_img/22122339.jpg","show blot")</f>
        <v>show blot</v>
      </c>
      <c r="G6043" t="s">
        <v>5828</v>
      </c>
      <c r="I6043" s="6">
        <v>5.7835586238912029</v>
      </c>
      <c r="K6043" s="8"/>
    </row>
    <row r="6044" spans="1:11" ht="15" x14ac:dyDescent="0.25">
      <c r="A6044" s="3" t="str">
        <f>HYPERLINK("proteomic_fractions_linear_files/Yang_linear_img/257196183.jpg", "257196183")</f>
        <v>257196183</v>
      </c>
      <c r="C6044" s="3" t="str">
        <f>HYPERLINK("http://www.ncbi.nlm.nih.gov/protein/257196183","Puf60")</f>
        <v>Puf60</v>
      </c>
      <c r="E6044" t="str">
        <f>HYPERLINK("J:\Depot - mpkCCD Fractions\Main Web Page\Web Pages_old\proteomic_fractions_linear_files/Yang_linear_img/257196183.jpg","show blot")</f>
        <v>show blot</v>
      </c>
      <c r="G6044" t="s">
        <v>5829</v>
      </c>
      <c r="I6044" s="6">
        <v>5.6175383436040072</v>
      </c>
      <c r="K6044" s="8"/>
    </row>
    <row r="6045" spans="1:11" ht="15" x14ac:dyDescent="0.25">
      <c r="A6045" s="3" t="str">
        <f>HYPERLINK("proteomic_fractions_linear_files/Yang_linear_img/257196186.jpg", "257196186")</f>
        <v>257196186</v>
      </c>
      <c r="C6045" s="3" t="str">
        <f>HYPERLINK("http://www.ncbi.nlm.nih.gov/protein/257196186","Puf60")</f>
        <v>Puf60</v>
      </c>
      <c r="E6045" t="str">
        <f>HYPERLINK("J:\Depot - mpkCCD Fractions\Main Web Page\Web Pages_old\proteomic_fractions_linear_files/Yang_linear_img/257196186.jpg","show blot")</f>
        <v>show blot</v>
      </c>
      <c r="G6045" t="s">
        <v>5830</v>
      </c>
      <c r="I6045" s="6">
        <v>5.6175383436040072</v>
      </c>
      <c r="K6045" s="8"/>
    </row>
    <row r="6046" spans="1:11" ht="15" x14ac:dyDescent="0.25">
      <c r="A6046" s="3" t="str">
        <f>HYPERLINK("proteomic_fractions_linear_files/Yang_linear_img/76677895.jpg", "76677895")</f>
        <v>76677895</v>
      </c>
      <c r="C6046" s="3" t="str">
        <f>HYPERLINK("http://www.ncbi.nlm.nih.gov/protein/76677895","Puf60")</f>
        <v>Puf60</v>
      </c>
      <c r="E6046" t="str">
        <f>HYPERLINK("J:\Depot - mpkCCD Fractions\Main Web Page\Web Pages_old\proteomic_fractions_linear_files/Yang_linear_img/76677895.jpg","show blot")</f>
        <v>show blot</v>
      </c>
      <c r="G6046" t="s">
        <v>5831</v>
      </c>
      <c r="I6046" s="6">
        <v>5.6175383436040072</v>
      </c>
      <c r="K6046" s="8"/>
    </row>
    <row r="6047" spans="1:11" ht="15" x14ac:dyDescent="0.25">
      <c r="A6047" s="3" t="str">
        <f>HYPERLINK("proteomic_fractions_linear_files/Yang_linear_img/227430380.jpg", "227430380")</f>
        <v>227430380</v>
      </c>
      <c r="C6047" s="3" t="str">
        <f>HYPERLINK("http://www.ncbi.nlm.nih.gov/protein/227430380","Pum1")</f>
        <v>Pum1</v>
      </c>
      <c r="E6047" t="str">
        <f>HYPERLINK("J:\Depot - mpkCCD Fractions\Main Web Page\Web Pages_old\proteomic_fractions_linear_files/Yang_linear_img/227430380.jpg","show blot")</f>
        <v>show blot</v>
      </c>
      <c r="G6047" t="s">
        <v>5832</v>
      </c>
      <c r="I6047" s="6">
        <v>3.8748694034329603</v>
      </c>
      <c r="K6047" s="8"/>
    </row>
    <row r="6048" spans="1:11" ht="15" x14ac:dyDescent="0.25">
      <c r="A6048" s="3" t="str">
        <f>HYPERLINK("proteomic_fractions_linear_files/Yang_linear_img/227430382.jpg", "227430382")</f>
        <v>227430382</v>
      </c>
      <c r="C6048" s="3" t="str">
        <f>HYPERLINK("http://www.ncbi.nlm.nih.gov/protein/227430382","Pum1")</f>
        <v>Pum1</v>
      </c>
      <c r="E6048" t="str">
        <f>HYPERLINK("J:\Depot - mpkCCD Fractions\Main Web Page\Web Pages_old\proteomic_fractions_linear_files/Yang_linear_img/227430382.jpg","show blot")</f>
        <v>show blot</v>
      </c>
      <c r="G6048" t="s">
        <v>5833</v>
      </c>
      <c r="I6048" s="6">
        <v>3.8748694034329603</v>
      </c>
      <c r="K6048" s="8"/>
    </row>
    <row r="6049" spans="1:11" ht="15" x14ac:dyDescent="0.25">
      <c r="A6049" s="3" t="str">
        <f>HYPERLINK("proteomic_fractions_linear_files/Yang_linear_img/227430384.jpg", "227430384")</f>
        <v>227430384</v>
      </c>
      <c r="C6049" s="3" t="str">
        <f>HYPERLINK("http://www.ncbi.nlm.nih.gov/protein/227430384","Pum1")</f>
        <v>Pum1</v>
      </c>
      <c r="E6049" t="str">
        <f>HYPERLINK("J:\Depot - mpkCCD Fractions\Main Web Page\Web Pages_old\proteomic_fractions_linear_files/Yang_linear_img/227430384.jpg","show blot")</f>
        <v>show blot</v>
      </c>
      <c r="G6049" t="s">
        <v>5834</v>
      </c>
      <c r="I6049" s="6">
        <v>3.8748694034329603</v>
      </c>
      <c r="K6049" s="8"/>
    </row>
    <row r="6050" spans="1:11" ht="15" x14ac:dyDescent="0.25">
      <c r="A6050" s="3" t="str">
        <f>HYPERLINK("proteomic_fractions_linear_files/Yang_linear_img/227430386.jpg", "227430386")</f>
        <v>227430386</v>
      </c>
      <c r="C6050" s="3" t="str">
        <f>HYPERLINK("http://www.ncbi.nlm.nih.gov/protein/227430386","Pum1")</f>
        <v>Pum1</v>
      </c>
      <c r="E6050" t="str">
        <f>HYPERLINK("J:\Depot - mpkCCD Fractions\Main Web Page\Web Pages_old\proteomic_fractions_linear_files/Yang_linear_img/227430386.jpg","show blot")</f>
        <v>show blot</v>
      </c>
      <c r="G6050" t="s">
        <v>5835</v>
      </c>
      <c r="I6050" s="6">
        <v>3.8748694034329603</v>
      </c>
      <c r="K6050" s="8"/>
    </row>
    <row r="6051" spans="1:11" ht="15" x14ac:dyDescent="0.25">
      <c r="A6051" s="3" t="str">
        <f>HYPERLINK("proteomic_fractions_linear_files/Yang_linear_img/227430388.jpg", "227430388")</f>
        <v>227430388</v>
      </c>
      <c r="C6051" s="3" t="str">
        <f>HYPERLINK("http://www.ncbi.nlm.nih.gov/protein/227430388","Pum1")</f>
        <v>Pum1</v>
      </c>
      <c r="E6051" t="str">
        <f>HYPERLINK("J:\Depot - mpkCCD Fractions\Main Web Page\Web Pages_old\proteomic_fractions_linear_files/Yang_linear_img/227430388.jpg","show blot")</f>
        <v>show blot</v>
      </c>
      <c r="G6051" t="s">
        <v>5836</v>
      </c>
      <c r="I6051" s="6">
        <v>3.8748694034329603</v>
      </c>
      <c r="K6051" s="8"/>
    </row>
    <row r="6052" spans="1:11" ht="15" x14ac:dyDescent="0.25">
      <c r="A6052" s="3" t="str">
        <f>HYPERLINK("proteomic_fractions_linear_files/Yang_linear_img/237649081;237649070.jpg", "237649081;237649070")</f>
        <v>237649081;237649070</v>
      </c>
      <c r="C6052" s="3" t="str">
        <f>HYPERLINK("http://www.ncbi.nlm.nih.gov/protein/237649081;237649070","Pum2")</f>
        <v>Pum2</v>
      </c>
      <c r="E6052" t="str">
        <f>HYPERLINK("J:\Depot - mpkCCD Fractions\Main Web Page\Web Pages_old\proteomic_fractions_linear_files/Yang_linear_img/237649081;237649070.jpg","show blot")</f>
        <v>show blot</v>
      </c>
      <c r="G6052" t="s">
        <v>5837</v>
      </c>
      <c r="I6052" s="6">
        <v>4.3687132320175524</v>
      </c>
      <c r="K6052" s="8"/>
    </row>
    <row r="6053" spans="1:11" ht="15" x14ac:dyDescent="0.25">
      <c r="A6053" s="3" t="str">
        <f>HYPERLINK("proteomic_fractions_linear_files/Yang_linear_img/237649085;237649083.jpg", "237649085;237649083")</f>
        <v>237649085;237649083</v>
      </c>
      <c r="C6053" s="3" t="str">
        <f>HYPERLINK("http://www.ncbi.nlm.nih.gov/protein/237649085;237649083","Pum2")</f>
        <v>Pum2</v>
      </c>
      <c r="E6053" t="str">
        <f>HYPERLINK("J:\Depot - mpkCCD Fractions\Main Web Page\Web Pages_old\proteomic_fractions_linear_files/Yang_linear_img/237649085;237649083.jpg","show blot")</f>
        <v>show blot</v>
      </c>
      <c r="G6053" t="s">
        <v>5838</v>
      </c>
      <c r="I6053" s="6">
        <v>4.3687132320175524</v>
      </c>
      <c r="K6053" s="8"/>
    </row>
    <row r="6054" spans="1:11" ht="15" x14ac:dyDescent="0.25">
      <c r="A6054" s="3" t="str">
        <f>HYPERLINK("proteomic_fractions_linear_files/Yang_linear_img/237649087.jpg", "237649087")</f>
        <v>237649087</v>
      </c>
      <c r="C6054" s="3" t="str">
        <f>HYPERLINK("http://www.ncbi.nlm.nih.gov/protein/237649087","Pum2")</f>
        <v>Pum2</v>
      </c>
      <c r="E6054" t="str">
        <f>HYPERLINK("J:\Depot - mpkCCD Fractions\Main Web Page\Web Pages_old\proteomic_fractions_linear_files/Yang_linear_img/237649087.jpg","show blot")</f>
        <v>show blot</v>
      </c>
      <c r="G6054" t="s">
        <v>5839</v>
      </c>
      <c r="I6054" s="6">
        <v>4.3687132320175524</v>
      </c>
      <c r="K6054" s="8"/>
    </row>
    <row r="6055" spans="1:11" ht="15" x14ac:dyDescent="0.25">
      <c r="A6055" s="3" t="str">
        <f>HYPERLINK("proteomic_fractions_linear_files/Yang_linear_img/6679573.jpg", "6679573")</f>
        <v>6679573</v>
      </c>
      <c r="C6055" s="3" t="str">
        <f>HYPERLINK("http://www.ncbi.nlm.nih.gov/protein/6679573","Pura")</f>
        <v>Pura</v>
      </c>
      <c r="E6055" t="str">
        <f>HYPERLINK("J:\Depot - mpkCCD Fractions\Main Web Page\Web Pages_old\proteomic_fractions_linear_files/Yang_linear_img/6679573.jpg","show blot")</f>
        <v>show blot</v>
      </c>
      <c r="G6055" t="s">
        <v>5840</v>
      </c>
      <c r="I6055" s="6">
        <v>5.2564871666283564</v>
      </c>
      <c r="K6055" s="8"/>
    </row>
    <row r="6056" spans="1:11" ht="15" x14ac:dyDescent="0.25">
      <c r="A6056" s="3" t="str">
        <f>HYPERLINK("proteomic_fractions_linear_files/Yang_linear_img/6755252.jpg", "6755252")</f>
        <v>6755252</v>
      </c>
      <c r="C6056" s="3" t="str">
        <f>HYPERLINK("http://www.ncbi.nlm.nih.gov/protein/6755252","Purb")</f>
        <v>Purb</v>
      </c>
      <c r="E6056" t="str">
        <f>HYPERLINK("J:\Depot - mpkCCD Fractions\Main Web Page\Web Pages_old\proteomic_fractions_linear_files/Yang_linear_img/6755252.jpg","show blot")</f>
        <v>show blot</v>
      </c>
      <c r="G6056" t="s">
        <v>5841</v>
      </c>
      <c r="I6056" s="6">
        <v>6.0592718662727876</v>
      </c>
      <c r="K6056" s="8"/>
    </row>
    <row r="6057" spans="1:11" ht="15" x14ac:dyDescent="0.25">
      <c r="A6057" s="3" t="str">
        <f>HYPERLINK("proteomic_fractions_linear_files/Yang_linear_img/70906468.jpg", "70906468")</f>
        <v>70906468</v>
      </c>
      <c r="C6057" s="3" t="str">
        <f>HYPERLINK("http://www.ncbi.nlm.nih.gov/protein/70906468","Pus1")</f>
        <v>Pus1</v>
      </c>
      <c r="E6057" t="str">
        <f>HYPERLINK("J:\Depot - mpkCCD Fractions\Main Web Page\Web Pages_old\proteomic_fractions_linear_files/Yang_linear_img/70906468.jpg","show blot")</f>
        <v>show blot</v>
      </c>
      <c r="G6057" t="s">
        <v>5842</v>
      </c>
      <c r="I6057" s="6">
        <v>5.1264025639343149</v>
      </c>
      <c r="K6057" s="8"/>
    </row>
    <row r="6058" spans="1:11" ht="15" x14ac:dyDescent="0.25">
      <c r="A6058" s="3" t="str">
        <f>HYPERLINK("proteomic_fractions_linear_files/Yang_linear_img/70906470.jpg", "70906470")</f>
        <v>70906470</v>
      </c>
      <c r="C6058" s="3" t="str">
        <f>HYPERLINK("http://www.ncbi.nlm.nih.gov/protein/70906470","Pus1")</f>
        <v>Pus1</v>
      </c>
      <c r="E6058" t="str">
        <f>HYPERLINK("J:\Depot - mpkCCD Fractions\Main Web Page\Web Pages_old\proteomic_fractions_linear_files/Yang_linear_img/70906470.jpg","show blot")</f>
        <v>show blot</v>
      </c>
      <c r="G6058" t="s">
        <v>5843</v>
      </c>
      <c r="I6058" s="6">
        <v>5.1264025639343149</v>
      </c>
      <c r="K6058" s="8"/>
    </row>
    <row r="6059" spans="1:11" ht="15" x14ac:dyDescent="0.25">
      <c r="A6059" s="3" t="str">
        <f>HYPERLINK("proteomic_fractions_linear_files/Yang_linear_img/70906472.jpg", "70906472")</f>
        <v>70906472</v>
      </c>
      <c r="C6059" s="3" t="str">
        <f>HYPERLINK("http://www.ncbi.nlm.nih.gov/protein/70906472","Pus1")</f>
        <v>Pus1</v>
      </c>
      <c r="E6059" t="str">
        <f>HYPERLINK("J:\Depot - mpkCCD Fractions\Main Web Page\Web Pages_old\proteomic_fractions_linear_files/Yang_linear_img/70906472.jpg","show blot")</f>
        <v>show blot</v>
      </c>
      <c r="G6059" t="s">
        <v>5844</v>
      </c>
      <c r="I6059" s="6">
        <v>5.1264025639343149</v>
      </c>
      <c r="K6059" s="8"/>
    </row>
    <row r="6060" spans="1:11" ht="15" x14ac:dyDescent="0.25">
      <c r="A6060" s="3" t="str">
        <f>HYPERLINK("proteomic_fractions_linear_files/Yang_linear_img/68342034.jpg", "68342034")</f>
        <v>68342034</v>
      </c>
      <c r="C6060" s="3" t="str">
        <f>HYPERLINK("http://www.ncbi.nlm.nih.gov/protein/68342034","Pus10")</f>
        <v>Pus10</v>
      </c>
      <c r="E6060" t="str">
        <f>HYPERLINK("J:\Depot - mpkCCD Fractions\Main Web Page\Web Pages_old\proteomic_fractions_linear_files/Yang_linear_img/68342034.jpg","show blot")</f>
        <v>show blot</v>
      </c>
      <c r="G6060" t="s">
        <v>5845</v>
      </c>
      <c r="I6060" s="6">
        <v>3.8366869007490849</v>
      </c>
      <c r="K6060" s="8"/>
    </row>
    <row r="6061" spans="1:11" ht="15" x14ac:dyDescent="0.25">
      <c r="A6061" s="3" t="str">
        <f>HYPERLINK("proteomic_fractions_linear_files/Yang_linear_img/89111935.jpg", "89111935")</f>
        <v>89111935</v>
      </c>
      <c r="C6061" s="3" t="str">
        <f>HYPERLINK("http://www.ncbi.nlm.nih.gov/protein/89111935","Pus7")</f>
        <v>Pus7</v>
      </c>
      <c r="E6061" t="str">
        <f>HYPERLINK("J:\Depot - mpkCCD Fractions\Main Web Page\Web Pages_old\proteomic_fractions_linear_files/Yang_linear_img/89111935.jpg","show blot")</f>
        <v>show blot</v>
      </c>
      <c r="G6061" t="s">
        <v>5846</v>
      </c>
      <c r="I6061" s="6">
        <v>5.0889506838311487</v>
      </c>
      <c r="K6061" s="8"/>
    </row>
    <row r="6062" spans="1:11" ht="15" x14ac:dyDescent="0.25">
      <c r="A6062" s="3" t="str">
        <f>HYPERLINK("proteomic_fractions_linear_files/Yang_linear_img/27369583.jpg", "27369583")</f>
        <v>27369583</v>
      </c>
      <c r="C6062" s="3" t="str">
        <f>HYPERLINK("http://www.ncbi.nlm.nih.gov/protein/27369583","Pus7l")</f>
        <v>Pus7l</v>
      </c>
      <c r="E6062" t="str">
        <f>HYPERLINK("J:\Depot - mpkCCD Fractions\Main Web Page\Web Pages_old\proteomic_fractions_linear_files/Yang_linear_img/27369583.jpg","show blot")</f>
        <v>show blot</v>
      </c>
      <c r="G6062" t="s">
        <v>5847</v>
      </c>
      <c r="I6062" s="6">
        <v>3.7241230542586168</v>
      </c>
      <c r="K6062" s="8"/>
    </row>
    <row r="6063" spans="1:11" ht="15" x14ac:dyDescent="0.25">
      <c r="A6063" s="3" t="str">
        <f>HYPERLINK("proteomic_fractions_linear_files/Yang_linear_img/241896974.jpg", "241896974")</f>
        <v>241896974</v>
      </c>
      <c r="C6063" s="3" t="str">
        <f>HYPERLINK("http://www.ncbi.nlm.nih.gov/protein/241896974","Pusl1")</f>
        <v>Pusl1</v>
      </c>
      <c r="E6063" t="str">
        <f>HYPERLINK("J:\Depot - mpkCCD Fractions\Main Web Page\Web Pages_old\proteomic_fractions_linear_files/Yang_linear_img/241896974.jpg","show blot")</f>
        <v>show blot</v>
      </c>
      <c r="G6063" t="s">
        <v>5848</v>
      </c>
      <c r="I6063" s="6">
        <v>2.6328565839940561</v>
      </c>
      <c r="K6063" s="8"/>
    </row>
    <row r="6064" spans="1:11" ht="15" x14ac:dyDescent="0.25">
      <c r="A6064" s="3" t="str">
        <f>HYPERLINK("proteomic_fractions_linear_files/Yang_linear_img/228480273.jpg", "228480273")</f>
        <v>228480273</v>
      </c>
      <c r="C6064" s="3" t="str">
        <f>HYPERLINK("http://www.ncbi.nlm.nih.gov/protein/228480273","Pvrl2")</f>
        <v>Pvrl2</v>
      </c>
      <c r="E6064" t="str">
        <f>HYPERLINK("J:\Depot - mpkCCD Fractions\Main Web Page\Web Pages_old\proteomic_fractions_linear_files/Yang_linear_img/228480273.jpg","show blot")</f>
        <v>show blot</v>
      </c>
      <c r="G6064" t="s">
        <v>5849</v>
      </c>
      <c r="I6064" s="6">
        <v>1.9004628241710877</v>
      </c>
      <c r="K6064" s="8"/>
    </row>
    <row r="6065" spans="1:11" ht="15" x14ac:dyDescent="0.25">
      <c r="A6065" s="3" t="str">
        <f>HYPERLINK("proteomic_fractions_linear_files/Yang_linear_img/170014682.jpg", "170014682")</f>
        <v>170014682</v>
      </c>
      <c r="C6065" s="3" t="str">
        <f>HYPERLINK("http://www.ncbi.nlm.nih.gov/protein/170014682","Pvrl4")</f>
        <v>Pvrl4</v>
      </c>
      <c r="E6065" t="str">
        <f>HYPERLINK("J:\Depot - mpkCCD Fractions\Main Web Page\Web Pages_old\proteomic_fractions_linear_files/Yang_linear_img/170014682.jpg","show blot")</f>
        <v>show blot</v>
      </c>
      <c r="G6065" t="s">
        <v>5850</v>
      </c>
      <c r="I6065" s="6">
        <v>3.871913244873884</v>
      </c>
      <c r="K6065" s="8"/>
    </row>
    <row r="6066" spans="1:11" ht="15" x14ac:dyDescent="0.25">
      <c r="A6066" s="3" t="str">
        <f>HYPERLINK("proteomic_fractions_linear_files/Yang_linear_img/170014686.jpg", "170014686")</f>
        <v>170014686</v>
      </c>
      <c r="C6066" s="3" t="str">
        <f>HYPERLINK("http://www.ncbi.nlm.nih.gov/protein/170014686","Pvrl4")</f>
        <v>Pvrl4</v>
      </c>
      <c r="E6066" t="str">
        <f>HYPERLINK("J:\Depot - mpkCCD Fractions\Main Web Page\Web Pages_old\proteomic_fractions_linear_files/Yang_linear_img/170014686.jpg","show blot")</f>
        <v>show blot</v>
      </c>
      <c r="G6066" t="s">
        <v>5851</v>
      </c>
      <c r="I6066" s="6">
        <v>3.871913244873884</v>
      </c>
      <c r="K6066" s="8"/>
    </row>
    <row r="6067" spans="1:11" ht="15" x14ac:dyDescent="0.25">
      <c r="A6067" s="3" t="str">
        <f>HYPERLINK("proteomic_fractions_linear_files/Yang_linear_img/284005509.jpg", "284005509")</f>
        <v>284005509</v>
      </c>
      <c r="C6067" s="3" t="str">
        <f>HYPERLINK("http://www.ncbi.nlm.nih.gov/protein/284005509","Pwp1")</f>
        <v>Pwp1</v>
      </c>
      <c r="E6067" t="str">
        <f>HYPERLINK("J:\Depot - mpkCCD Fractions\Main Web Page\Web Pages_old\proteomic_fractions_linear_files/Yang_linear_img/284005509.jpg","show blot")</f>
        <v>show blot</v>
      </c>
      <c r="G6067" t="s">
        <v>5852</v>
      </c>
      <c r="I6067" s="6">
        <v>4.0118668227168843</v>
      </c>
      <c r="K6067" s="8"/>
    </row>
    <row r="6068" spans="1:11" ht="15" x14ac:dyDescent="0.25">
      <c r="A6068" s="3" t="str">
        <f>HYPERLINK("proteomic_fractions_linear_files/Yang_linear_img/407262659.jpg", "407262659")</f>
        <v>407262659</v>
      </c>
      <c r="C6068" s="3" t="str">
        <f>HYPERLINK("http://www.ncbi.nlm.nih.gov/protein/407262659","Pwp2")</f>
        <v>Pwp2</v>
      </c>
      <c r="E6068" t="str">
        <f>HYPERLINK("J:\Depot - mpkCCD Fractions\Main Web Page\Web Pages_old\proteomic_fractions_linear_files/Yang_linear_img/407262659.jpg","show blot")</f>
        <v>show blot</v>
      </c>
      <c r="G6068" t="s">
        <v>5853</v>
      </c>
      <c r="I6068" s="6">
        <v>2.5777988458858512</v>
      </c>
      <c r="K6068" s="8"/>
    </row>
    <row r="6069" spans="1:11" ht="15" x14ac:dyDescent="0.25">
      <c r="A6069" s="3" t="str">
        <f>HYPERLINK("proteomic_fractions_linear_files/Yang_linear_img/407262661.jpg", "407262661")</f>
        <v>407262661</v>
      </c>
      <c r="C6069" s="3" t="str">
        <f>HYPERLINK("http://www.ncbi.nlm.nih.gov/protein/407262661","Pwp2")</f>
        <v>Pwp2</v>
      </c>
      <c r="E6069" t="str">
        <f>HYPERLINK("J:\Depot - mpkCCD Fractions\Main Web Page\Web Pages_old\proteomic_fractions_linear_files/Yang_linear_img/407262661.jpg","show blot")</f>
        <v>show blot</v>
      </c>
      <c r="G6069" t="s">
        <v>5854</v>
      </c>
      <c r="I6069" s="6">
        <v>2.5777988458858512</v>
      </c>
      <c r="K6069" s="8"/>
    </row>
    <row r="6070" spans="1:11" ht="15" x14ac:dyDescent="0.25">
      <c r="A6070" s="3" t="str">
        <f>HYPERLINK("proteomic_fractions_linear_files/Yang_linear_img/268370173.jpg", "268370173")</f>
        <v>268370173</v>
      </c>
      <c r="C6070" s="3" t="str">
        <f>HYPERLINK("http://www.ncbi.nlm.nih.gov/protein/268370173","Pxdn")</f>
        <v>Pxdn</v>
      </c>
      <c r="E6070" t="str">
        <f>HYPERLINK("J:\Depot - mpkCCD Fractions\Main Web Page\Web Pages_old\proteomic_fractions_linear_files/Yang_linear_img/268370173.jpg","show blot")</f>
        <v>show blot</v>
      </c>
      <c r="G6070" t="s">
        <v>5855</v>
      </c>
      <c r="I6070" s="6">
        <v>2.1156201775520032</v>
      </c>
      <c r="K6070" s="8"/>
    </row>
    <row r="6071" spans="1:11" ht="15" x14ac:dyDescent="0.25">
      <c r="A6071" s="3" t="str">
        <f>HYPERLINK("proteomic_fractions_linear_files/Yang_linear_img/254692828.jpg", "254692828")</f>
        <v>254692828</v>
      </c>
      <c r="C6071" s="3" t="str">
        <f>HYPERLINK("http://www.ncbi.nlm.nih.gov/protein/254692828","Pxk")</f>
        <v>Pxk</v>
      </c>
      <c r="E6071" t="str">
        <f>HYPERLINK("J:\Depot - mpkCCD Fractions\Main Web Page\Web Pages_old\proteomic_fractions_linear_files/Yang_linear_img/254692828.jpg","show blot")</f>
        <v>show blot</v>
      </c>
      <c r="G6071" t="s">
        <v>5856</v>
      </c>
      <c r="I6071" s="6">
        <v>3.2566550613853744</v>
      </c>
      <c r="K6071" s="8"/>
    </row>
    <row r="6072" spans="1:11" ht="15" x14ac:dyDescent="0.25">
      <c r="A6072" s="3" t="str">
        <f>HYPERLINK("proteomic_fractions_linear_files/Yang_linear_img/72535128.jpg", "72535128")</f>
        <v>72535128</v>
      </c>
      <c r="C6072" s="3" t="str">
        <f>HYPERLINK("http://www.ncbi.nlm.nih.gov/protein/72535128","Pxk")</f>
        <v>Pxk</v>
      </c>
      <c r="E6072" t="str">
        <f>HYPERLINK("J:\Depot - mpkCCD Fractions\Main Web Page\Web Pages_old\proteomic_fractions_linear_files/Yang_linear_img/72535128.jpg","show blot")</f>
        <v>show blot</v>
      </c>
      <c r="G6072" t="s">
        <v>5857</v>
      </c>
      <c r="I6072" s="6">
        <v>3.2566550613853744</v>
      </c>
      <c r="K6072" s="8"/>
    </row>
    <row r="6073" spans="1:11" ht="15" x14ac:dyDescent="0.25">
      <c r="A6073" s="3" t="str">
        <f>HYPERLINK("proteomic_fractions_linear_files/Yang_linear_img/10946966.jpg", "10946966")</f>
        <v>10946966</v>
      </c>
      <c r="C6073" s="3" t="str">
        <f>HYPERLINK("http://www.ncbi.nlm.nih.gov/protein/10946966","Pxmp4")</f>
        <v>Pxmp4</v>
      </c>
      <c r="E6073" t="str">
        <f>HYPERLINK("J:\Depot - mpkCCD Fractions\Main Web Page\Web Pages_old\proteomic_fractions_linear_files/Yang_linear_img/10946966.jpg","show blot")</f>
        <v>show blot</v>
      </c>
      <c r="G6073" t="s">
        <v>5858</v>
      </c>
      <c r="I6073" s="6">
        <v>4.6373472612353961</v>
      </c>
      <c r="K6073" s="8"/>
    </row>
    <row r="6074" spans="1:11" ht="15" x14ac:dyDescent="0.25">
      <c r="A6074" s="3" t="str">
        <f>HYPERLINK("proteomic_fractions_linear_files/Yang_linear_img/114326502.jpg", "114326502")</f>
        <v>114326502</v>
      </c>
      <c r="C6074" s="3" t="str">
        <f>HYPERLINK("http://www.ncbi.nlm.nih.gov/protein/114326502","Pxn")</f>
        <v>Pxn</v>
      </c>
      <c r="E6074" t="str">
        <f>HYPERLINK("J:\Depot - mpkCCD Fractions\Main Web Page\Web Pages_old\proteomic_fractions_linear_files/Yang_linear_img/114326502.jpg","show blot")</f>
        <v>show blot</v>
      </c>
      <c r="G6074" t="s">
        <v>5859</v>
      </c>
      <c r="I6074" s="6">
        <v>4.5313020794020096</v>
      </c>
      <c r="K6074" s="8"/>
    </row>
    <row r="6075" spans="1:11" ht="15" x14ac:dyDescent="0.25">
      <c r="A6075" s="3" t="str">
        <f>HYPERLINK("proteomic_fractions_linear_files/Yang_linear_img/21281693.jpg", "21281693")</f>
        <v>21281693</v>
      </c>
      <c r="C6075" s="3" t="str">
        <f>HYPERLINK("http://www.ncbi.nlm.nih.gov/protein/21281693","Pxn")</f>
        <v>Pxn</v>
      </c>
      <c r="E6075" t="str">
        <f>HYPERLINK("J:\Depot - mpkCCD Fractions\Main Web Page\Web Pages_old\proteomic_fractions_linear_files/Yang_linear_img/21281693.jpg","show blot")</f>
        <v>show blot</v>
      </c>
      <c r="G6075" t="s">
        <v>5860</v>
      </c>
      <c r="I6075" s="6">
        <v>4.5313020794020096</v>
      </c>
      <c r="K6075" s="8"/>
    </row>
    <row r="6076" spans="1:11" ht="15" x14ac:dyDescent="0.25">
      <c r="A6076" s="3" t="str">
        <f>HYPERLINK("proteomic_fractions_linear_files/Yang_linear_img/21450149.jpg", "21450149")</f>
        <v>21450149</v>
      </c>
      <c r="C6076" s="3" t="str">
        <f>HYPERLINK("http://www.ncbi.nlm.nih.gov/protein/21450149","Pycr1")</f>
        <v>Pycr1</v>
      </c>
      <c r="E6076" t="str">
        <f>HYPERLINK("J:\Depot - mpkCCD Fractions\Main Web Page\Web Pages_old\proteomic_fractions_linear_files/Yang_linear_img/21450149.jpg","show blot")</f>
        <v>show blot</v>
      </c>
      <c r="G6076" t="s">
        <v>5861</v>
      </c>
      <c r="I6076" s="6">
        <v>6.1211565467008366</v>
      </c>
      <c r="K6076" s="8"/>
    </row>
    <row r="6077" spans="1:11" ht="15" x14ac:dyDescent="0.25">
      <c r="A6077" s="3" t="str">
        <f>HYPERLINK("proteomic_fractions_linear_files/Yang_linear_img/19526878.jpg", "19526878")</f>
        <v>19526878</v>
      </c>
      <c r="C6077" s="3" t="str">
        <f>HYPERLINK("http://www.ncbi.nlm.nih.gov/protein/19526878","Pycr2")</f>
        <v>Pycr2</v>
      </c>
      <c r="E6077" t="str">
        <f>HYPERLINK("J:\Depot - mpkCCD Fractions\Main Web Page\Web Pages_old\proteomic_fractions_linear_files/Yang_linear_img/19526878.jpg","show blot")</f>
        <v>show blot</v>
      </c>
      <c r="G6077" t="s">
        <v>5862</v>
      </c>
      <c r="I6077" s="6">
        <v>6.5767792613043703</v>
      </c>
      <c r="K6077" s="8"/>
    </row>
    <row r="6078" spans="1:11" ht="15" x14ac:dyDescent="0.25">
      <c r="A6078" s="3" t="str">
        <f>HYPERLINK("proteomic_fractions_linear_files/Yang_linear_img/119508439.jpg", "119508439")</f>
        <v>119508439</v>
      </c>
      <c r="C6078" s="3" t="str">
        <f>HYPERLINK("http://www.ncbi.nlm.nih.gov/protein/119508439","Pycrl")</f>
        <v>Pycrl</v>
      </c>
      <c r="E6078" t="str">
        <f>HYPERLINK("J:\Depot - mpkCCD Fractions\Main Web Page\Web Pages_old\proteomic_fractions_linear_files/Yang_linear_img/119508439.jpg","show blot")</f>
        <v>show blot</v>
      </c>
      <c r="G6078" t="s">
        <v>5863</v>
      </c>
      <c r="I6078" s="6">
        <v>5.6463245794094501</v>
      </c>
      <c r="K6078" s="8"/>
    </row>
    <row r="6079" spans="1:11" ht="15" x14ac:dyDescent="0.25">
      <c r="A6079" s="3" t="str">
        <f>HYPERLINK("proteomic_fractions_linear_files/Yang_linear_img/24418919.jpg", "24418919")</f>
        <v>24418919</v>
      </c>
      <c r="C6079" s="3" t="str">
        <f>HYPERLINK("http://www.ncbi.nlm.nih.gov/protein/24418919","Pygb")</f>
        <v>Pygb</v>
      </c>
      <c r="E6079" t="str">
        <f>HYPERLINK("J:\Depot - mpkCCD Fractions\Main Web Page\Web Pages_old\proteomic_fractions_linear_files/Yang_linear_img/24418919.jpg","show blot")</f>
        <v>show blot</v>
      </c>
      <c r="G6079" t="s">
        <v>5864</v>
      </c>
      <c r="I6079" s="6">
        <v>6.2639113162080626</v>
      </c>
      <c r="K6079" s="8"/>
    </row>
    <row r="6080" spans="1:11" ht="15" x14ac:dyDescent="0.25">
      <c r="A6080" s="3" t="str">
        <f>HYPERLINK("proteomic_fractions_linear_files/Yang_linear_img/268836255.jpg", "268836255")</f>
        <v>268836255</v>
      </c>
      <c r="C6080" s="3" t="str">
        <f>HYPERLINK("http://www.ncbi.nlm.nih.gov/protein/268836255","Pygl")</f>
        <v>Pygl</v>
      </c>
      <c r="E6080" t="str">
        <f>HYPERLINK("J:\Depot - mpkCCD Fractions\Main Web Page\Web Pages_old\proteomic_fractions_linear_files/Yang_linear_img/268836255.jpg","show blot")</f>
        <v>show blot</v>
      </c>
      <c r="G6080" t="s">
        <v>5865</v>
      </c>
      <c r="I6080" s="6">
        <v>5.5601912888200369</v>
      </c>
      <c r="K6080" s="8"/>
    </row>
    <row r="6081" spans="1:11" ht="15" x14ac:dyDescent="0.25">
      <c r="A6081" s="3" t="str">
        <f>HYPERLINK("proteomic_fractions_linear_files/Yang_linear_img/6755256.jpg", "6755256")</f>
        <v>6755256</v>
      </c>
      <c r="C6081" s="3" t="str">
        <f>HYPERLINK("http://www.ncbi.nlm.nih.gov/protein/6755256","Pygm")</f>
        <v>Pygm</v>
      </c>
      <c r="E6081" t="str">
        <f>HYPERLINK("J:\Depot - mpkCCD Fractions\Main Web Page\Web Pages_old\proteomic_fractions_linear_files/Yang_linear_img/6755256.jpg","show blot")</f>
        <v>show blot</v>
      </c>
      <c r="G6081" t="s">
        <v>5866</v>
      </c>
      <c r="I6081" s="6">
        <v>5.8220782529614867</v>
      </c>
      <c r="K6081" s="8"/>
    </row>
    <row r="6082" spans="1:11" ht="15" x14ac:dyDescent="0.25">
      <c r="A6082" s="3" t="str">
        <f>HYPERLINK("proteomic_fractions_linear_files/Yang_linear_img/269954677.jpg", "269954677")</f>
        <v>269954677</v>
      </c>
      <c r="C6082" s="3" t="str">
        <f>HYPERLINK("http://www.ncbi.nlm.nih.gov/protein/269954677","Qars")</f>
        <v>Qars</v>
      </c>
      <c r="E6082" t="str">
        <f>HYPERLINK("J:\Depot - mpkCCD Fractions\Main Web Page\Web Pages_old\proteomic_fractions_linear_files/Yang_linear_img/269954677.jpg","show blot")</f>
        <v>show blot</v>
      </c>
      <c r="G6082" t="s">
        <v>5867</v>
      </c>
      <c r="I6082" s="6">
        <v>6.1581611911973857</v>
      </c>
      <c r="K6082" s="8"/>
    </row>
    <row r="6083" spans="1:11" ht="15" x14ac:dyDescent="0.25">
      <c r="A6083" s="3" t="str">
        <f>HYPERLINK("proteomic_fractions_linear_files/Yang_linear_img/269954679.jpg", "269954679")</f>
        <v>269954679</v>
      </c>
      <c r="C6083" s="3" t="str">
        <f>HYPERLINK("http://www.ncbi.nlm.nih.gov/protein/269954679","Qars")</f>
        <v>Qars</v>
      </c>
      <c r="E6083" t="str">
        <f>HYPERLINK("J:\Depot - mpkCCD Fractions\Main Web Page\Web Pages_old\proteomic_fractions_linear_files/Yang_linear_img/269954679.jpg","show blot")</f>
        <v>show blot</v>
      </c>
      <c r="G6083" t="s">
        <v>5868</v>
      </c>
      <c r="I6083" s="6">
        <v>6.1581611911973857</v>
      </c>
      <c r="K6083" s="8"/>
    </row>
    <row r="6084" spans="1:11" ht="15" x14ac:dyDescent="0.25">
      <c r="A6084" s="3" t="str">
        <f>HYPERLINK("proteomic_fractions_linear_files/Yang_linear_img/21312520.jpg", "21312520")</f>
        <v>21312520</v>
      </c>
      <c r="C6084" s="3" t="str">
        <f>HYPERLINK("http://www.ncbi.nlm.nih.gov/protein/21312520","Qdpr")</f>
        <v>Qdpr</v>
      </c>
      <c r="E6084" t="str">
        <f>HYPERLINK("J:\Depot - mpkCCD Fractions\Main Web Page\Web Pages_old\proteomic_fractions_linear_files/Yang_linear_img/21312520.jpg","show blot")</f>
        <v>show blot</v>
      </c>
      <c r="G6084" t="s">
        <v>5869</v>
      </c>
      <c r="I6084" s="6">
        <v>5.8992616246494807</v>
      </c>
      <c r="K6084" s="8"/>
    </row>
    <row r="6085" spans="1:11" ht="15" x14ac:dyDescent="0.25">
      <c r="A6085" s="3" t="str">
        <f>HYPERLINK("proteomic_fractions_linear_files/Yang_linear_img/11527388.jpg", "11527388")</f>
        <v>11527388</v>
      </c>
      <c r="C6085" s="3" t="str">
        <f>HYPERLINK("http://www.ncbi.nlm.nih.gov/protein/11527388","Qk")</f>
        <v>Qk</v>
      </c>
      <c r="E6085" t="str">
        <f>HYPERLINK("J:\Depot - mpkCCD Fractions\Main Web Page\Web Pages_old\proteomic_fractions_linear_files/Yang_linear_img/11527388.jpg","show blot")</f>
        <v>show blot</v>
      </c>
      <c r="G6085" t="s">
        <v>5870</v>
      </c>
      <c r="I6085" s="6">
        <v>4.0846247870996368</v>
      </c>
      <c r="K6085" s="8"/>
    </row>
    <row r="6086" spans="1:11" ht="15" x14ac:dyDescent="0.25">
      <c r="A6086" s="3" t="str">
        <f>HYPERLINK("proteomic_fractions_linear_files/Yang_linear_img/226958438.jpg", "226958438")</f>
        <v>226958438</v>
      </c>
      <c r="C6086" s="3" t="str">
        <f>HYPERLINK("http://www.ncbi.nlm.nih.gov/protein/226958438","Qk")</f>
        <v>Qk</v>
      </c>
      <c r="E6086" t="str">
        <f>HYPERLINK("J:\Depot - mpkCCD Fractions\Main Web Page\Web Pages_old\proteomic_fractions_linear_files/Yang_linear_img/226958438.jpg","show blot")</f>
        <v>show blot</v>
      </c>
      <c r="G6086" t="s">
        <v>5871</v>
      </c>
      <c r="I6086" s="6">
        <v>4.0846247870996368</v>
      </c>
      <c r="K6086" s="8"/>
    </row>
    <row r="6087" spans="1:11" ht="15" x14ac:dyDescent="0.25">
      <c r="A6087" s="3" t="str">
        <f>HYPERLINK("proteomic_fractions_linear_files/Yang_linear_img/226958440.jpg", "226958440")</f>
        <v>226958440</v>
      </c>
      <c r="C6087" s="3" t="str">
        <f>HYPERLINK("http://www.ncbi.nlm.nih.gov/protein/226958440","Qk")</f>
        <v>Qk</v>
      </c>
      <c r="E6087" t="str">
        <f>HYPERLINK("J:\Depot - mpkCCD Fractions\Main Web Page\Web Pages_old\proteomic_fractions_linear_files/Yang_linear_img/226958440.jpg","show blot")</f>
        <v>show blot</v>
      </c>
      <c r="G6087" t="s">
        <v>5872</v>
      </c>
      <c r="I6087" s="6">
        <v>4.0846247870996368</v>
      </c>
      <c r="K6087" s="8"/>
    </row>
    <row r="6088" spans="1:11" ht="15" x14ac:dyDescent="0.25">
      <c r="A6088" s="3" t="str">
        <f>HYPERLINK("proteomic_fractions_linear_files/Yang_linear_img/166295181.jpg", "166295181")</f>
        <v>166295181</v>
      </c>
      <c r="C6088" s="3" t="str">
        <f>HYPERLINK("http://www.ncbi.nlm.nih.gov/protein/166295181","Qrich1")</f>
        <v>Qrich1</v>
      </c>
      <c r="E6088" t="str">
        <f>HYPERLINK("J:\Depot - mpkCCD Fractions\Main Web Page\Web Pages_old\proteomic_fractions_linear_files/Yang_linear_img/166295181.jpg","show blot")</f>
        <v>show blot</v>
      </c>
      <c r="G6088" t="s">
        <v>5873</v>
      </c>
      <c r="I6088" s="6">
        <v>3.365257190036901</v>
      </c>
      <c r="K6088" s="8"/>
    </row>
    <row r="6089" spans="1:11" ht="15" x14ac:dyDescent="0.25">
      <c r="A6089" s="3" t="str">
        <f>HYPERLINK("proteomic_fractions_linear_files/Yang_linear_img/124486688.jpg", "124486688")</f>
        <v>124486688</v>
      </c>
      <c r="C6089" s="3" t="str">
        <f>HYPERLINK("http://www.ncbi.nlm.nih.gov/protein/124486688","Qrsl1")</f>
        <v>Qrsl1</v>
      </c>
      <c r="E6089" t="str">
        <f>HYPERLINK("J:\Depot - mpkCCD Fractions\Main Web Page\Web Pages_old\proteomic_fractions_linear_files/Yang_linear_img/124486688.jpg","show blot")</f>
        <v>show blot</v>
      </c>
      <c r="G6089" t="s">
        <v>5874</v>
      </c>
      <c r="I6089" s="6">
        <v>3.7139384653811152</v>
      </c>
      <c r="K6089" s="8"/>
    </row>
    <row r="6090" spans="1:11" ht="15" x14ac:dyDescent="0.25">
      <c r="A6090" s="3" t="str">
        <f>HYPERLINK("proteomic_fractions_linear_files/Yang_linear_img/158186691.jpg", "158186691")</f>
        <v>158186691</v>
      </c>
      <c r="C6090" s="3" t="str">
        <f>HYPERLINK("http://www.ncbi.nlm.nih.gov/protein/158186691","Qtrt1")</f>
        <v>Qtrt1</v>
      </c>
      <c r="E6090" t="str">
        <f>HYPERLINK("J:\Depot - mpkCCD Fractions\Main Web Page\Web Pages_old\proteomic_fractions_linear_files/Yang_linear_img/158186691.jpg","show blot")</f>
        <v>show blot</v>
      </c>
      <c r="G6090" t="s">
        <v>5875</v>
      </c>
      <c r="I6090" s="6">
        <v>4.7545397296391831</v>
      </c>
      <c r="K6090" s="8"/>
    </row>
    <row r="6091" spans="1:11" ht="15" x14ac:dyDescent="0.25">
      <c r="A6091" s="3" t="str">
        <f>HYPERLINK("proteomic_fractions_linear_files/Yang_linear_img/54144622.jpg", "54144622")</f>
        <v>54144622</v>
      </c>
      <c r="C6091" s="3" t="str">
        <f>HYPERLINK("http://www.ncbi.nlm.nih.gov/protein/54144622","Qtrtd1")</f>
        <v>Qtrtd1</v>
      </c>
      <c r="E6091" t="str">
        <f>HYPERLINK("J:\Depot - mpkCCD Fractions\Main Web Page\Web Pages_old\proteomic_fractions_linear_files/Yang_linear_img/54144622.jpg","show blot")</f>
        <v>show blot</v>
      </c>
      <c r="G6091" t="s">
        <v>5876</v>
      </c>
      <c r="I6091" s="6">
        <v>3.8566346331416543</v>
      </c>
      <c r="K6091" s="8"/>
    </row>
    <row r="6092" spans="1:11" ht="15" x14ac:dyDescent="0.25">
      <c r="A6092" s="3" t="str">
        <f>HYPERLINK("proteomic_fractions_linear_files/Yang_linear_img/225579031.jpg", "225579031")</f>
        <v>225579031</v>
      </c>
      <c r="C6092" s="3" t="str">
        <f>HYPERLINK("http://www.ncbi.nlm.nih.gov/protein/225579031","R3hcc1")</f>
        <v>R3hcc1</v>
      </c>
      <c r="E6092" t="str">
        <f>HYPERLINK("J:\Depot - mpkCCD Fractions\Main Web Page\Web Pages_old\proteomic_fractions_linear_files/Yang_linear_img/225579031.jpg","show blot")</f>
        <v>show blot</v>
      </c>
      <c r="G6092" t="s">
        <v>5877</v>
      </c>
      <c r="I6092" s="7" t="s">
        <v>8360</v>
      </c>
      <c r="K6092" s="8"/>
    </row>
    <row r="6093" spans="1:11" ht="15" x14ac:dyDescent="0.25">
      <c r="A6093" s="3" t="str">
        <f>HYPERLINK("proteomic_fractions_linear_files/Yang_linear_img/50845430.jpg", "50845430")</f>
        <v>50845430</v>
      </c>
      <c r="C6093" s="3" t="str">
        <f>HYPERLINK("http://www.ncbi.nlm.nih.gov/protein/50845430","R3hdm1")</f>
        <v>R3hdm1</v>
      </c>
      <c r="E6093" t="str">
        <f>HYPERLINK("J:\Depot - mpkCCD Fractions\Main Web Page\Web Pages_old\proteomic_fractions_linear_files/Yang_linear_img/50845430.jpg","show blot")</f>
        <v>show blot</v>
      </c>
      <c r="G6093" t="s">
        <v>5878</v>
      </c>
      <c r="I6093" s="6">
        <v>2.7409365532682668</v>
      </c>
      <c r="K6093" s="8"/>
    </row>
    <row r="6094" spans="1:11" ht="15" x14ac:dyDescent="0.25">
      <c r="A6094" s="3" t="str">
        <f>HYPERLINK("proteomic_fractions_linear_files/Yang_linear_img/150010587.jpg", "150010587")</f>
        <v>150010587</v>
      </c>
      <c r="C6094" s="3" t="str">
        <f>HYPERLINK("http://www.ncbi.nlm.nih.gov/protein/150010587","R3hdml")</f>
        <v>R3hdml</v>
      </c>
      <c r="E6094" t="str">
        <f>HYPERLINK("J:\Depot - mpkCCD Fractions\Main Web Page\Web Pages_old\proteomic_fractions_linear_files/Yang_linear_img/150010587.jpg","show blot")</f>
        <v>show blot</v>
      </c>
      <c r="G6094" t="s">
        <v>5879</v>
      </c>
      <c r="I6094" s="6">
        <v>4.3162571168803376</v>
      </c>
      <c r="K6094" s="8"/>
    </row>
    <row r="6095" spans="1:11" ht="15" x14ac:dyDescent="0.25">
      <c r="A6095" s="3" t="str">
        <f>HYPERLINK("proteomic_fractions_linear_files/Yang_linear_img/6679587.jpg", "6679587")</f>
        <v>6679587</v>
      </c>
      <c r="C6095" s="3" t="str">
        <f>HYPERLINK("http://www.ncbi.nlm.nih.gov/protein/6679587","Rab1")</f>
        <v>Rab1</v>
      </c>
      <c r="E6095" t="str">
        <f>HYPERLINK("J:\Depot - mpkCCD Fractions\Main Web Page\Web Pages_old\proteomic_fractions_linear_files/Yang_linear_img/6679587.jpg","show blot")</f>
        <v>show blot</v>
      </c>
      <c r="G6095" t="s">
        <v>5880</v>
      </c>
      <c r="I6095" s="6">
        <v>6.9009863228505068</v>
      </c>
      <c r="K6095" s="8"/>
    </row>
    <row r="6096" spans="1:11" ht="15" x14ac:dyDescent="0.25">
      <c r="A6096" s="3" t="str">
        <f>HYPERLINK("proteomic_fractions_linear_files/Yang_linear_img/7710086.jpg", "7710086")</f>
        <v>7710086</v>
      </c>
      <c r="C6096" s="3" t="str">
        <f>HYPERLINK("http://www.ncbi.nlm.nih.gov/protein/7710086","Rab10")</f>
        <v>Rab10</v>
      </c>
      <c r="E6096" t="str">
        <f>HYPERLINK("J:\Depot - mpkCCD Fractions\Main Web Page\Web Pages_old\proteomic_fractions_linear_files/Yang_linear_img/7710086.jpg","show blot")</f>
        <v>show blot</v>
      </c>
      <c r="G6096" t="s">
        <v>5881</v>
      </c>
      <c r="I6096" s="6">
        <v>6.8844540724888361</v>
      </c>
      <c r="K6096" s="8"/>
    </row>
    <row r="6097" spans="1:11" ht="15" x14ac:dyDescent="0.25">
      <c r="A6097" s="3" t="str">
        <f>HYPERLINK("proteomic_fractions_linear_files/Yang_linear_img/31980840.jpg", "31980840")</f>
        <v>31980840</v>
      </c>
      <c r="C6097" s="3" t="str">
        <f>HYPERLINK("http://www.ncbi.nlm.nih.gov/protein/31980840","Rab11a")</f>
        <v>Rab11a</v>
      </c>
      <c r="E6097" t="str">
        <f>HYPERLINK("J:\Depot - mpkCCD Fractions\Main Web Page\Web Pages_old\proteomic_fractions_linear_files/Yang_linear_img/31980840.jpg","show blot")</f>
        <v>show blot</v>
      </c>
      <c r="G6097" t="s">
        <v>5882</v>
      </c>
      <c r="I6097" s="6">
        <v>6.6186643076059868</v>
      </c>
      <c r="K6097" s="8"/>
    </row>
    <row r="6098" spans="1:11" ht="15" x14ac:dyDescent="0.25">
      <c r="A6098" s="3" t="str">
        <f>HYPERLINK("proteomic_fractions_linear_files/Yang_linear_img/6679583.jpg", "6679583")</f>
        <v>6679583</v>
      </c>
      <c r="C6098" s="3" t="str">
        <f>HYPERLINK("http://www.ncbi.nlm.nih.gov/protein/6679583","Rab11b")</f>
        <v>Rab11b</v>
      </c>
      <c r="E6098" t="str">
        <f>HYPERLINK("J:\Depot - mpkCCD Fractions\Main Web Page\Web Pages_old\proteomic_fractions_linear_files/Yang_linear_img/6679583.jpg","show blot")</f>
        <v>show blot</v>
      </c>
      <c r="G6098" t="s">
        <v>5883</v>
      </c>
      <c r="I6098" s="6">
        <v>6.6162585769105524</v>
      </c>
      <c r="K6098" s="8"/>
    </row>
    <row r="6099" spans="1:11" ht="15" x14ac:dyDescent="0.25">
      <c r="A6099" s="3" t="str">
        <f>HYPERLINK("proteomic_fractions_linear_files/Yang_linear_img/124249097.jpg", "124249097")</f>
        <v>124249097</v>
      </c>
      <c r="C6099" s="3" t="str">
        <f>HYPERLINK("http://www.ncbi.nlm.nih.gov/protein/124249097","Rab11fip1")</f>
        <v>Rab11fip1</v>
      </c>
      <c r="E6099" t="str">
        <f>HYPERLINK("J:\Depot - mpkCCD Fractions\Main Web Page\Web Pages_old\proteomic_fractions_linear_files/Yang_linear_img/124249097.jpg","show blot")</f>
        <v>show blot</v>
      </c>
      <c r="G6099" t="s">
        <v>5884</v>
      </c>
      <c r="I6099" s="6">
        <v>2.1324581251946739</v>
      </c>
      <c r="K6099" s="8"/>
    </row>
    <row r="6100" spans="1:11" ht="15" x14ac:dyDescent="0.25">
      <c r="A6100" s="3" t="str">
        <f>HYPERLINK("proteomic_fractions_linear_files/Yang_linear_img/297206826.jpg", "297206826")</f>
        <v>297206826</v>
      </c>
      <c r="C6100" s="3" t="str">
        <f>HYPERLINK("http://www.ncbi.nlm.nih.gov/protein/297206826","Rab11fip1")</f>
        <v>Rab11fip1</v>
      </c>
      <c r="E6100" t="str">
        <f>HYPERLINK("J:\Depot - mpkCCD Fractions\Main Web Page\Web Pages_old\proteomic_fractions_linear_files/Yang_linear_img/297206826.jpg","show blot")</f>
        <v>show blot</v>
      </c>
      <c r="G6100" t="s">
        <v>5885</v>
      </c>
      <c r="I6100" s="6">
        <v>2.1324581251946739</v>
      </c>
      <c r="K6100" s="8"/>
    </row>
    <row r="6101" spans="1:11" ht="15" x14ac:dyDescent="0.25">
      <c r="A6101" s="3" t="str">
        <f>HYPERLINK("proteomic_fractions_linear_files/Yang_linear_img/256773180.jpg", "256773180")</f>
        <v>256773180</v>
      </c>
      <c r="C6101" s="3" t="str">
        <f>HYPERLINK("http://www.ncbi.nlm.nih.gov/protein/256773180","Rab11fip2")</f>
        <v>Rab11fip2</v>
      </c>
      <c r="E6101" t="str">
        <f>HYPERLINK("J:\Depot - mpkCCD Fractions\Main Web Page\Web Pages_old\proteomic_fractions_linear_files/Yang_linear_img/256773180.jpg","show blot")</f>
        <v>show blot</v>
      </c>
      <c r="G6101" t="s">
        <v>5886</v>
      </c>
      <c r="I6101" s="6">
        <v>1.3324384599156054</v>
      </c>
      <c r="K6101" s="8"/>
    </row>
    <row r="6102" spans="1:11" ht="15" x14ac:dyDescent="0.25">
      <c r="A6102" s="3" t="str">
        <f>HYPERLINK("proteomic_fractions_linear_files/Yang_linear_img/256773182.jpg", "256773182")</f>
        <v>256773182</v>
      </c>
      <c r="C6102" s="3" t="str">
        <f>HYPERLINK("http://www.ncbi.nlm.nih.gov/protein/256773182","Rab11fip2")</f>
        <v>Rab11fip2</v>
      </c>
      <c r="E6102" t="str">
        <f>HYPERLINK("J:\Depot - mpkCCD Fractions\Main Web Page\Web Pages_old\proteomic_fractions_linear_files/Yang_linear_img/256773182.jpg","show blot")</f>
        <v>show blot</v>
      </c>
      <c r="G6102" t="s">
        <v>5887</v>
      </c>
      <c r="I6102" s="6">
        <v>1.3324384599156054</v>
      </c>
      <c r="K6102" s="8"/>
    </row>
    <row r="6103" spans="1:11" ht="15" x14ac:dyDescent="0.25">
      <c r="A6103" s="3" t="str">
        <f>HYPERLINK("proteomic_fractions_linear_files/Yang_linear_img/106507168.jpg", "106507168")</f>
        <v>106507168</v>
      </c>
      <c r="C6103" s="3" t="str">
        <f>HYPERLINK("http://www.ncbi.nlm.nih.gov/protein/106507168","Rab12")</f>
        <v>Rab12</v>
      </c>
      <c r="E6103" t="str">
        <f>HYPERLINK("J:\Depot - mpkCCD Fractions\Main Web Page\Web Pages_old\proteomic_fractions_linear_files/Yang_linear_img/106507168.jpg","show blot")</f>
        <v>show blot</v>
      </c>
      <c r="G6103" t="s">
        <v>5888</v>
      </c>
      <c r="I6103" s="6">
        <v>6.564861367544629</v>
      </c>
      <c r="K6103" s="8"/>
    </row>
    <row r="6104" spans="1:11" ht="15" x14ac:dyDescent="0.25">
      <c r="A6104" s="3" t="str">
        <f>HYPERLINK("proteomic_fractions_linear_files/Yang_linear_img/21311975.jpg", "21311975")</f>
        <v>21311975</v>
      </c>
      <c r="C6104" s="3" t="str">
        <f>HYPERLINK("http://www.ncbi.nlm.nih.gov/protein/21311975","Rab13")</f>
        <v>Rab13</v>
      </c>
      <c r="E6104" t="str">
        <f>HYPERLINK("J:\Depot - mpkCCD Fractions\Main Web Page\Web Pages_old\proteomic_fractions_linear_files/Yang_linear_img/21311975.jpg","show blot")</f>
        <v>show blot</v>
      </c>
      <c r="G6104" t="s">
        <v>5889</v>
      </c>
      <c r="I6104" s="6">
        <v>6.3035007790375737</v>
      </c>
      <c r="K6104" s="8"/>
    </row>
    <row r="6105" spans="1:11" ht="15" x14ac:dyDescent="0.25">
      <c r="A6105" s="3" t="str">
        <f>HYPERLINK("proteomic_fractions_linear_files/Yang_linear_img/18390323.jpg", "18390323")</f>
        <v>18390323</v>
      </c>
      <c r="C6105" s="3" t="str">
        <f>HYPERLINK("http://www.ncbi.nlm.nih.gov/protein/18390323","Rab14")</f>
        <v>Rab14</v>
      </c>
      <c r="E6105" t="str">
        <f>HYPERLINK("J:\Depot - mpkCCD Fractions\Main Web Page\Web Pages_old\proteomic_fractions_linear_files/Yang_linear_img/18390323.jpg","show blot")</f>
        <v>show blot</v>
      </c>
      <c r="G6105" t="s">
        <v>5890</v>
      </c>
      <c r="I6105" s="6">
        <v>6.7884327631383528</v>
      </c>
      <c r="K6105" s="8"/>
    </row>
    <row r="6106" spans="1:11" ht="15" x14ac:dyDescent="0.25">
      <c r="A6106" s="3" t="str">
        <f>HYPERLINK("proteomic_fractions_linear_files/Yang_linear_img/165377074.jpg", "165377074")</f>
        <v>165377074</v>
      </c>
      <c r="C6106" s="3" t="str">
        <f>HYPERLINK("http://www.ncbi.nlm.nih.gov/protein/165377074","Rab15")</f>
        <v>Rab15</v>
      </c>
      <c r="E6106" t="str">
        <f>HYPERLINK("J:\Depot - mpkCCD Fractions\Main Web Page\Web Pages_old\proteomic_fractions_linear_files/Yang_linear_img/165377074.jpg","show blot")</f>
        <v>show blot</v>
      </c>
      <c r="G6106" t="s">
        <v>5891</v>
      </c>
      <c r="I6106" s="6">
        <v>6.7623874866902423</v>
      </c>
      <c r="K6106" s="8"/>
    </row>
    <row r="6107" spans="1:11" ht="15" x14ac:dyDescent="0.25">
      <c r="A6107" s="3" t="str">
        <f>HYPERLINK("proteomic_fractions_linear_files/Yang_linear_img/229577224.jpg", "229577224")</f>
        <v>229577224</v>
      </c>
      <c r="C6107" s="3" t="str">
        <f>HYPERLINK("http://www.ncbi.nlm.nih.gov/protein/229577224","Rab17")</f>
        <v>Rab17</v>
      </c>
      <c r="E6107" t="str">
        <f>HYPERLINK("J:\Depot - mpkCCD Fractions\Main Web Page\Web Pages_old\proteomic_fractions_linear_files/Yang_linear_img/229577224.jpg","show blot")</f>
        <v>show blot</v>
      </c>
      <c r="G6107" t="s">
        <v>5892</v>
      </c>
      <c r="I6107" s="6">
        <v>4.4628397656347438</v>
      </c>
      <c r="K6107" s="8"/>
    </row>
    <row r="6108" spans="1:11" ht="15" x14ac:dyDescent="0.25">
      <c r="A6108" s="3" t="str">
        <f>HYPERLINK("proteomic_fractions_linear_files/Yang_linear_img/510936915.jpg", "510936915")</f>
        <v>510936915</v>
      </c>
      <c r="C6108" s="3" t="str">
        <f>HYPERLINK("http://www.ncbi.nlm.nih.gov/protein/510936915","Rab18")</f>
        <v>Rab18</v>
      </c>
      <c r="E6108" t="str">
        <f>HYPERLINK("J:\Depot - mpkCCD Fractions\Main Web Page\Web Pages_old\proteomic_fractions_linear_files/Yang_linear_img/510936915.jpg","show blot")</f>
        <v>show blot</v>
      </c>
      <c r="G6108" t="s">
        <v>5893</v>
      </c>
      <c r="I6108" s="6">
        <v>5.7281374772365163</v>
      </c>
      <c r="K6108" s="8"/>
    </row>
    <row r="6109" spans="1:11" ht="15" x14ac:dyDescent="0.25">
      <c r="A6109" s="3" t="str">
        <f>HYPERLINK("proteomic_fractions_linear_files/Yang_linear_img/30841008.jpg", "30841008")</f>
        <v>30841008</v>
      </c>
      <c r="C6109" s="3" t="str">
        <f>HYPERLINK("http://www.ncbi.nlm.nih.gov/protein/30841008","Rab18")</f>
        <v>Rab18</v>
      </c>
      <c r="E6109" t="str">
        <f>HYPERLINK("J:\Depot - mpkCCD Fractions\Main Web Page\Web Pages_old\proteomic_fractions_linear_files/Yang_linear_img/30841008.jpg","show blot")</f>
        <v>show blot</v>
      </c>
      <c r="G6109" t="s">
        <v>5894</v>
      </c>
      <c r="I6109" s="6">
        <v>5.7281374772365163</v>
      </c>
      <c r="K6109" s="8"/>
    </row>
    <row r="6110" spans="1:11" ht="15" x14ac:dyDescent="0.25">
      <c r="A6110" s="3" t="str">
        <f>HYPERLINK("proteomic_fractions_linear_files/Yang_linear_img/33859608.jpg", "33859608")</f>
        <v>33859608</v>
      </c>
      <c r="C6110" s="3" t="str">
        <f>HYPERLINK("http://www.ncbi.nlm.nih.gov/protein/33859608","Rab19")</f>
        <v>Rab19</v>
      </c>
      <c r="E6110" t="str">
        <f>HYPERLINK("J:\Depot - mpkCCD Fractions\Main Web Page\Web Pages_old\proteomic_fractions_linear_files/Yang_linear_img/33859608.jpg","show blot")</f>
        <v>show blot</v>
      </c>
      <c r="G6110" t="s">
        <v>5895</v>
      </c>
      <c r="I6110" s="6">
        <v>3.8413143159826402</v>
      </c>
      <c r="K6110" s="8"/>
    </row>
    <row r="6111" spans="1:11" ht="15" x14ac:dyDescent="0.25">
      <c r="A6111" s="3" t="str">
        <f>HYPERLINK("proteomic_fractions_linear_files/Yang_linear_img/21313162.jpg", "21313162")</f>
        <v>21313162</v>
      </c>
      <c r="C6111" s="3" t="str">
        <f>HYPERLINK("http://www.ncbi.nlm.nih.gov/protein/21313162","Rab1b")</f>
        <v>Rab1b</v>
      </c>
      <c r="E6111" t="str">
        <f>HYPERLINK("J:\Depot - mpkCCD Fractions\Main Web Page\Web Pages_old\proteomic_fractions_linear_files/Yang_linear_img/21313162.jpg","show blot")</f>
        <v>show blot</v>
      </c>
      <c r="G6111" t="s">
        <v>5896</v>
      </c>
      <c r="I6111" s="6">
        <v>6.9646732480313647</v>
      </c>
      <c r="K6111" s="8"/>
    </row>
    <row r="6112" spans="1:11" ht="15" x14ac:dyDescent="0.25">
      <c r="A6112" s="3" t="str">
        <f>HYPERLINK("proteomic_fractions_linear_files/Yang_linear_img/45593126.jpg", "45593126")</f>
        <v>45593126</v>
      </c>
      <c r="C6112" s="3" t="str">
        <f>HYPERLINK("http://www.ncbi.nlm.nih.gov/protein/45593126","Rab20")</f>
        <v>Rab20</v>
      </c>
      <c r="E6112" t="str">
        <f>HYPERLINK("J:\Depot - mpkCCD Fractions\Main Web Page\Web Pages_old\proteomic_fractions_linear_files/Yang_linear_img/45593126.jpg","show blot")</f>
        <v>show blot</v>
      </c>
      <c r="G6112" t="s">
        <v>5897</v>
      </c>
      <c r="I6112" s="6">
        <v>3.9625909662197514</v>
      </c>
      <c r="K6112" s="8"/>
    </row>
    <row r="6113" spans="1:11" ht="15" x14ac:dyDescent="0.25">
      <c r="A6113" s="3" t="str">
        <f>HYPERLINK("proteomic_fractions_linear_files/Yang_linear_img/33859751.jpg", "33859751")</f>
        <v>33859751</v>
      </c>
      <c r="C6113" s="3" t="str">
        <f>HYPERLINK("http://www.ncbi.nlm.nih.gov/protein/33859751","Rab21")</f>
        <v>Rab21</v>
      </c>
      <c r="E6113" t="str">
        <f>HYPERLINK("J:\Depot - mpkCCD Fractions\Main Web Page\Web Pages_old\proteomic_fractions_linear_files/Yang_linear_img/33859751.jpg","show blot")</f>
        <v>show blot</v>
      </c>
      <c r="G6113" t="s">
        <v>5898</v>
      </c>
      <c r="I6113" s="6">
        <v>5.6811201799780138</v>
      </c>
      <c r="K6113" s="8"/>
    </row>
    <row r="6114" spans="1:11" ht="15" x14ac:dyDescent="0.25">
      <c r="A6114" s="3" t="str">
        <f>HYPERLINK("proteomic_fractions_linear_files/Yang_linear_img/148747177.jpg", "148747177")</f>
        <v>148747177</v>
      </c>
      <c r="C6114" s="3" t="str">
        <f>HYPERLINK("http://www.ncbi.nlm.nih.gov/protein/148747177","Rab22a")</f>
        <v>Rab22a</v>
      </c>
      <c r="E6114" t="str">
        <f>HYPERLINK("J:\Depot - mpkCCD Fractions\Main Web Page\Web Pages_old\proteomic_fractions_linear_files/Yang_linear_img/148747177.jpg","show blot")</f>
        <v>show blot</v>
      </c>
      <c r="G6114" t="s">
        <v>5899</v>
      </c>
      <c r="I6114" s="6">
        <v>4.9194906976520114</v>
      </c>
      <c r="K6114" s="8"/>
    </row>
    <row r="6115" spans="1:11" ht="15" x14ac:dyDescent="0.25">
      <c r="A6115" s="3" t="str">
        <f>HYPERLINK("proteomic_fractions_linear_files/Yang_linear_img/31543565.jpg", "31543565")</f>
        <v>31543565</v>
      </c>
      <c r="C6115" s="3" t="str">
        <f>HYPERLINK("http://www.ncbi.nlm.nih.gov/protein/31543565","Rab23")</f>
        <v>Rab23</v>
      </c>
      <c r="E6115" t="str">
        <f>HYPERLINK("J:\Depot - mpkCCD Fractions\Main Web Page\Web Pages_old\proteomic_fractions_linear_files/Yang_linear_img/31543565.jpg","show blot")</f>
        <v>show blot</v>
      </c>
      <c r="G6115" t="s">
        <v>5900</v>
      </c>
      <c r="I6115" s="6">
        <v>4.1784315165903516</v>
      </c>
      <c r="K6115" s="8"/>
    </row>
    <row r="6116" spans="1:11" ht="15" x14ac:dyDescent="0.25">
      <c r="A6116" s="3" t="str">
        <f>HYPERLINK("proteomic_fractions_linear_files/Yang_linear_img/6679591.jpg", "6679591")</f>
        <v>6679591</v>
      </c>
      <c r="C6116" s="3" t="str">
        <f>HYPERLINK("http://www.ncbi.nlm.nih.gov/protein/6679591","Rab24")</f>
        <v>Rab24</v>
      </c>
      <c r="E6116" t="str">
        <f>HYPERLINK("J:\Depot - mpkCCD Fractions\Main Web Page\Web Pages_old\proteomic_fractions_linear_files/Yang_linear_img/6679591.jpg","show blot")</f>
        <v>show blot</v>
      </c>
      <c r="G6116" t="s">
        <v>5901</v>
      </c>
      <c r="I6116" s="6">
        <v>4.6299691641117597</v>
      </c>
      <c r="K6116" s="8"/>
    </row>
    <row r="6117" spans="1:11" ht="15" x14ac:dyDescent="0.25">
      <c r="A6117" s="3" t="str">
        <f>HYPERLINK("proteomic_fractions_linear_files/Yang_linear_img/31980838.jpg", "31980838")</f>
        <v>31980838</v>
      </c>
      <c r="C6117" s="3" t="str">
        <f>HYPERLINK("http://www.ncbi.nlm.nih.gov/protein/31980838","Rab25")</f>
        <v>Rab25</v>
      </c>
      <c r="E6117" t="str">
        <f>HYPERLINK("J:\Depot - mpkCCD Fractions\Main Web Page\Web Pages_old\proteomic_fractions_linear_files/Yang_linear_img/31980838.jpg","show blot")</f>
        <v>show blot</v>
      </c>
      <c r="G6117" t="s">
        <v>5902</v>
      </c>
      <c r="I6117" s="6">
        <v>5.8305831036775588</v>
      </c>
      <c r="K6117" s="8"/>
    </row>
    <row r="6118" spans="1:11" ht="15" x14ac:dyDescent="0.25">
      <c r="A6118" s="3" t="str">
        <f>HYPERLINK("proteomic_fractions_linear_files/Yang_linear_img/254939698.jpg", "254939698")</f>
        <v>254939698</v>
      </c>
      <c r="C6118" s="3" t="str">
        <f>HYPERLINK("http://www.ncbi.nlm.nih.gov/protein/254939698","Rab26")</f>
        <v>Rab26</v>
      </c>
      <c r="E6118" t="str">
        <f>HYPERLINK("J:\Depot - mpkCCD Fractions\Main Web Page\Web Pages_old\proteomic_fractions_linear_files/Yang_linear_img/254939698.jpg","show blot")</f>
        <v>show blot</v>
      </c>
      <c r="G6118" t="s">
        <v>5903</v>
      </c>
      <c r="I6118" s="6">
        <v>6.5401073105721359</v>
      </c>
      <c r="K6118" s="8"/>
    </row>
    <row r="6119" spans="1:11" ht="15" x14ac:dyDescent="0.25">
      <c r="A6119" s="3" t="str">
        <f>HYPERLINK("proteomic_fractions_linear_files/Yang_linear_img/13128964.jpg", "13128964")</f>
        <v>13128964</v>
      </c>
      <c r="C6119" s="3" t="str">
        <f>HYPERLINK("http://www.ncbi.nlm.nih.gov/protein/13128964","Rab27a")</f>
        <v>Rab27a</v>
      </c>
      <c r="E6119" t="str">
        <f>HYPERLINK("J:\Depot - mpkCCD Fractions\Main Web Page\Web Pages_old\proteomic_fractions_linear_files/Yang_linear_img/13128964.jpg","show blot")</f>
        <v>show blot</v>
      </c>
      <c r="G6119" t="s">
        <v>5904</v>
      </c>
      <c r="I6119" s="6">
        <v>4.2776701684830165</v>
      </c>
      <c r="K6119" s="8"/>
    </row>
    <row r="6120" spans="1:11" ht="15" x14ac:dyDescent="0.25">
      <c r="A6120" s="3" t="str">
        <f>HYPERLINK("proteomic_fractions_linear_files/Yang_linear_img/127138858.jpg", "127138858")</f>
        <v>127138858</v>
      </c>
      <c r="C6120" s="3" t="str">
        <f>HYPERLINK("http://www.ncbi.nlm.nih.gov/protein/127138858","Rab27b")</f>
        <v>Rab27b</v>
      </c>
      <c r="E6120" t="str">
        <f>HYPERLINK("J:\Depot - mpkCCD Fractions\Main Web Page\Web Pages_old\proteomic_fractions_linear_files/Yang_linear_img/127138858.jpg","show blot")</f>
        <v>show blot</v>
      </c>
      <c r="G6120" t="s">
        <v>5905</v>
      </c>
      <c r="I6120" s="6">
        <v>4.3304060895975685</v>
      </c>
      <c r="K6120" s="8"/>
    </row>
    <row r="6121" spans="1:11" ht="15" x14ac:dyDescent="0.25">
      <c r="A6121" s="3" t="str">
        <f>HYPERLINK("proteomic_fractions_linear_files/Yang_linear_img/58037191.jpg", "58037191")</f>
        <v>58037191</v>
      </c>
      <c r="C6121" s="3" t="str">
        <f>HYPERLINK("http://www.ncbi.nlm.nih.gov/protein/58037191","Rab28")</f>
        <v>Rab28</v>
      </c>
      <c r="E6121" t="str">
        <f>HYPERLINK("J:\Depot - mpkCCD Fractions\Main Web Page\Web Pages_old\proteomic_fractions_linear_files/Yang_linear_img/58037191.jpg","show blot")</f>
        <v>show blot</v>
      </c>
      <c r="G6121" t="s">
        <v>5906</v>
      </c>
      <c r="I6121" s="6">
        <v>4.5282553098928142</v>
      </c>
      <c r="K6121" s="8"/>
    </row>
    <row r="6122" spans="1:11" ht="15" x14ac:dyDescent="0.25">
      <c r="A6122" s="3" t="str">
        <f>HYPERLINK("proteomic_fractions_linear_files/Yang_linear_img/10946940.jpg", "10946940")</f>
        <v>10946940</v>
      </c>
      <c r="C6122" s="3" t="str">
        <f>HYPERLINK("http://www.ncbi.nlm.nih.gov/protein/10946940","Rab2a")</f>
        <v>Rab2a</v>
      </c>
      <c r="E6122" t="str">
        <f>HYPERLINK("J:\Depot - mpkCCD Fractions\Main Web Page\Web Pages_old\proteomic_fractions_linear_files/Yang_linear_img/10946940.jpg","show blot")</f>
        <v>show blot</v>
      </c>
      <c r="G6122" t="s">
        <v>5907</v>
      </c>
      <c r="I6122" s="6">
        <v>6.180068671848157</v>
      </c>
      <c r="K6122" s="8"/>
    </row>
    <row r="6123" spans="1:11" ht="15" x14ac:dyDescent="0.25">
      <c r="A6123" s="3" t="str">
        <f>HYPERLINK("proteomic_fractions_linear_files/Yang_linear_img/30525051.jpg", "30525051")</f>
        <v>30525051</v>
      </c>
      <c r="C6123" s="3" t="str">
        <f>HYPERLINK("http://www.ncbi.nlm.nih.gov/protein/30525051","Rab2b")</f>
        <v>Rab2b</v>
      </c>
      <c r="E6123" t="str">
        <f>HYPERLINK("J:\Depot - mpkCCD Fractions\Main Web Page\Web Pages_old\proteomic_fractions_linear_files/Yang_linear_img/30525051.jpg","show blot")</f>
        <v>show blot</v>
      </c>
      <c r="G6123" t="s">
        <v>5908</v>
      </c>
      <c r="I6123" s="6">
        <v>5.7629826272745674</v>
      </c>
      <c r="K6123" s="8"/>
    </row>
    <row r="6124" spans="1:11" ht="15" x14ac:dyDescent="0.25">
      <c r="A6124" s="3" t="str">
        <f>HYPERLINK("proteomic_fractions_linear_files/Yang_linear_img/31560778.jpg", "31560778")</f>
        <v>31560778</v>
      </c>
      <c r="C6124" s="3" t="str">
        <f>HYPERLINK("http://www.ncbi.nlm.nih.gov/protein/31560778","Rab30")</f>
        <v>Rab30</v>
      </c>
      <c r="E6124" t="str">
        <f>HYPERLINK("J:\Depot - mpkCCD Fractions\Main Web Page\Web Pages_old\proteomic_fractions_linear_files/Yang_linear_img/31560778.jpg","show blot")</f>
        <v>show blot</v>
      </c>
      <c r="G6124" t="s">
        <v>5909</v>
      </c>
      <c r="I6124" s="6">
        <v>6.6256155741431</v>
      </c>
      <c r="K6124" s="8"/>
    </row>
    <row r="6125" spans="1:11" ht="15" x14ac:dyDescent="0.25">
      <c r="A6125" s="3" t="str">
        <f>HYPERLINK("proteomic_fractions_linear_files/Yang_linear_img/225579124.jpg", "225579124")</f>
        <v>225579124</v>
      </c>
      <c r="C6125" s="3" t="str">
        <f>HYPERLINK("http://www.ncbi.nlm.nih.gov/protein/225579124","Rab31")</f>
        <v>Rab31</v>
      </c>
      <c r="E6125" t="str">
        <f>HYPERLINK("J:\Depot - mpkCCD Fractions\Main Web Page\Web Pages_old\proteomic_fractions_linear_files/Yang_linear_img/225579124.jpg","show blot")</f>
        <v>show blot</v>
      </c>
      <c r="G6125" t="s">
        <v>5910</v>
      </c>
      <c r="I6125" s="6">
        <v>4.8868001377930828</v>
      </c>
      <c r="K6125" s="8"/>
    </row>
    <row r="6126" spans="1:11" ht="15" x14ac:dyDescent="0.25">
      <c r="A6126" s="3" t="str">
        <f>HYPERLINK("proteomic_fractions_linear_files/Yang_linear_img/13385896.jpg", "13385896")</f>
        <v>13385896</v>
      </c>
      <c r="C6126" s="3" t="str">
        <f>HYPERLINK("http://www.ncbi.nlm.nih.gov/protein/13385896","Rab32")</f>
        <v>Rab32</v>
      </c>
      <c r="E6126" t="str">
        <f>HYPERLINK("J:\Depot - mpkCCD Fractions\Main Web Page\Web Pages_old\proteomic_fractions_linear_files/Yang_linear_img/13385896.jpg","show blot")</f>
        <v>show blot</v>
      </c>
      <c r="G6126" t="s">
        <v>5911</v>
      </c>
      <c r="I6126" s="6">
        <v>3.6114857420274431</v>
      </c>
      <c r="K6126" s="8"/>
    </row>
    <row r="6127" spans="1:11" ht="15" x14ac:dyDescent="0.25">
      <c r="A6127" s="3" t="str">
        <f>HYPERLINK("proteomic_fractions_linear_files/Yang_linear_img/6755260.jpg", "6755260")</f>
        <v>6755260</v>
      </c>
      <c r="C6127" s="3" t="str">
        <f>HYPERLINK("http://www.ncbi.nlm.nih.gov/protein/6755260","Rab33a")</f>
        <v>Rab33a</v>
      </c>
      <c r="E6127" t="str">
        <f>HYPERLINK("J:\Depot - mpkCCD Fractions\Main Web Page\Web Pages_old\proteomic_fractions_linear_files/Yang_linear_img/6755260.jpg","show blot")</f>
        <v>show blot</v>
      </c>
      <c r="G6127" t="s">
        <v>5912</v>
      </c>
      <c r="I6127" s="6">
        <v>3.407985421308136</v>
      </c>
      <c r="K6127" s="8"/>
    </row>
    <row r="6128" spans="1:11" ht="15" x14ac:dyDescent="0.25">
      <c r="A6128" s="3" t="str">
        <f>HYPERLINK("proteomic_fractions_linear_files/Yang_linear_img/8394133.jpg", "8394133")</f>
        <v>8394133</v>
      </c>
      <c r="C6128" s="3" t="str">
        <f>HYPERLINK("http://www.ncbi.nlm.nih.gov/protein/8394133","Rab33b")</f>
        <v>Rab33b</v>
      </c>
      <c r="E6128" t="str">
        <f>HYPERLINK("J:\Depot - mpkCCD Fractions\Main Web Page\Web Pages_old\proteomic_fractions_linear_files/Yang_linear_img/8394133.jpg","show blot")</f>
        <v>show blot</v>
      </c>
      <c r="G6128" t="s">
        <v>5913</v>
      </c>
      <c r="I6128" s="6">
        <v>6.5806604749401805</v>
      </c>
      <c r="K6128" s="8"/>
    </row>
    <row r="6129" spans="1:11" ht="15" x14ac:dyDescent="0.25">
      <c r="A6129" s="3" t="str">
        <f>HYPERLINK("proteomic_fractions_linear_files/Yang_linear_img/31560774.jpg", "31560774")</f>
        <v>31560774</v>
      </c>
      <c r="C6129" s="3" t="str">
        <f>HYPERLINK("http://www.ncbi.nlm.nih.gov/protein/31560774","Rab34")</f>
        <v>Rab34</v>
      </c>
      <c r="E6129" t="str">
        <f>HYPERLINK("J:\Depot - mpkCCD Fractions\Main Web Page\Web Pages_old\proteomic_fractions_linear_files/Yang_linear_img/31560774.jpg","show blot")</f>
        <v>show blot</v>
      </c>
      <c r="G6129" t="s">
        <v>5914</v>
      </c>
      <c r="I6129" s="6">
        <v>2.9742390620657013</v>
      </c>
      <c r="K6129" s="8"/>
    </row>
    <row r="6130" spans="1:11" ht="15" x14ac:dyDescent="0.25">
      <c r="A6130" s="3" t="str">
        <f>HYPERLINK("proteomic_fractions_linear_files/Yang_linear_img/37718983.jpg", "37718983")</f>
        <v>37718983</v>
      </c>
      <c r="C6130" s="3" t="str">
        <f>HYPERLINK("http://www.ncbi.nlm.nih.gov/protein/37718983","Rab35")</f>
        <v>Rab35</v>
      </c>
      <c r="E6130" t="str">
        <f>HYPERLINK("J:\Depot - mpkCCD Fractions\Main Web Page\Web Pages_old\proteomic_fractions_linear_files/Yang_linear_img/37718983.jpg","show blot")</f>
        <v>show blot</v>
      </c>
      <c r="G6130" t="s">
        <v>5915</v>
      </c>
      <c r="I6130" s="6">
        <v>6.8014940882451889</v>
      </c>
      <c r="K6130" s="8"/>
    </row>
    <row r="6131" spans="1:11" ht="15" x14ac:dyDescent="0.25">
      <c r="A6131" s="3" t="str">
        <f>HYPERLINK("proteomic_fractions_linear_files/Yang_linear_img/254939625.jpg", "254939625")</f>
        <v>254939625</v>
      </c>
      <c r="C6131" s="3" t="str">
        <f>HYPERLINK("http://www.ncbi.nlm.nih.gov/protein/254939625","Rab37")</f>
        <v>Rab37</v>
      </c>
      <c r="E6131" t="str">
        <f>HYPERLINK("J:\Depot - mpkCCD Fractions\Main Web Page\Web Pages_old\proteomic_fractions_linear_files/Yang_linear_img/254939625.jpg","show blot")</f>
        <v>show blot</v>
      </c>
      <c r="G6131" t="s">
        <v>5916</v>
      </c>
      <c r="I6131" s="6">
        <v>6.607054100202749</v>
      </c>
      <c r="K6131" s="8"/>
    </row>
    <row r="6132" spans="1:11" ht="15" x14ac:dyDescent="0.25">
      <c r="A6132" s="3" t="str">
        <f>HYPERLINK("proteomic_fractions_linear_files/Yang_linear_img/254939635.jpg", "254939635")</f>
        <v>254939635</v>
      </c>
      <c r="C6132" s="3" t="str">
        <f>HYPERLINK("http://www.ncbi.nlm.nih.gov/protein/254939635","Rab37")</f>
        <v>Rab37</v>
      </c>
      <c r="E6132" t="str">
        <f>HYPERLINK("J:\Depot - mpkCCD Fractions\Main Web Page\Web Pages_old\proteomic_fractions_linear_files/Yang_linear_img/254939635.jpg","show blot")</f>
        <v>show blot</v>
      </c>
      <c r="G6132" t="s">
        <v>5917</v>
      </c>
      <c r="I6132" s="6">
        <v>6.607054100202749</v>
      </c>
      <c r="K6132" s="8"/>
    </row>
    <row r="6133" spans="1:11" ht="15" x14ac:dyDescent="0.25">
      <c r="A6133" s="3" t="str">
        <f>HYPERLINK("proteomic_fractions_linear_files/Yang_linear_img/21105857.jpg", "21105857")</f>
        <v>21105857</v>
      </c>
      <c r="C6133" s="3" t="str">
        <f>HYPERLINK("http://www.ncbi.nlm.nih.gov/protein/21105857","Rab38")</f>
        <v>Rab38</v>
      </c>
      <c r="E6133" t="str">
        <f>HYPERLINK("J:\Depot - mpkCCD Fractions\Main Web Page\Web Pages_old\proteomic_fractions_linear_files/Yang_linear_img/21105857.jpg","show blot")</f>
        <v>show blot</v>
      </c>
      <c r="G6133" t="s">
        <v>5918</v>
      </c>
      <c r="I6133" s="6">
        <v>3.6082499786418931</v>
      </c>
      <c r="K6133" s="8"/>
    </row>
    <row r="6134" spans="1:11" ht="15" x14ac:dyDescent="0.25">
      <c r="A6134" s="3" t="str">
        <f>HYPERLINK("proteomic_fractions_linear_files/Yang_linear_img/30425356.jpg", "30425356")</f>
        <v>30425356</v>
      </c>
      <c r="C6134" s="3" t="str">
        <f>HYPERLINK("http://www.ncbi.nlm.nih.gov/protein/30425356","Rab39")</f>
        <v>Rab39</v>
      </c>
      <c r="E6134" t="str">
        <f>HYPERLINK("J:\Depot - mpkCCD Fractions\Main Web Page\Web Pages_old\proteomic_fractions_linear_files/Yang_linear_img/30425356.jpg","show blot")</f>
        <v>show blot</v>
      </c>
      <c r="G6134" t="s">
        <v>5919</v>
      </c>
      <c r="I6134" s="6">
        <v>6.5893253332423178</v>
      </c>
      <c r="K6134" s="8"/>
    </row>
    <row r="6135" spans="1:11" ht="15" x14ac:dyDescent="0.25">
      <c r="A6135" s="3" t="str">
        <f>HYPERLINK("proteomic_fractions_linear_files/Yang_linear_img/30424726.jpg", "30424726")</f>
        <v>30424726</v>
      </c>
      <c r="C6135" s="3" t="str">
        <f>HYPERLINK("http://www.ncbi.nlm.nih.gov/protein/30424726","Rab39b")</f>
        <v>Rab39b</v>
      </c>
      <c r="E6135" t="str">
        <f>HYPERLINK("J:\Depot - mpkCCD Fractions\Main Web Page\Web Pages_old\proteomic_fractions_linear_files/Yang_linear_img/30424726.jpg","show blot")</f>
        <v>show blot</v>
      </c>
      <c r="G6135" t="s">
        <v>5920</v>
      </c>
      <c r="I6135" s="6">
        <v>6.5893253332423178</v>
      </c>
      <c r="K6135" s="8"/>
    </row>
    <row r="6136" spans="1:11" ht="15" x14ac:dyDescent="0.25">
      <c r="A6136" s="3" t="str">
        <f>HYPERLINK("proteomic_fractions_linear_files/Yang_linear_img/261862303.jpg", "261862303")</f>
        <v>261862303</v>
      </c>
      <c r="C6136" s="3" t="str">
        <f>HYPERLINK("http://www.ncbi.nlm.nih.gov/protein/261862303","Rab3a")</f>
        <v>Rab3a</v>
      </c>
      <c r="E6136" t="str">
        <f>HYPERLINK("J:\Depot - mpkCCD Fractions\Main Web Page\Web Pages_old\proteomic_fractions_linear_files/Yang_linear_img/261862303.jpg","show blot")</f>
        <v>show blot</v>
      </c>
      <c r="G6136" t="s">
        <v>5921</v>
      </c>
      <c r="I6136" s="6">
        <v>6.6041608217502219</v>
      </c>
      <c r="K6136" s="8"/>
    </row>
    <row r="6137" spans="1:11" ht="15" x14ac:dyDescent="0.25">
      <c r="A6137" s="3" t="str">
        <f>HYPERLINK("proteomic_fractions_linear_files/Yang_linear_img/12963723.jpg", "12963723")</f>
        <v>12963723</v>
      </c>
      <c r="C6137" s="3" t="str">
        <f>HYPERLINK("http://www.ncbi.nlm.nih.gov/protein/12963723","Rab3b")</f>
        <v>Rab3b</v>
      </c>
      <c r="E6137" t="str">
        <f>HYPERLINK("J:\Depot - mpkCCD Fractions\Main Web Page\Web Pages_old\proteomic_fractions_linear_files/Yang_linear_img/12963723.jpg","show blot")</f>
        <v>show blot</v>
      </c>
      <c r="G6137" t="s">
        <v>5922</v>
      </c>
      <c r="I6137" s="6">
        <v>6.6022212327811696</v>
      </c>
      <c r="K6137" s="8"/>
    </row>
    <row r="6138" spans="1:11" ht="15" x14ac:dyDescent="0.25">
      <c r="A6138" s="3" t="str">
        <f>HYPERLINK("proteomic_fractions_linear_files/Yang_linear_img/13470090.jpg", "13470090")</f>
        <v>13470090</v>
      </c>
      <c r="C6138" s="3" t="str">
        <f>HYPERLINK("http://www.ncbi.nlm.nih.gov/protein/13470090","Rab3c")</f>
        <v>Rab3c</v>
      </c>
      <c r="E6138" t="str">
        <f>HYPERLINK("J:\Depot - mpkCCD Fractions\Main Web Page\Web Pages_old\proteomic_fractions_linear_files/Yang_linear_img/13470090.jpg","show blot")</f>
        <v>show blot</v>
      </c>
      <c r="G6138" t="s">
        <v>5923</v>
      </c>
      <c r="I6138" s="6">
        <v>6.5848101596213446</v>
      </c>
      <c r="K6138" s="8"/>
    </row>
    <row r="6139" spans="1:11" ht="15" x14ac:dyDescent="0.25">
      <c r="A6139" s="3" t="str">
        <f>HYPERLINK("proteomic_fractions_linear_files/Yang_linear_img/15042957.jpg", "15042957")</f>
        <v>15042957</v>
      </c>
      <c r="C6139" s="3" t="str">
        <f>HYPERLINK("http://www.ncbi.nlm.nih.gov/protein/15042957","Rab3d")</f>
        <v>Rab3d</v>
      </c>
      <c r="E6139" t="str">
        <f>HYPERLINK("J:\Depot - mpkCCD Fractions\Main Web Page\Web Pages_old\proteomic_fractions_linear_files/Yang_linear_img/15042957.jpg","show blot")</f>
        <v>show blot</v>
      </c>
      <c r="G6139" t="s">
        <v>5924</v>
      </c>
      <c r="I6139" s="6">
        <v>6.6395896755767279</v>
      </c>
      <c r="K6139" s="8"/>
    </row>
    <row r="6140" spans="1:11" ht="15" x14ac:dyDescent="0.25">
      <c r="A6140" s="3" t="str">
        <f>HYPERLINK("proteomic_fractions_linear_files/Yang_linear_img/158966667.jpg", "158966667")</f>
        <v>158966667</v>
      </c>
      <c r="C6140" s="3" t="str">
        <f>HYPERLINK("http://www.ncbi.nlm.nih.gov/protein/158966667","Rab3gap1")</f>
        <v>Rab3gap1</v>
      </c>
      <c r="E6140" t="str">
        <f>HYPERLINK("J:\Depot - mpkCCD Fractions\Main Web Page\Web Pages_old\proteomic_fractions_linear_files/Yang_linear_img/158966667.jpg","show blot")</f>
        <v>show blot</v>
      </c>
      <c r="G6140" t="s">
        <v>5925</v>
      </c>
      <c r="I6140" s="6">
        <v>4.1404917523607434</v>
      </c>
      <c r="K6140" s="8"/>
    </row>
    <row r="6141" spans="1:11" ht="15" x14ac:dyDescent="0.25">
      <c r="A6141" s="3" t="str">
        <f>HYPERLINK("proteomic_fractions_linear_files/Yang_linear_img/255003810.jpg", "255003810")</f>
        <v>255003810</v>
      </c>
      <c r="C6141" s="3" t="str">
        <f>HYPERLINK("http://www.ncbi.nlm.nih.gov/protein/255003810","Rab3gap2")</f>
        <v>Rab3gap2</v>
      </c>
      <c r="E6141" t="str">
        <f>HYPERLINK("J:\Depot - mpkCCD Fractions\Main Web Page\Web Pages_old\proteomic_fractions_linear_files/Yang_linear_img/255003810.jpg","show blot")</f>
        <v>show blot</v>
      </c>
      <c r="G6141" t="s">
        <v>5926</v>
      </c>
      <c r="I6141" s="6">
        <v>4.3152748797539768</v>
      </c>
      <c r="K6141" s="8"/>
    </row>
    <row r="6142" spans="1:11" ht="15" x14ac:dyDescent="0.25">
      <c r="A6142" s="3" t="str">
        <f>HYPERLINK("proteomic_fractions_linear_files/Yang_linear_img/51556219.jpg", "51556219")</f>
        <v>51556219</v>
      </c>
      <c r="C6142" s="3" t="str">
        <f>HYPERLINK("http://www.ncbi.nlm.nih.gov/protein/51556219","Rab3ip")</f>
        <v>Rab3ip</v>
      </c>
      <c r="E6142" t="str">
        <f>HYPERLINK("J:\Depot - mpkCCD Fractions\Main Web Page\Web Pages_old\proteomic_fractions_linear_files/Yang_linear_img/51556219.jpg","show blot")</f>
        <v>show blot</v>
      </c>
      <c r="G6142" t="s">
        <v>5927</v>
      </c>
      <c r="I6142" s="6">
        <v>4.7627481662803453</v>
      </c>
      <c r="K6142" s="8"/>
    </row>
    <row r="6143" spans="1:11" ht="15" x14ac:dyDescent="0.25">
      <c r="A6143" s="3" t="str">
        <f>HYPERLINK("proteomic_fractions_linear_files/Yang_linear_img/253970492.jpg", "253970492")</f>
        <v>253970492</v>
      </c>
      <c r="C6143" s="3" t="str">
        <f>HYPERLINK("http://www.ncbi.nlm.nih.gov/protein/253970492","Rab40b")</f>
        <v>Rab40b</v>
      </c>
      <c r="E6143" t="str">
        <f>HYPERLINK("J:\Depot - mpkCCD Fractions\Main Web Page\Web Pages_old\proteomic_fractions_linear_files/Yang_linear_img/253970492.jpg","show blot")</f>
        <v>show blot</v>
      </c>
      <c r="G6143" t="s">
        <v>5928</v>
      </c>
      <c r="I6143" s="6">
        <v>5.9643819220341383</v>
      </c>
      <c r="K6143" s="8"/>
    </row>
    <row r="6144" spans="1:11" ht="15" x14ac:dyDescent="0.25">
      <c r="A6144" s="3" t="str">
        <f>HYPERLINK("proteomic_fractions_linear_files/Yang_linear_img/86476069.jpg", "86476069")</f>
        <v>86476069</v>
      </c>
      <c r="C6144" s="3" t="str">
        <f>HYPERLINK("http://www.ncbi.nlm.nih.gov/protein/86476069","Rab43")</f>
        <v>Rab43</v>
      </c>
      <c r="E6144" t="str">
        <f>HYPERLINK("J:\Depot - mpkCCD Fractions\Main Web Page\Web Pages_old\proteomic_fractions_linear_files/Yang_linear_img/86476069.jpg","show blot")</f>
        <v>show blot</v>
      </c>
      <c r="G6144" t="s">
        <v>5929</v>
      </c>
      <c r="I6144" s="6">
        <v>6.6255375058967623</v>
      </c>
      <c r="K6144" s="8"/>
    </row>
    <row r="6145" spans="1:11" ht="15" x14ac:dyDescent="0.25">
      <c r="A6145" s="3" t="str">
        <f>HYPERLINK("proteomic_fractions_linear_files/Yang_linear_img/171184402.jpg", "171184402")</f>
        <v>171184402</v>
      </c>
      <c r="C6145" s="3" t="str">
        <f>HYPERLINK("http://www.ncbi.nlm.nih.gov/protein/171184402","Rab4a")</f>
        <v>Rab4a</v>
      </c>
      <c r="E6145" t="str">
        <f>HYPERLINK("J:\Depot - mpkCCD Fractions\Main Web Page\Web Pages_old\proteomic_fractions_linear_files/Yang_linear_img/171184402.jpg","show blot")</f>
        <v>show blot</v>
      </c>
      <c r="G6145" t="s">
        <v>5930</v>
      </c>
      <c r="I6145" s="6">
        <v>6.6221185308982964</v>
      </c>
      <c r="K6145" s="8"/>
    </row>
    <row r="6146" spans="1:11" ht="15" x14ac:dyDescent="0.25">
      <c r="A6146" s="3" t="str">
        <f>HYPERLINK("proteomic_fractions_linear_files/Yang_linear_img/21313012.jpg", "21313012")</f>
        <v>21313012</v>
      </c>
      <c r="C6146" s="3" t="str">
        <f>HYPERLINK("http://www.ncbi.nlm.nih.gov/protein/21313012","Rab4b")</f>
        <v>Rab4b</v>
      </c>
      <c r="E6146" t="str">
        <f>HYPERLINK("J:\Depot - mpkCCD Fractions\Main Web Page\Web Pages_old\proteomic_fractions_linear_files/Yang_linear_img/21313012.jpg","show blot")</f>
        <v>show blot</v>
      </c>
      <c r="G6146" t="s">
        <v>5931</v>
      </c>
      <c r="I6146" s="6">
        <v>6.6398250808586194</v>
      </c>
      <c r="K6146" s="8"/>
    </row>
    <row r="6147" spans="1:11" ht="15" x14ac:dyDescent="0.25">
      <c r="A6147" s="3" t="str">
        <f>HYPERLINK("proteomic_fractions_linear_files/Yang_linear_img/13385374.jpg", "13385374")</f>
        <v>13385374</v>
      </c>
      <c r="C6147" s="3" t="str">
        <f>HYPERLINK("http://www.ncbi.nlm.nih.gov/protein/13385374","Rab5a")</f>
        <v>Rab5a</v>
      </c>
      <c r="E6147" t="str">
        <f>HYPERLINK("J:\Depot - mpkCCD Fractions\Main Web Page\Web Pages_old\proteomic_fractions_linear_files/Yang_linear_img/13385374.jpg","show blot")</f>
        <v>show blot</v>
      </c>
      <c r="G6147" t="s">
        <v>5932</v>
      </c>
      <c r="I6147" s="6">
        <v>6.47956035304626</v>
      </c>
      <c r="K6147" s="8"/>
    </row>
    <row r="6148" spans="1:11" ht="15" x14ac:dyDescent="0.25">
      <c r="A6148" s="3" t="str">
        <f>HYPERLINK("proteomic_fractions_linear_files/Yang_linear_img/28916687.jpg", "28916687")</f>
        <v>28916687</v>
      </c>
      <c r="C6148" s="3" t="str">
        <f>HYPERLINK("http://www.ncbi.nlm.nih.gov/protein/28916687","Rab5b")</f>
        <v>Rab5b</v>
      </c>
      <c r="E6148" t="str">
        <f>HYPERLINK("J:\Depot - mpkCCD Fractions\Main Web Page\Web Pages_old\proteomic_fractions_linear_files/Yang_linear_img/28916687.jpg","show blot")</f>
        <v>show blot</v>
      </c>
      <c r="G6148" t="s">
        <v>5933</v>
      </c>
      <c r="I6148" s="6">
        <v>6.3938935235941479</v>
      </c>
      <c r="K6148" s="8"/>
    </row>
    <row r="6149" spans="1:11" ht="15" x14ac:dyDescent="0.25">
      <c r="A6149" s="3" t="str">
        <f>HYPERLINK("proteomic_fractions_linear_files/Yang_linear_img/113866024.jpg", "113866024")</f>
        <v>113866024</v>
      </c>
      <c r="C6149" s="3" t="str">
        <f>HYPERLINK("http://www.ncbi.nlm.nih.gov/protein/113866024","Rab5c")</f>
        <v>Rab5c</v>
      </c>
      <c r="E6149" t="str">
        <f>HYPERLINK("J:\Depot - mpkCCD Fractions\Main Web Page\Web Pages_old\proteomic_fractions_linear_files/Yang_linear_img/113866024.jpg","show blot")</f>
        <v>show blot</v>
      </c>
      <c r="G6149" t="s">
        <v>5934</v>
      </c>
      <c r="I6149" s="6">
        <v>6.5455427139196463</v>
      </c>
      <c r="K6149" s="8"/>
    </row>
    <row r="6150" spans="1:11" ht="15" x14ac:dyDescent="0.25">
      <c r="A6150" s="3" t="str">
        <f>HYPERLINK("proteomic_fractions_linear_files/Yang_linear_img/13195674.jpg", "13195674")</f>
        <v>13195674</v>
      </c>
      <c r="C6150" s="3" t="str">
        <f>HYPERLINK("http://www.ncbi.nlm.nih.gov/protein/13195674","Rab6a")</f>
        <v>Rab6a</v>
      </c>
      <c r="E6150" t="str">
        <f>HYPERLINK("J:\Depot - mpkCCD Fractions\Main Web Page\Web Pages_old\proteomic_fractions_linear_files/Yang_linear_img/13195674.jpg","show blot")</f>
        <v>show blot</v>
      </c>
      <c r="G6150" t="s">
        <v>5935</v>
      </c>
      <c r="I6150" s="6">
        <v>6.6954577412767016</v>
      </c>
      <c r="K6150" s="8"/>
    </row>
    <row r="6151" spans="1:11" ht="15" x14ac:dyDescent="0.25">
      <c r="A6151" s="3" t="str">
        <f>HYPERLINK("proteomic_fractions_linear_files/Yang_linear_img/254750706.jpg", "254750706")</f>
        <v>254750706</v>
      </c>
      <c r="C6151" s="3" t="str">
        <f>HYPERLINK("http://www.ncbi.nlm.nih.gov/protein/254750706","Rab6a")</f>
        <v>Rab6a</v>
      </c>
      <c r="E6151" t="str">
        <f>HYPERLINK("J:\Depot - mpkCCD Fractions\Main Web Page\Web Pages_old\proteomic_fractions_linear_files/Yang_linear_img/254750706.jpg","show blot")</f>
        <v>show blot</v>
      </c>
      <c r="G6151" t="s">
        <v>5936</v>
      </c>
      <c r="I6151" s="6">
        <v>6.6954577412767016</v>
      </c>
      <c r="K6151" s="8"/>
    </row>
    <row r="6152" spans="1:11" ht="15" x14ac:dyDescent="0.25">
      <c r="A6152" s="3" t="str">
        <f>HYPERLINK("proteomic_fractions_linear_files/Yang_linear_img/30424655.jpg", "30424655")</f>
        <v>30424655</v>
      </c>
      <c r="C6152" s="3" t="str">
        <f>HYPERLINK("http://www.ncbi.nlm.nih.gov/protein/30424655","Rab6b")</f>
        <v>Rab6b</v>
      </c>
      <c r="E6152" t="str">
        <f>HYPERLINK("J:\Depot - mpkCCD Fractions\Main Web Page\Web Pages_old\proteomic_fractions_linear_files/Yang_linear_img/30424655.jpg","show blot")</f>
        <v>show blot</v>
      </c>
      <c r="G6152" t="s">
        <v>5937</v>
      </c>
      <c r="I6152" s="6">
        <v>6.7445737763306193</v>
      </c>
      <c r="K6152" s="8"/>
    </row>
    <row r="6153" spans="1:11" ht="15" x14ac:dyDescent="0.25">
      <c r="A6153" s="3" t="str">
        <f>HYPERLINK("proteomic_fractions_linear_files/Yang_linear_img/148747526.jpg", "148747526")</f>
        <v>148747526</v>
      </c>
      <c r="C6153" s="3" t="str">
        <f>HYPERLINK("http://www.ncbi.nlm.nih.gov/protein/148747526","Rab7")</f>
        <v>Rab7</v>
      </c>
      <c r="E6153" t="str">
        <f>HYPERLINK("J:\Depot - mpkCCD Fractions\Main Web Page\Web Pages_old\proteomic_fractions_linear_files/Yang_linear_img/148747526.jpg","show blot")</f>
        <v>show blot</v>
      </c>
      <c r="G6153" t="s">
        <v>5938</v>
      </c>
      <c r="I6153" s="6">
        <v>6.7452069657359131</v>
      </c>
      <c r="K6153" s="8"/>
    </row>
    <row r="6154" spans="1:11" ht="15" x14ac:dyDescent="0.25">
      <c r="A6154" s="3" t="str">
        <f>HYPERLINK("proteomic_fractions_linear_files/Yang_linear_img/229608951.jpg", "229608951")</f>
        <v>229608951</v>
      </c>
      <c r="C6154" s="3" t="str">
        <f>HYPERLINK("http://www.ncbi.nlm.nih.gov/protein/229608951","Rab7l1")</f>
        <v>Rab7l1</v>
      </c>
      <c r="E6154" t="str">
        <f>HYPERLINK("J:\Depot - mpkCCD Fractions\Main Web Page\Web Pages_old\proteomic_fractions_linear_files/Yang_linear_img/229608951.jpg","show blot")</f>
        <v>show blot</v>
      </c>
      <c r="G6154" t="s">
        <v>5939</v>
      </c>
      <c r="I6154" s="6">
        <v>3.6567273915203855</v>
      </c>
      <c r="K6154" s="8"/>
    </row>
    <row r="6155" spans="1:11" ht="15" x14ac:dyDescent="0.25">
      <c r="A6155" s="3" t="str">
        <f>HYPERLINK("proteomic_fractions_linear_files/Yang_linear_img/38372905.jpg", "38372905")</f>
        <v>38372905</v>
      </c>
      <c r="C6155" s="3" t="str">
        <f>HYPERLINK("http://www.ncbi.nlm.nih.gov/protein/38372905","Rab8a")</f>
        <v>Rab8a</v>
      </c>
      <c r="E6155" t="str">
        <f>HYPERLINK("J:\Depot - mpkCCD Fractions\Main Web Page\Web Pages_old\proteomic_fractions_linear_files/Yang_linear_img/38372905.jpg","show blot")</f>
        <v>show blot</v>
      </c>
      <c r="G6155" t="s">
        <v>5940</v>
      </c>
      <c r="I6155" s="6">
        <v>6.8075613337776373</v>
      </c>
      <c r="K6155" s="8"/>
    </row>
    <row r="6156" spans="1:11" ht="15" x14ac:dyDescent="0.25">
      <c r="A6156" s="3" t="str">
        <f>HYPERLINK("proteomic_fractions_linear_files/Yang_linear_img/27734154.jpg", "27734154")</f>
        <v>27734154</v>
      </c>
      <c r="C6156" s="3" t="str">
        <f>HYPERLINK("http://www.ncbi.nlm.nih.gov/protein/27734154","Rab8b")</f>
        <v>Rab8b</v>
      </c>
      <c r="E6156" t="str">
        <f>HYPERLINK("J:\Depot - mpkCCD Fractions\Main Web Page\Web Pages_old\proteomic_fractions_linear_files/Yang_linear_img/27734154.jpg","show blot")</f>
        <v>show blot</v>
      </c>
      <c r="G6156" t="s">
        <v>5941</v>
      </c>
      <c r="I6156" s="6">
        <v>6.7901867047181739</v>
      </c>
      <c r="K6156" s="8"/>
    </row>
    <row r="6157" spans="1:11" ht="15" x14ac:dyDescent="0.25">
      <c r="A6157" s="3" t="str">
        <f>HYPERLINK("proteomic_fractions_linear_files/Yang_linear_img/9790227.jpg", "9790227")</f>
        <v>9790227</v>
      </c>
      <c r="C6157" s="3" t="str">
        <f>HYPERLINK("http://www.ncbi.nlm.nih.gov/protein/9790227","Rab9")</f>
        <v>Rab9</v>
      </c>
      <c r="E6157" t="str">
        <f>HYPERLINK("J:\Depot - mpkCCD Fractions\Main Web Page\Web Pages_old\proteomic_fractions_linear_files/Yang_linear_img/9790227.jpg","show blot")</f>
        <v>show blot</v>
      </c>
      <c r="G6157" t="s">
        <v>5942</v>
      </c>
      <c r="I6157" s="6">
        <v>5.1662131132538622</v>
      </c>
      <c r="K6157" s="8"/>
    </row>
    <row r="6158" spans="1:11" ht="15" x14ac:dyDescent="0.25">
      <c r="A6158" s="3" t="str">
        <f>HYPERLINK("proteomic_fractions_linear_files/Yang_linear_img/28892801.jpg", "28892801")</f>
        <v>28892801</v>
      </c>
      <c r="C6158" s="3" t="str">
        <f>HYPERLINK("http://www.ncbi.nlm.nih.gov/protein/28892801","Rab9b")</f>
        <v>Rab9b</v>
      </c>
      <c r="E6158" t="str">
        <f>HYPERLINK("J:\Depot - mpkCCD Fractions\Main Web Page\Web Pages_old\proteomic_fractions_linear_files/Yang_linear_img/28892801.jpg","show blot")</f>
        <v>show blot</v>
      </c>
      <c r="G6158" t="s">
        <v>5943</v>
      </c>
      <c r="I6158" s="6">
        <v>3.4822627281996801</v>
      </c>
      <c r="K6158" s="8"/>
    </row>
    <row r="6159" spans="1:11" ht="15" x14ac:dyDescent="0.25">
      <c r="A6159" s="3" t="str">
        <f>HYPERLINK("proteomic_fractions_linear_files/Yang_linear_img/33859558.jpg", "33859558")</f>
        <v>33859558</v>
      </c>
      <c r="C6159" s="3" t="str">
        <f>HYPERLINK("http://www.ncbi.nlm.nih.gov/protein/33859558","Rabac1")</f>
        <v>Rabac1</v>
      </c>
      <c r="E6159" t="str">
        <f>HYPERLINK("J:\Depot - mpkCCD Fractions\Main Web Page\Web Pages_old\proteomic_fractions_linear_files/Yang_linear_img/33859558.jpg","show blot")</f>
        <v>show blot</v>
      </c>
      <c r="G6159" t="s">
        <v>5944</v>
      </c>
      <c r="I6159" s="6">
        <v>4.6332517484608351</v>
      </c>
      <c r="K6159" s="8"/>
    </row>
    <row r="6160" spans="1:11" ht="15" x14ac:dyDescent="0.25">
      <c r="A6160" s="3" t="str">
        <f>HYPERLINK("proteomic_fractions_linear_files/Yang_linear_img/238231439.jpg", "238231439")</f>
        <v>238231439</v>
      </c>
      <c r="C6160" s="3" t="str">
        <f>HYPERLINK("http://www.ncbi.nlm.nih.gov/protein/238231439","Rabep1")</f>
        <v>Rabep1</v>
      </c>
      <c r="E6160" t="str">
        <f>HYPERLINK("J:\Depot - mpkCCD Fractions\Main Web Page\Web Pages_old\proteomic_fractions_linear_files/Yang_linear_img/238231439.jpg","show blot")</f>
        <v>show blot</v>
      </c>
      <c r="G6160" t="s">
        <v>5945</v>
      </c>
      <c r="I6160" s="6">
        <v>4.2241563261993802</v>
      </c>
      <c r="K6160" s="8"/>
    </row>
    <row r="6161" spans="1:11" ht="15" x14ac:dyDescent="0.25">
      <c r="A6161" s="3" t="str">
        <f>HYPERLINK("proteomic_fractions_linear_files/Yang_linear_img/140970573.jpg", "140970573")</f>
        <v>140970573</v>
      </c>
      <c r="C6161" s="3" t="str">
        <f>HYPERLINK("http://www.ncbi.nlm.nih.gov/protein/140970573","Rabep2")</f>
        <v>Rabep2</v>
      </c>
      <c r="E6161" t="str">
        <f>HYPERLINK("J:\Depot - mpkCCD Fractions\Main Web Page\Web Pages_old\proteomic_fractions_linear_files/Yang_linear_img/140970573.jpg","show blot")</f>
        <v>show blot</v>
      </c>
      <c r="G6161" t="s">
        <v>5946</v>
      </c>
      <c r="I6161" s="6">
        <v>4.9529014330381838</v>
      </c>
      <c r="K6161" s="8"/>
    </row>
    <row r="6162" spans="1:11" ht="15" x14ac:dyDescent="0.25">
      <c r="A6162" s="3" t="str">
        <f>HYPERLINK("proteomic_fractions_linear_files/Yang_linear_img/76880489.jpg", "76880489")</f>
        <v>76880489</v>
      </c>
      <c r="C6162" s="3" t="str">
        <f>HYPERLINK("http://www.ncbi.nlm.nih.gov/protein/76880489","Rabgap1")</f>
        <v>Rabgap1</v>
      </c>
      <c r="E6162" t="str">
        <f>HYPERLINK("J:\Depot - mpkCCD Fractions\Main Web Page\Web Pages_old\proteomic_fractions_linear_files/Yang_linear_img/76880489.jpg","show blot")</f>
        <v>show blot</v>
      </c>
      <c r="G6162" t="s">
        <v>5947</v>
      </c>
      <c r="I6162" s="6">
        <v>4.8690226076427248</v>
      </c>
      <c r="K6162" s="8"/>
    </row>
    <row r="6163" spans="1:11" ht="15" x14ac:dyDescent="0.25">
      <c r="A6163" s="3" t="str">
        <f>HYPERLINK("proteomic_fractions_linear_files/Yang_linear_img/76880498.jpg", "76880498")</f>
        <v>76880498</v>
      </c>
      <c r="C6163" s="3" t="str">
        <f>HYPERLINK("http://www.ncbi.nlm.nih.gov/protein/76880498","Rabgap1")</f>
        <v>Rabgap1</v>
      </c>
      <c r="E6163" t="str">
        <f>HYPERLINK("J:\Depot - mpkCCD Fractions\Main Web Page\Web Pages_old\proteomic_fractions_linear_files/Yang_linear_img/76880498.jpg","show blot")</f>
        <v>show blot</v>
      </c>
      <c r="G6163" t="s">
        <v>5948</v>
      </c>
      <c r="I6163" s="6">
        <v>4.8690226076427248</v>
      </c>
      <c r="K6163" s="8"/>
    </row>
    <row r="6164" spans="1:11" ht="15" x14ac:dyDescent="0.25">
      <c r="A6164" s="3" t="str">
        <f>HYPERLINK("proteomic_fractions_linear_files/Yang_linear_img/229577255.jpg", "229577255")</f>
        <v>229577255</v>
      </c>
      <c r="C6164" s="3" t="str">
        <f>HYPERLINK("http://www.ncbi.nlm.nih.gov/protein/229577255","Rabgap1l")</f>
        <v>Rabgap1l</v>
      </c>
      <c r="E6164" t="str">
        <f>HYPERLINK("J:\Depot - mpkCCD Fractions\Main Web Page\Web Pages_old\proteomic_fractions_linear_files/Yang_linear_img/229577255.jpg","show blot")</f>
        <v>show blot</v>
      </c>
      <c r="G6164" t="s">
        <v>5949</v>
      </c>
      <c r="I6164" s="6">
        <v>3.6416598069811035</v>
      </c>
      <c r="K6164" s="8"/>
    </row>
    <row r="6165" spans="1:11" ht="15" x14ac:dyDescent="0.25">
      <c r="A6165" s="3" t="str">
        <f>HYPERLINK("proteomic_fractions_linear_files/Yang_linear_img/84490375.jpg", "84490375")</f>
        <v>84490375</v>
      </c>
      <c r="C6165" s="3" t="str">
        <f>HYPERLINK("http://www.ncbi.nlm.nih.gov/protein/84490375","Rabgap1l")</f>
        <v>Rabgap1l</v>
      </c>
      <c r="E6165" t="str">
        <f>HYPERLINK("J:\Depot - mpkCCD Fractions\Main Web Page\Web Pages_old\proteomic_fractions_linear_files/Yang_linear_img/84490375.jpg","show blot")</f>
        <v>show blot</v>
      </c>
      <c r="G6165" t="s">
        <v>5950</v>
      </c>
      <c r="I6165" s="6">
        <v>3.6416598069811035</v>
      </c>
      <c r="K6165" s="8"/>
    </row>
    <row r="6166" spans="1:11" ht="15" x14ac:dyDescent="0.25">
      <c r="A6166" s="3" t="str">
        <f>HYPERLINK("proteomic_fractions_linear_files/Yang_linear_img/312261269;9910316.jpg", "312261269;9910316")</f>
        <v>312261269;9910316</v>
      </c>
      <c r="C6166" s="3" t="str">
        <f>HYPERLINK("http://www.ncbi.nlm.nih.gov/protein/312261269;9910316","Rabgef1")</f>
        <v>Rabgef1</v>
      </c>
      <c r="E6166" t="str">
        <f>HYPERLINK("J:\Depot - mpkCCD Fractions\Main Web Page\Web Pages_old\proteomic_fractions_linear_files/Yang_linear_img/312261269;9910316.jpg","show blot")</f>
        <v>show blot</v>
      </c>
      <c r="G6166" t="s">
        <v>5951</v>
      </c>
      <c r="I6166" s="6">
        <v>3.7830713401537062</v>
      </c>
      <c r="K6166" s="8"/>
    </row>
    <row r="6167" spans="1:11" ht="15" x14ac:dyDescent="0.25">
      <c r="A6167" s="3" t="str">
        <f>HYPERLINK("proteomic_fractions_linear_files/Yang_linear_img/9507023.jpg", "9507023")</f>
        <v>9507023</v>
      </c>
      <c r="C6167" s="3" t="str">
        <f>HYPERLINK("http://www.ncbi.nlm.nih.gov/protein/9507023","Rabggta")</f>
        <v>Rabggta</v>
      </c>
      <c r="E6167" t="str">
        <f>HYPERLINK("J:\Depot - mpkCCD Fractions\Main Web Page\Web Pages_old\proteomic_fractions_linear_files/Yang_linear_img/9507023.jpg","show blot")</f>
        <v>show blot</v>
      </c>
      <c r="G6167" t="s">
        <v>5952</v>
      </c>
      <c r="I6167" s="6">
        <v>4.9059452561225489</v>
      </c>
      <c r="K6167" s="8"/>
    </row>
    <row r="6168" spans="1:11" ht="15" x14ac:dyDescent="0.25">
      <c r="A6168" s="3" t="str">
        <f>HYPERLINK("proteomic_fractions_linear_files/Yang_linear_img/254553291.jpg", "254553291")</f>
        <v>254553291</v>
      </c>
      <c r="C6168" s="3" t="str">
        <f>HYPERLINK("http://www.ncbi.nlm.nih.gov/protein/254553291","Rabggtb")</f>
        <v>Rabggtb</v>
      </c>
      <c r="E6168" t="str">
        <f>HYPERLINK("J:\Depot - mpkCCD Fractions\Main Web Page\Web Pages_old\proteomic_fractions_linear_files/Yang_linear_img/254553291.jpg","show blot")</f>
        <v>show blot</v>
      </c>
      <c r="G6168" t="s">
        <v>5953</v>
      </c>
      <c r="I6168" s="6">
        <v>5.3391620515074782</v>
      </c>
      <c r="K6168" s="8"/>
    </row>
    <row r="6169" spans="1:11" ht="15" x14ac:dyDescent="0.25">
      <c r="A6169" s="3" t="str">
        <f>HYPERLINK("proteomic_fractions_linear_files/Yang_linear_img/254553293.jpg", "254553293")</f>
        <v>254553293</v>
      </c>
      <c r="C6169" s="3" t="str">
        <f>HYPERLINK("http://www.ncbi.nlm.nih.gov/protein/254553293","Rabggtb")</f>
        <v>Rabggtb</v>
      </c>
      <c r="E6169" t="str">
        <f>HYPERLINK("J:\Depot - mpkCCD Fractions\Main Web Page\Web Pages_old\proteomic_fractions_linear_files/Yang_linear_img/254553293.jpg","show blot")</f>
        <v>show blot</v>
      </c>
      <c r="G6169" t="s">
        <v>5954</v>
      </c>
      <c r="I6169" s="6">
        <v>5.3391620515074782</v>
      </c>
      <c r="K6169" s="8"/>
    </row>
    <row r="6170" spans="1:11" ht="15" x14ac:dyDescent="0.25">
      <c r="A6170" s="3" t="str">
        <f>HYPERLINK("proteomic_fractions_linear_files/Yang_linear_img/254553295.jpg", "254553295")</f>
        <v>254553295</v>
      </c>
      <c r="C6170" s="3" t="str">
        <f>HYPERLINK("http://www.ncbi.nlm.nih.gov/protein/254553295","Rabggtb")</f>
        <v>Rabggtb</v>
      </c>
      <c r="E6170" t="str">
        <f>HYPERLINK("J:\Depot - mpkCCD Fractions\Main Web Page\Web Pages_old\proteomic_fractions_linear_files/Yang_linear_img/254553295.jpg","show blot")</f>
        <v>show blot</v>
      </c>
      <c r="G6170" t="s">
        <v>5955</v>
      </c>
      <c r="I6170" s="6">
        <v>5.3391620515074782</v>
      </c>
      <c r="K6170" s="8"/>
    </row>
    <row r="6171" spans="1:11" ht="15" x14ac:dyDescent="0.25">
      <c r="A6171" s="3" t="str">
        <f>HYPERLINK("proteomic_fractions_linear_files/Yang_linear_img/21704004.jpg", "21704004")</f>
        <v>21704004</v>
      </c>
      <c r="C6171" s="3" t="str">
        <f>HYPERLINK("http://www.ncbi.nlm.nih.gov/protein/21704004","Rabif")</f>
        <v>Rabif</v>
      </c>
      <c r="E6171" t="str">
        <f>HYPERLINK("J:\Depot - mpkCCD Fractions\Main Web Page\Web Pages_old\proteomic_fractions_linear_files/Yang_linear_img/21704004.jpg","show blot")</f>
        <v>show blot</v>
      </c>
      <c r="G6171" t="s">
        <v>5956</v>
      </c>
      <c r="I6171" s="6">
        <v>4.1925037035155412</v>
      </c>
      <c r="K6171" s="8"/>
    </row>
    <row r="6172" spans="1:11" ht="15" x14ac:dyDescent="0.25">
      <c r="A6172" s="3" t="str">
        <f>HYPERLINK("proteomic_fractions_linear_files/Yang_linear_img/146134336.jpg", "146134336")</f>
        <v>146134336</v>
      </c>
      <c r="C6172" s="3" t="str">
        <f>HYPERLINK("http://www.ncbi.nlm.nih.gov/protein/146134336","Rabl2")</f>
        <v>Rabl2</v>
      </c>
      <c r="E6172" t="str">
        <f>HYPERLINK("J:\Depot - mpkCCD Fractions\Main Web Page\Web Pages_old\proteomic_fractions_linear_files/Yang_linear_img/146134336.jpg","show blot")</f>
        <v>show blot</v>
      </c>
      <c r="G6172" t="s">
        <v>5957</v>
      </c>
      <c r="I6172" s="6">
        <v>3.9360369966480895</v>
      </c>
      <c r="K6172" s="8"/>
    </row>
    <row r="6173" spans="1:11" ht="15" x14ac:dyDescent="0.25">
      <c r="A6173" s="3" t="str">
        <f>HYPERLINK("proteomic_fractions_linear_files/Yang_linear_img/21313026.jpg", "21313026")</f>
        <v>21313026</v>
      </c>
      <c r="C6173" s="3" t="str">
        <f>HYPERLINK("http://www.ncbi.nlm.nih.gov/protein/21313026","Rabl5")</f>
        <v>Rabl5</v>
      </c>
      <c r="E6173" t="str">
        <f>HYPERLINK("J:\Depot - mpkCCD Fractions\Main Web Page\Web Pages_old\proteomic_fractions_linear_files/Yang_linear_img/21313026.jpg","show blot")</f>
        <v>show blot</v>
      </c>
      <c r="G6173" t="s">
        <v>5958</v>
      </c>
      <c r="I6173" s="6">
        <v>4.6393467741794376</v>
      </c>
      <c r="K6173" s="8"/>
    </row>
    <row r="6174" spans="1:11" ht="15" x14ac:dyDescent="0.25">
      <c r="A6174" s="3" t="str">
        <f>HYPERLINK("proteomic_fractions_linear_files/Yang_linear_img/112181302.jpg", "112181302")</f>
        <v>112181302</v>
      </c>
      <c r="C6174" s="3" t="str">
        <f>HYPERLINK("http://www.ncbi.nlm.nih.gov/protein/112181302","Rabl6")</f>
        <v>Rabl6</v>
      </c>
      <c r="E6174" t="str">
        <f>HYPERLINK("J:\Depot - mpkCCD Fractions\Main Web Page\Web Pages_old\proteomic_fractions_linear_files/Yang_linear_img/112181302.jpg","show blot")</f>
        <v>show blot</v>
      </c>
      <c r="G6174" t="s">
        <v>5959</v>
      </c>
      <c r="I6174" s="6">
        <v>4.2824541635016597</v>
      </c>
      <c r="K6174" s="8"/>
    </row>
    <row r="6175" spans="1:11" ht="15" x14ac:dyDescent="0.25">
      <c r="A6175" s="3" t="str">
        <f>HYPERLINK("proteomic_fractions_linear_files/Yang_linear_img/45592934.jpg", "45592934")</f>
        <v>45592934</v>
      </c>
      <c r="C6175" s="3" t="str">
        <f>HYPERLINK("http://www.ncbi.nlm.nih.gov/protein/45592934","Rac1")</f>
        <v>Rac1</v>
      </c>
      <c r="E6175" t="str">
        <f>HYPERLINK("J:\Depot - mpkCCD Fractions\Main Web Page\Web Pages_old\proteomic_fractions_linear_files/Yang_linear_img/45592934.jpg","show blot")</f>
        <v>show blot</v>
      </c>
      <c r="G6175" t="s">
        <v>5960</v>
      </c>
      <c r="I6175" s="6">
        <v>6.8771138928993745</v>
      </c>
      <c r="K6175" s="8"/>
    </row>
    <row r="6176" spans="1:11" ht="15" x14ac:dyDescent="0.25">
      <c r="A6176" s="3" t="str">
        <f>HYPERLINK("proteomic_fractions_linear_files/Yang_linear_img/6679601.jpg", "6679601")</f>
        <v>6679601</v>
      </c>
      <c r="C6176" s="3" t="str">
        <f>HYPERLINK("http://www.ncbi.nlm.nih.gov/protein/6679601","Rac2")</f>
        <v>Rac2</v>
      </c>
      <c r="E6176" t="str">
        <f>HYPERLINK("J:\Depot - mpkCCD Fractions\Main Web Page\Web Pages_old\proteomic_fractions_linear_files/Yang_linear_img/6679601.jpg","show blot")</f>
        <v>show blot</v>
      </c>
      <c r="G6176" t="s">
        <v>5961</v>
      </c>
      <c r="I6176" s="6">
        <v>6.6908692055417811</v>
      </c>
      <c r="K6176" s="8"/>
    </row>
    <row r="6177" spans="1:11" ht="15" x14ac:dyDescent="0.25">
      <c r="A6177" s="3" t="str">
        <f>HYPERLINK("proteomic_fractions_linear_files/Yang_linear_img/18875380.jpg", "18875380")</f>
        <v>18875380</v>
      </c>
      <c r="C6177" s="3" t="str">
        <f>HYPERLINK("http://www.ncbi.nlm.nih.gov/protein/18875380","Rac3")</f>
        <v>Rac3</v>
      </c>
      <c r="E6177" t="str">
        <f>HYPERLINK("J:\Depot - mpkCCD Fractions\Main Web Page\Web Pages_old\proteomic_fractions_linear_files/Yang_linear_img/18875380.jpg","show blot")</f>
        <v>show blot</v>
      </c>
      <c r="G6177" t="s">
        <v>5962</v>
      </c>
      <c r="I6177" s="6">
        <v>6.7724060329272895</v>
      </c>
      <c r="K6177" s="8"/>
    </row>
    <row r="6178" spans="1:11" ht="15" x14ac:dyDescent="0.25">
      <c r="A6178" s="3" t="str">
        <f>HYPERLINK("proteomic_fractions_linear_files/Yang_linear_img/6755266.jpg", "6755266")</f>
        <v>6755266</v>
      </c>
      <c r="C6178" s="3" t="str">
        <f>HYPERLINK("http://www.ncbi.nlm.nih.gov/protein/6755266","Racgap1")</f>
        <v>Racgap1</v>
      </c>
      <c r="E6178" t="str">
        <f>HYPERLINK("J:\Depot - mpkCCD Fractions\Main Web Page\Web Pages_old\proteomic_fractions_linear_files/Yang_linear_img/6755266.jpg","show blot")</f>
        <v>show blot</v>
      </c>
      <c r="G6178" t="s">
        <v>5963</v>
      </c>
      <c r="I6178" s="6">
        <v>2.9603029236724683</v>
      </c>
      <c r="K6178" s="8"/>
    </row>
    <row r="6179" spans="1:11" ht="15" x14ac:dyDescent="0.25">
      <c r="A6179" s="3" t="str">
        <f>HYPERLINK("proteomic_fractions_linear_files/Yang_linear_img/84872189.jpg", "84872189")</f>
        <v>84872189</v>
      </c>
      <c r="C6179" s="3" t="str">
        <f>HYPERLINK("http://www.ncbi.nlm.nih.gov/protein/84872189","Rad1")</f>
        <v>Rad1</v>
      </c>
      <c r="E6179" t="str">
        <f>HYPERLINK("J:\Depot - mpkCCD Fractions\Main Web Page\Web Pages_old\proteomic_fractions_linear_files/Yang_linear_img/84872189.jpg","show blot")</f>
        <v>show blot</v>
      </c>
      <c r="G6179" t="s">
        <v>5964</v>
      </c>
      <c r="I6179" s="6">
        <v>3.9883554179183633</v>
      </c>
      <c r="K6179" s="8"/>
    </row>
    <row r="6180" spans="1:11" ht="15" x14ac:dyDescent="0.25">
      <c r="A6180" s="3" t="str">
        <f>HYPERLINK("proteomic_fractions_linear_files/Yang_linear_img/254692855.jpg", "254692855")</f>
        <v>254692855</v>
      </c>
      <c r="C6180" s="3" t="str">
        <f>HYPERLINK("http://www.ncbi.nlm.nih.gov/protein/254692855","Rad21")</f>
        <v>Rad21</v>
      </c>
      <c r="E6180" t="str">
        <f>HYPERLINK("J:\Depot - mpkCCD Fractions\Main Web Page\Web Pages_old\proteomic_fractions_linear_files/Yang_linear_img/254692855.jpg","show blot")</f>
        <v>show blot</v>
      </c>
      <c r="G6180" t="s">
        <v>5965</v>
      </c>
      <c r="I6180" s="6">
        <v>4.2507288798821046</v>
      </c>
      <c r="K6180" s="8"/>
    </row>
    <row r="6181" spans="1:11" ht="15" x14ac:dyDescent="0.25">
      <c r="A6181" s="3" t="str">
        <f>HYPERLINK("proteomic_fractions_linear_files/Yang_linear_img/34447211.jpg", "34447211")</f>
        <v>34447211</v>
      </c>
      <c r="C6181" s="3" t="str">
        <f>HYPERLINK("http://www.ncbi.nlm.nih.gov/protein/34447211","Rad23a")</f>
        <v>Rad23a</v>
      </c>
      <c r="E6181" t="str">
        <f>HYPERLINK("J:\Depot - mpkCCD Fractions\Main Web Page\Web Pages_old\proteomic_fractions_linear_files/Yang_linear_img/34447211.jpg","show blot")</f>
        <v>show blot</v>
      </c>
      <c r="G6181" t="s">
        <v>5966</v>
      </c>
      <c r="I6181" s="6">
        <v>5.0116687773756894</v>
      </c>
      <c r="K6181" s="8"/>
    </row>
    <row r="6182" spans="1:11" ht="15" x14ac:dyDescent="0.25">
      <c r="A6182" s="3" t="str">
        <f>HYPERLINK("proteomic_fractions_linear_files/Yang_linear_img/171906578.jpg", "171906578")</f>
        <v>171906578</v>
      </c>
      <c r="C6182" s="3" t="str">
        <f>HYPERLINK("http://www.ncbi.nlm.nih.gov/protein/171906578","Rad23b")</f>
        <v>Rad23b</v>
      </c>
      <c r="E6182" t="str">
        <f>HYPERLINK("J:\Depot - mpkCCD Fractions\Main Web Page\Web Pages_old\proteomic_fractions_linear_files/Yang_linear_img/171906578.jpg","show blot")</f>
        <v>show blot</v>
      </c>
      <c r="G6182" t="s">
        <v>5967</v>
      </c>
      <c r="I6182" s="6">
        <v>5.6868818317089271</v>
      </c>
      <c r="K6182" s="8"/>
    </row>
    <row r="6183" spans="1:11" ht="15" x14ac:dyDescent="0.25">
      <c r="A6183" s="3" t="str">
        <f>HYPERLINK("proteomic_fractions_linear_files/Yang_linear_img/153945822.jpg", "153945822")</f>
        <v>153945822</v>
      </c>
      <c r="C6183" s="3" t="str">
        <f>HYPERLINK("http://www.ncbi.nlm.nih.gov/protein/153945822","Rad50")</f>
        <v>Rad50</v>
      </c>
      <c r="E6183" t="str">
        <f>HYPERLINK("J:\Depot - mpkCCD Fractions\Main Web Page\Web Pages_old\proteomic_fractions_linear_files/Yang_linear_img/153945822.jpg","show blot")</f>
        <v>show blot</v>
      </c>
      <c r="G6183" t="s">
        <v>5968</v>
      </c>
      <c r="I6183" s="6">
        <v>4.2229877868070664</v>
      </c>
      <c r="K6183" s="8"/>
    </row>
    <row r="6184" spans="1:11" ht="15" x14ac:dyDescent="0.25">
      <c r="A6184" s="3" t="str">
        <f>HYPERLINK("proteomic_fractions_linear_files/Yang_linear_img/6755276.jpg", "6755276")</f>
        <v>6755276</v>
      </c>
      <c r="C6184" s="3" t="str">
        <f>HYPERLINK("http://www.ncbi.nlm.nih.gov/protein/6755276","Rad51")</f>
        <v>Rad51</v>
      </c>
      <c r="E6184" t="str">
        <f>HYPERLINK("J:\Depot - mpkCCD Fractions\Main Web Page\Web Pages_old\proteomic_fractions_linear_files/Yang_linear_img/6755276.jpg","show blot")</f>
        <v>show blot</v>
      </c>
      <c r="G6184" t="s">
        <v>5969</v>
      </c>
      <c r="I6184" s="6">
        <v>4.2880124205971732</v>
      </c>
      <c r="K6184" s="8"/>
    </row>
    <row r="6185" spans="1:11" ht="15" x14ac:dyDescent="0.25">
      <c r="A6185" s="3" t="str">
        <f>HYPERLINK("proteomic_fractions_linear_files/Yang_linear_img/110626102.jpg", "110626102")</f>
        <v>110626102</v>
      </c>
      <c r="C6185" s="3" t="str">
        <f>HYPERLINK("http://www.ncbi.nlm.nih.gov/protein/110626102","Rad51ap1")</f>
        <v>Rad51ap1</v>
      </c>
      <c r="E6185" t="str">
        <f>HYPERLINK("J:\Depot - mpkCCD Fractions\Main Web Page\Web Pages_old\proteomic_fractions_linear_files/Yang_linear_img/110626102.jpg","show blot")</f>
        <v>show blot</v>
      </c>
      <c r="G6185" t="s">
        <v>5970</v>
      </c>
      <c r="I6185" s="6">
        <v>2.828086728987167</v>
      </c>
      <c r="K6185" s="8"/>
    </row>
    <row r="6186" spans="1:11" ht="15" x14ac:dyDescent="0.25">
      <c r="A6186" s="3" t="str">
        <f>HYPERLINK("proteomic_fractions_linear_files/Yang_linear_img/31982072.jpg", "31982072")</f>
        <v>31982072</v>
      </c>
      <c r="C6186" s="3" t="str">
        <f>HYPERLINK("http://www.ncbi.nlm.nih.gov/protein/31982072","Rad51b")</f>
        <v>Rad51b</v>
      </c>
      <c r="E6186" t="str">
        <f>HYPERLINK("J:\Depot - mpkCCD Fractions\Main Web Page\Web Pages_old\proteomic_fractions_linear_files/Yang_linear_img/31982072.jpg","show blot")</f>
        <v>show blot</v>
      </c>
      <c r="G6186" t="s">
        <v>5971</v>
      </c>
      <c r="I6186" s="6">
        <v>3.9497109089996845</v>
      </c>
      <c r="K6186" s="8"/>
    </row>
    <row r="6187" spans="1:11" ht="15" x14ac:dyDescent="0.25">
      <c r="A6187" s="3" t="str">
        <f>HYPERLINK("proteomic_fractions_linear_files/Yang_linear_img/16716605.jpg", "16716605")</f>
        <v>16716605</v>
      </c>
      <c r="C6187" s="3" t="str">
        <f>HYPERLINK("http://www.ncbi.nlm.nih.gov/protein/16716605","Rad51c")</f>
        <v>Rad51c</v>
      </c>
      <c r="E6187" t="str">
        <f>HYPERLINK("J:\Depot - mpkCCD Fractions\Main Web Page\Web Pages_old\proteomic_fractions_linear_files/Yang_linear_img/16716605.jpg","show blot")</f>
        <v>show blot</v>
      </c>
      <c r="G6187" t="s">
        <v>5972</v>
      </c>
      <c r="I6187" s="6">
        <v>3.4784007148826945</v>
      </c>
      <c r="K6187" s="8"/>
    </row>
    <row r="6188" spans="1:11" ht="15" x14ac:dyDescent="0.25">
      <c r="A6188" s="3" t="str">
        <f>HYPERLINK("proteomic_fractions_linear_files/Yang_linear_img/6755278.jpg", "6755278")</f>
        <v>6755278</v>
      </c>
      <c r="C6188" s="3" t="str">
        <f>HYPERLINK("http://www.ncbi.nlm.nih.gov/protein/6755278","Rad51d")</f>
        <v>Rad51d</v>
      </c>
      <c r="E6188" t="str">
        <f>HYPERLINK("J:\Depot - mpkCCD Fractions\Main Web Page\Web Pages_old\proteomic_fractions_linear_files/Yang_linear_img/6755278.jpg","show blot")</f>
        <v>show blot</v>
      </c>
      <c r="G6188" t="s">
        <v>5973</v>
      </c>
      <c r="I6188" s="6">
        <v>3.1049078933530962</v>
      </c>
      <c r="K6188" s="8"/>
    </row>
    <row r="6189" spans="1:11" ht="15" x14ac:dyDescent="0.25">
      <c r="A6189" s="3" t="str">
        <f>HYPERLINK("proteomic_fractions_linear_files/Yang_linear_img/126090612.jpg", "126090612")</f>
        <v>126090612</v>
      </c>
      <c r="C6189" s="3" t="str">
        <f>HYPERLINK("http://www.ncbi.nlm.nih.gov/protein/126090612","Rad54l2")</f>
        <v>Rad54l2</v>
      </c>
      <c r="E6189" t="str">
        <f>HYPERLINK("J:\Depot - mpkCCD Fractions\Main Web Page\Web Pages_old\proteomic_fractions_linear_files/Yang_linear_img/126090612.jpg","show blot")</f>
        <v>show blot</v>
      </c>
      <c r="G6189" t="s">
        <v>5974</v>
      </c>
      <c r="I6189" s="6">
        <v>2.0338989271842154</v>
      </c>
      <c r="K6189" s="8"/>
    </row>
    <row r="6190" spans="1:11" ht="15" x14ac:dyDescent="0.25">
      <c r="A6190" s="3" t="str">
        <f>HYPERLINK("proteomic_fractions_linear_files/Yang_linear_img/28201956.jpg", "28201956")</f>
        <v>28201956</v>
      </c>
      <c r="C6190" s="3" t="str">
        <f>HYPERLINK("http://www.ncbi.nlm.nih.gov/protein/28201956","Rae1")</f>
        <v>Rae1</v>
      </c>
      <c r="E6190" t="str">
        <f>HYPERLINK("J:\Depot - mpkCCD Fractions\Main Web Page\Web Pages_old\proteomic_fractions_linear_files/Yang_linear_img/28201956.jpg","show blot")</f>
        <v>show blot</v>
      </c>
      <c r="G6190" t="s">
        <v>5975</v>
      </c>
      <c r="I6190" s="6">
        <v>4.778668414336285</v>
      </c>
      <c r="K6190" s="8"/>
    </row>
    <row r="6191" spans="1:11" ht="15" x14ac:dyDescent="0.25">
      <c r="A6191" s="3" t="str">
        <f>HYPERLINK("proteomic_fractions_linear_files/Yang_linear_img/6679617.jpg", "6679617")</f>
        <v>6679617</v>
      </c>
      <c r="C6191" s="3" t="str">
        <f>HYPERLINK("http://www.ncbi.nlm.nih.gov/protein/6679617","Raet1a")</f>
        <v>Raet1a</v>
      </c>
      <c r="E6191" t="str">
        <f>HYPERLINK("J:\Depot - mpkCCD Fractions\Main Web Page\Web Pages_old\proteomic_fractions_linear_files/Yang_linear_img/6679617.jpg","show blot")</f>
        <v>show blot</v>
      </c>
      <c r="G6191" t="s">
        <v>5976</v>
      </c>
      <c r="I6191" s="6">
        <v>3.1850245213224122</v>
      </c>
      <c r="K6191" s="8"/>
    </row>
    <row r="6192" spans="1:11" ht="15" x14ac:dyDescent="0.25">
      <c r="A6192" s="3" t="str">
        <f>HYPERLINK("proteomic_fractions_linear_files/Yang_linear_img/6679619.jpg", "6679619")</f>
        <v>6679619</v>
      </c>
      <c r="C6192" s="3" t="str">
        <f>HYPERLINK("http://www.ncbi.nlm.nih.gov/protein/6679619","Raet1b")</f>
        <v>Raet1b</v>
      </c>
      <c r="E6192" t="str">
        <f>HYPERLINK("J:\Depot - mpkCCD Fractions\Main Web Page\Web Pages_old\proteomic_fractions_linear_files/Yang_linear_img/6679619.jpg","show blot")</f>
        <v>show blot</v>
      </c>
      <c r="G6192" t="s">
        <v>5977</v>
      </c>
      <c r="I6192" s="6">
        <v>3.1850245213224122</v>
      </c>
      <c r="K6192" s="8"/>
    </row>
    <row r="6193" spans="1:11" ht="15" x14ac:dyDescent="0.25">
      <c r="A6193" s="3" t="str">
        <f>HYPERLINK("proteomic_fractions_linear_files/Yang_linear_img/6679621.jpg", "6679621")</f>
        <v>6679621</v>
      </c>
      <c r="C6193" s="3" t="str">
        <f>HYPERLINK("http://www.ncbi.nlm.nih.gov/protein/6679621","Raet1c")</f>
        <v>Raet1c</v>
      </c>
      <c r="E6193" t="str">
        <f>HYPERLINK("J:\Depot - mpkCCD Fractions\Main Web Page\Web Pages_old\proteomic_fractions_linear_files/Yang_linear_img/6679621.jpg","show blot")</f>
        <v>show blot</v>
      </c>
      <c r="G6193" t="s">
        <v>5978</v>
      </c>
      <c r="I6193" s="6">
        <v>3.1850245213224122</v>
      </c>
      <c r="K6193" s="8"/>
    </row>
    <row r="6194" spans="1:11" ht="15" x14ac:dyDescent="0.25">
      <c r="A6194" s="3" t="str">
        <f>HYPERLINK("proteomic_fractions_linear_files/Yang_linear_img/9910522.jpg", "9910522")</f>
        <v>9910522</v>
      </c>
      <c r="C6194" s="3" t="str">
        <f>HYPERLINK("http://www.ncbi.nlm.nih.gov/protein/9910522","Raet1d")</f>
        <v>Raet1d</v>
      </c>
      <c r="E6194" t="str">
        <f>HYPERLINK("J:\Depot - mpkCCD Fractions\Main Web Page\Web Pages_old\proteomic_fractions_linear_files/Yang_linear_img/9910522.jpg","show blot")</f>
        <v>show blot</v>
      </c>
      <c r="G6194" t="s">
        <v>5979</v>
      </c>
      <c r="I6194" s="6">
        <v>3.2043296765177987</v>
      </c>
      <c r="K6194" s="8"/>
    </row>
    <row r="6195" spans="1:11" ht="15" x14ac:dyDescent="0.25">
      <c r="A6195" s="3" t="str">
        <f>HYPERLINK("proteomic_fractions_linear_files/Yang_linear_img/38016148.jpg", "38016148")</f>
        <v>38016148</v>
      </c>
      <c r="C6195" s="3" t="str">
        <f>HYPERLINK("http://www.ncbi.nlm.nih.gov/protein/38016148","Raet1e")</f>
        <v>Raet1e</v>
      </c>
      <c r="E6195" t="str">
        <f>HYPERLINK("J:\Depot - mpkCCD Fractions\Main Web Page\Web Pages_old\proteomic_fractions_linear_files/Yang_linear_img/38016148.jpg","show blot")</f>
        <v>show blot</v>
      </c>
      <c r="G6195" t="s">
        <v>5980</v>
      </c>
      <c r="I6195" s="6">
        <v>3.1850245213224122</v>
      </c>
      <c r="K6195" s="8"/>
    </row>
    <row r="6196" spans="1:11" ht="15" x14ac:dyDescent="0.25">
      <c r="A6196" s="3" t="str">
        <f>HYPERLINK("proteomic_fractions_linear_files/Yang_linear_img/18497290.jpg", "18497290")</f>
        <v>18497290</v>
      </c>
      <c r="C6196" s="3" t="str">
        <f>HYPERLINK("http://www.ncbi.nlm.nih.gov/protein/18497290","Raf1")</f>
        <v>Raf1</v>
      </c>
      <c r="E6196" t="str">
        <f>HYPERLINK("J:\Depot - mpkCCD Fractions\Main Web Page\Web Pages_old\proteomic_fractions_linear_files/Yang_linear_img/18497290.jpg","show blot")</f>
        <v>show blot</v>
      </c>
      <c r="G6196" t="s">
        <v>5981</v>
      </c>
      <c r="I6196" s="6">
        <v>3.8690342931432649</v>
      </c>
      <c r="K6196" s="8"/>
    </row>
    <row r="6197" spans="1:11" ht="15" x14ac:dyDescent="0.25">
      <c r="A6197" s="3" t="str">
        <f>HYPERLINK("proteomic_fractions_linear_files/Yang_linear_img/13507620.jpg", "13507620")</f>
        <v>13507620</v>
      </c>
      <c r="C6197" s="3" t="str">
        <f>HYPERLINK("http://www.ncbi.nlm.nih.gov/protein/13507620","Rai14")</f>
        <v>Rai14</v>
      </c>
      <c r="E6197" t="str">
        <f>HYPERLINK("J:\Depot - mpkCCD Fractions\Main Web Page\Web Pages_old\proteomic_fractions_linear_files/Yang_linear_img/13507620.jpg","show blot")</f>
        <v>show blot</v>
      </c>
      <c r="G6197" t="s">
        <v>5982</v>
      </c>
      <c r="I6197" s="6">
        <v>3.1225606923041394</v>
      </c>
      <c r="K6197" s="8"/>
    </row>
    <row r="6198" spans="1:11" ht="15" x14ac:dyDescent="0.25">
      <c r="A6198" s="3" t="str">
        <f>HYPERLINK("proteomic_fractions_linear_files/Yang_linear_img/34328471.jpg", "34328471")</f>
        <v>34328471</v>
      </c>
      <c r="C6198" s="3" t="str">
        <f>HYPERLINK("http://www.ncbi.nlm.nih.gov/protein/34328471","Rala")</f>
        <v>Rala</v>
      </c>
      <c r="E6198" t="str">
        <f>HYPERLINK("J:\Depot - mpkCCD Fractions\Main Web Page\Web Pages_old\proteomic_fractions_linear_files/Yang_linear_img/34328471.jpg","show blot")</f>
        <v>show blot</v>
      </c>
      <c r="G6198" t="s">
        <v>5983</v>
      </c>
      <c r="I6198" s="6">
        <v>6.1470347138066916</v>
      </c>
      <c r="K6198" s="8"/>
    </row>
    <row r="6199" spans="1:11" ht="15" x14ac:dyDescent="0.25">
      <c r="A6199" s="3" t="str">
        <f>HYPERLINK("proteomic_fractions_linear_files/Yang_linear_img/11612509.jpg", "11612509")</f>
        <v>11612509</v>
      </c>
      <c r="C6199" s="3" t="str">
        <f>HYPERLINK("http://www.ncbi.nlm.nih.gov/protein/11612509","Ralb")</f>
        <v>Ralb</v>
      </c>
      <c r="E6199" t="str">
        <f>HYPERLINK("J:\Depot - mpkCCD Fractions\Main Web Page\Web Pages_old\proteomic_fractions_linear_files/Yang_linear_img/11612509.jpg","show blot")</f>
        <v>show blot</v>
      </c>
      <c r="G6199" t="s">
        <v>5984</v>
      </c>
      <c r="I6199" s="6">
        <v>6.1947355584038393</v>
      </c>
      <c r="K6199" s="8"/>
    </row>
    <row r="6200" spans="1:11" ht="15" x14ac:dyDescent="0.25">
      <c r="A6200" s="3" t="str">
        <f>HYPERLINK("proteomic_fractions_linear_files/Yang_linear_img/163310721.jpg", "163310721")</f>
        <v>163310721</v>
      </c>
      <c r="C6200" s="3" t="str">
        <f>HYPERLINK("http://www.ncbi.nlm.nih.gov/protein/163310721","Ralgapa1")</f>
        <v>Ralgapa1</v>
      </c>
      <c r="E6200" t="str">
        <f>HYPERLINK("J:\Depot - mpkCCD Fractions\Main Web Page\Web Pages_old\proteomic_fractions_linear_files/Yang_linear_img/163310721.jpg","show blot")</f>
        <v>show blot</v>
      </c>
      <c r="G6200" t="s">
        <v>5985</v>
      </c>
      <c r="I6200" s="6">
        <v>2.3740035183572616</v>
      </c>
      <c r="K6200" s="8"/>
    </row>
    <row r="6201" spans="1:11" ht="15" x14ac:dyDescent="0.25">
      <c r="A6201" s="3" t="str">
        <f>HYPERLINK("proteomic_fractions_linear_files/Yang_linear_img/51230692.jpg", "51230692")</f>
        <v>51230692</v>
      </c>
      <c r="C6201" s="3" t="str">
        <f>HYPERLINK("http://www.ncbi.nlm.nih.gov/protein/51230692","Ralgapa1")</f>
        <v>Ralgapa1</v>
      </c>
      <c r="E6201" t="str">
        <f>HYPERLINK("J:\Depot - mpkCCD Fractions\Main Web Page\Web Pages_old\proteomic_fractions_linear_files/Yang_linear_img/51230692.jpg","show blot")</f>
        <v>show blot</v>
      </c>
      <c r="G6201" t="s">
        <v>5986</v>
      </c>
      <c r="I6201" s="6">
        <v>2.3740035183572616</v>
      </c>
      <c r="K6201" s="8"/>
    </row>
    <row r="6202" spans="1:11" ht="15" x14ac:dyDescent="0.25">
      <c r="A6202" s="3" t="str">
        <f>HYPERLINK("proteomic_fractions_linear_files/Yang_linear_img/158187505.jpg", "158187505")</f>
        <v>158187505</v>
      </c>
      <c r="C6202" s="3" t="str">
        <f>HYPERLINK("http://www.ncbi.nlm.nih.gov/protein/158187505","Ralgapa2")</f>
        <v>Ralgapa2</v>
      </c>
      <c r="E6202" t="str">
        <f>HYPERLINK("J:\Depot - mpkCCD Fractions\Main Web Page\Web Pages_old\proteomic_fractions_linear_files/Yang_linear_img/158187505.jpg","show blot")</f>
        <v>show blot</v>
      </c>
      <c r="G6202" t="s">
        <v>5987</v>
      </c>
      <c r="I6202" s="6">
        <v>4.1649624593902876</v>
      </c>
      <c r="K6202" s="8"/>
    </row>
    <row r="6203" spans="1:11" ht="15" x14ac:dyDescent="0.25">
      <c r="A6203" s="3" t="str">
        <f>HYPERLINK("proteomic_fractions_linear_files/Yang_linear_img/124487299.jpg", "124487299")</f>
        <v>124487299</v>
      </c>
      <c r="C6203" s="3" t="str">
        <f>HYPERLINK("http://www.ncbi.nlm.nih.gov/protein/124487299","Ralgapb")</f>
        <v>Ralgapb</v>
      </c>
      <c r="E6203" t="str">
        <f>HYPERLINK("J:\Depot - mpkCCD Fractions\Main Web Page\Web Pages_old\proteomic_fractions_linear_files/Yang_linear_img/124487299.jpg","show blot")</f>
        <v>show blot</v>
      </c>
      <c r="G6203" t="s">
        <v>5988</v>
      </c>
      <c r="I6203" s="6">
        <v>2.8768695076335886</v>
      </c>
      <c r="K6203" s="8"/>
    </row>
    <row r="6204" spans="1:11" ht="15" x14ac:dyDescent="0.25">
      <c r="A6204" s="3" t="str">
        <f>HYPERLINK("proteomic_fractions_linear_files/Yang_linear_img/213417784;213417775.jpg", "213417784;213417775")</f>
        <v>213417784;213417775</v>
      </c>
      <c r="C6204" s="3" t="str">
        <f>HYPERLINK("http://www.ncbi.nlm.nih.gov/protein/213417784;213417775","Raly")</f>
        <v>Raly</v>
      </c>
      <c r="E6204" t="str">
        <f>HYPERLINK("J:\Depot - mpkCCD Fractions\Main Web Page\Web Pages_old\proteomic_fractions_linear_files/Yang_linear_img/213417784;213417775.jpg","show blot")</f>
        <v>show blot</v>
      </c>
      <c r="G6204" t="s">
        <v>5989</v>
      </c>
      <c r="I6204" s="6">
        <v>5.9496111120087063</v>
      </c>
      <c r="K6204" s="8"/>
    </row>
    <row r="6205" spans="1:11" ht="15" x14ac:dyDescent="0.25">
      <c r="A6205" s="3" t="str">
        <f>HYPERLINK("proteomic_fractions_linear_files/Yang_linear_img/213417775.jpg", "213417775")</f>
        <v>213417775</v>
      </c>
      <c r="C6205" s="3" t="str">
        <f>HYPERLINK("http://www.ncbi.nlm.nih.gov/protein/213417775","Raly")</f>
        <v>Raly</v>
      </c>
      <c r="E6205" t="str">
        <f>HYPERLINK("J:\Depot - mpkCCD Fractions\Main Web Page\Web Pages_old\proteomic_fractions_linear_files/Yang_linear_img/213417775.jpg","show blot")</f>
        <v>show blot</v>
      </c>
      <c r="G6205" t="s">
        <v>5989</v>
      </c>
      <c r="I6205" s="6">
        <v>5.9496111120087063</v>
      </c>
      <c r="K6205" s="8"/>
    </row>
    <row r="6206" spans="1:11" ht="15" x14ac:dyDescent="0.25">
      <c r="A6206" s="3" t="str">
        <f>HYPERLINK("proteomic_fractions_linear_files/Yang_linear_img/213417812.jpg", "213417812")</f>
        <v>213417812</v>
      </c>
      <c r="C6206" s="3" t="str">
        <f>HYPERLINK("http://www.ncbi.nlm.nih.gov/protein/213417812","Raly")</f>
        <v>Raly</v>
      </c>
      <c r="E6206" t="str">
        <f>HYPERLINK("J:\Depot - mpkCCD Fractions\Main Web Page\Web Pages_old\proteomic_fractions_linear_files/Yang_linear_img/213417812.jpg","show blot")</f>
        <v>show blot</v>
      </c>
      <c r="G6206" t="s">
        <v>5990</v>
      </c>
      <c r="I6206" s="6">
        <v>5.9496111120087063</v>
      </c>
      <c r="K6206" s="8"/>
    </row>
    <row r="6207" spans="1:11" ht="15" x14ac:dyDescent="0.25">
      <c r="A6207" s="3" t="str">
        <f>HYPERLINK("proteomic_fractions_linear_files/Yang_linear_img/153792001.jpg", "153792001")</f>
        <v>153792001</v>
      </c>
      <c r="C6207" s="3" t="str">
        <f>HYPERLINK("http://www.ncbi.nlm.nih.gov/protein/153792001","Ranbp1")</f>
        <v>Ranbp1</v>
      </c>
      <c r="E6207" t="str">
        <f>HYPERLINK("J:\Depot - mpkCCD Fractions\Main Web Page\Web Pages_old\proteomic_fractions_linear_files/Yang_linear_img/153792001.jpg","show blot")</f>
        <v>show blot</v>
      </c>
      <c r="G6207" t="s">
        <v>5991</v>
      </c>
      <c r="I6207" s="6">
        <v>6.3987587093380727</v>
      </c>
      <c r="K6207" s="8"/>
    </row>
    <row r="6208" spans="1:11" ht="15" x14ac:dyDescent="0.25">
      <c r="A6208" s="3" t="str">
        <f>HYPERLINK("proteomic_fractions_linear_files/Yang_linear_img/40804757.jpg", "40804757")</f>
        <v>40804757</v>
      </c>
      <c r="C6208" s="3" t="str">
        <f>HYPERLINK("http://www.ncbi.nlm.nih.gov/protein/40804757","Ranbp10")</f>
        <v>Ranbp10</v>
      </c>
      <c r="E6208" t="str">
        <f>HYPERLINK("J:\Depot - mpkCCD Fractions\Main Web Page\Web Pages_old\proteomic_fractions_linear_files/Yang_linear_img/40804757.jpg","show blot")</f>
        <v>show blot</v>
      </c>
      <c r="G6208" t="s">
        <v>5992</v>
      </c>
      <c r="I6208" s="6">
        <v>4.2262757426038533</v>
      </c>
      <c r="K6208" s="8"/>
    </row>
    <row r="6209" spans="1:11" ht="15" x14ac:dyDescent="0.25">
      <c r="A6209" s="3" t="str">
        <f>HYPERLINK("proteomic_fractions_linear_files/Yang_linear_img/153792534.jpg", "153792534")</f>
        <v>153792534</v>
      </c>
      <c r="C6209" s="3" t="str">
        <f>HYPERLINK("http://www.ncbi.nlm.nih.gov/protein/153792534","Ranbp2")</f>
        <v>Ranbp2</v>
      </c>
      <c r="E6209" t="str">
        <f>HYPERLINK("J:\Depot - mpkCCD Fractions\Main Web Page\Web Pages_old\proteomic_fractions_linear_files/Yang_linear_img/153792534.jpg","show blot")</f>
        <v>show blot</v>
      </c>
      <c r="G6209" t="s">
        <v>5993</v>
      </c>
      <c r="I6209" s="6">
        <v>3.9485099819487468</v>
      </c>
      <c r="K6209" s="8"/>
    </row>
    <row r="6210" spans="1:11" ht="15" x14ac:dyDescent="0.25">
      <c r="A6210" s="3" t="str">
        <f>HYPERLINK("proteomic_fractions_linear_files/Yang_linear_img/357197128.jpg", "357197128")</f>
        <v>357197128</v>
      </c>
      <c r="C6210" s="3" t="str">
        <f>HYPERLINK("http://www.ncbi.nlm.nih.gov/protein/357197128","Ranbp3")</f>
        <v>Ranbp3</v>
      </c>
      <c r="E6210" t="str">
        <f>HYPERLINK("J:\Depot - mpkCCD Fractions\Main Web Page\Web Pages_old\proteomic_fractions_linear_files/Yang_linear_img/357197128.jpg","show blot")</f>
        <v>show blot</v>
      </c>
      <c r="G6210" t="s">
        <v>5994</v>
      </c>
      <c r="I6210" s="6">
        <v>5.1666048981158452</v>
      </c>
      <c r="K6210" s="8"/>
    </row>
    <row r="6211" spans="1:11" ht="15" x14ac:dyDescent="0.25">
      <c r="A6211" s="3" t="str">
        <f>HYPERLINK("proteomic_fractions_linear_files/Yang_linear_img/357197131.jpg", "357197131")</f>
        <v>357197131</v>
      </c>
      <c r="C6211" s="3" t="str">
        <f>HYPERLINK("http://www.ncbi.nlm.nih.gov/protein/357197131","Ranbp3")</f>
        <v>Ranbp3</v>
      </c>
      <c r="E6211" t="str">
        <f>HYPERLINK("J:\Depot - mpkCCD Fractions\Main Web Page\Web Pages_old\proteomic_fractions_linear_files/Yang_linear_img/357197131.jpg","show blot")</f>
        <v>show blot</v>
      </c>
      <c r="G6211" t="s">
        <v>5995</v>
      </c>
      <c r="I6211" s="6">
        <v>5.1666048981158452</v>
      </c>
      <c r="K6211" s="8"/>
    </row>
    <row r="6212" spans="1:11" ht="15" x14ac:dyDescent="0.25">
      <c r="A6212" s="3" t="str">
        <f>HYPERLINK("proteomic_fractions_linear_files/Yang_linear_img/83523744.jpg", "83523744")</f>
        <v>83523744</v>
      </c>
      <c r="C6212" s="3" t="str">
        <f>HYPERLINK("http://www.ncbi.nlm.nih.gov/protein/83523744","Ranbp3")</f>
        <v>Ranbp3</v>
      </c>
      <c r="E6212" t="str">
        <f>HYPERLINK("J:\Depot - mpkCCD Fractions\Main Web Page\Web Pages_old\proteomic_fractions_linear_files/Yang_linear_img/83523744.jpg","show blot")</f>
        <v>show blot</v>
      </c>
      <c r="G6212" t="s">
        <v>5996</v>
      </c>
      <c r="I6212" s="6">
        <v>5.1666048981158452</v>
      </c>
      <c r="K6212" s="8"/>
    </row>
    <row r="6213" spans="1:11" ht="15" x14ac:dyDescent="0.25">
      <c r="A6213" s="3" t="str">
        <f>HYPERLINK("proteomic_fractions_linear_files/Yang_linear_img/53850664.jpg", "53850664")</f>
        <v>53850664</v>
      </c>
      <c r="C6213" s="3" t="str">
        <f>HYPERLINK("http://www.ncbi.nlm.nih.gov/protein/53850664","Ranbp6")</f>
        <v>Ranbp6</v>
      </c>
      <c r="E6213" t="str">
        <f>HYPERLINK("J:\Depot - mpkCCD Fractions\Main Web Page\Web Pages_old\proteomic_fractions_linear_files/Yang_linear_img/53850664.jpg","show blot")</f>
        <v>show blot</v>
      </c>
      <c r="G6213" t="s">
        <v>5997</v>
      </c>
      <c r="I6213" s="6">
        <v>3.5383497105158925</v>
      </c>
      <c r="K6213" s="8"/>
    </row>
    <row r="6214" spans="1:11" ht="15" x14ac:dyDescent="0.25">
      <c r="A6214" s="3" t="str">
        <f>HYPERLINK("proteomic_fractions_linear_files/Yang_linear_img/161353515.jpg", "161353515")</f>
        <v>161353515</v>
      </c>
      <c r="C6214" s="3" t="str">
        <f>HYPERLINK("http://www.ncbi.nlm.nih.gov/protein/161353515","Ranbp9")</f>
        <v>Ranbp9</v>
      </c>
      <c r="E6214" t="str">
        <f>HYPERLINK("J:\Depot - mpkCCD Fractions\Main Web Page\Web Pages_old\proteomic_fractions_linear_files/Yang_linear_img/161353515.jpg","show blot")</f>
        <v>show blot</v>
      </c>
      <c r="G6214" t="s">
        <v>5998</v>
      </c>
      <c r="I6214" s="6">
        <v>4.4548125193776693</v>
      </c>
      <c r="K6214" s="8"/>
    </row>
    <row r="6215" spans="1:11" ht="15" x14ac:dyDescent="0.25">
      <c r="A6215" s="3" t="str">
        <f>HYPERLINK("proteomic_fractions_linear_files/Yang_linear_img/226051567.jpg", "226051567")</f>
        <v>226051567</v>
      </c>
      <c r="C6215" s="3" t="str">
        <f>HYPERLINK("http://www.ncbi.nlm.nih.gov/protein/226051567","Rangap1")</f>
        <v>Rangap1</v>
      </c>
      <c r="E6215" t="str">
        <f>HYPERLINK("J:\Depot - mpkCCD Fractions\Main Web Page\Web Pages_old\proteomic_fractions_linear_files/Yang_linear_img/226051567.jpg","show blot")</f>
        <v>show blot</v>
      </c>
      <c r="G6215" t="s">
        <v>5999</v>
      </c>
      <c r="I6215" s="6">
        <v>5.4819744343413612</v>
      </c>
      <c r="K6215" s="8"/>
    </row>
    <row r="6216" spans="1:11" ht="15" x14ac:dyDescent="0.25">
      <c r="A6216" s="3" t="str">
        <f>HYPERLINK("proteomic_fractions_linear_files/Yang_linear_img/21704066.jpg", "21704066")</f>
        <v>21704066</v>
      </c>
      <c r="C6216" s="3" t="str">
        <f>HYPERLINK("http://www.ncbi.nlm.nih.gov/protein/21704066","Rap1a")</f>
        <v>Rap1a</v>
      </c>
      <c r="E6216" t="str">
        <f>HYPERLINK("J:\Depot - mpkCCD Fractions\Main Web Page\Web Pages_old\proteomic_fractions_linear_files/Yang_linear_img/21704066.jpg","show blot")</f>
        <v>show blot</v>
      </c>
      <c r="G6216" t="s">
        <v>6000</v>
      </c>
      <c r="I6216" s="6">
        <v>6.3997401559847962</v>
      </c>
      <c r="K6216" s="8"/>
    </row>
    <row r="6217" spans="1:11" ht="15" x14ac:dyDescent="0.25">
      <c r="A6217" s="3" t="str">
        <f>HYPERLINK("proteomic_fractions_linear_files/Yang_linear_img/33859753.jpg", "33859753")</f>
        <v>33859753</v>
      </c>
      <c r="C6217" s="3" t="str">
        <f>HYPERLINK("http://www.ncbi.nlm.nih.gov/protein/33859753","Rap1b")</f>
        <v>Rap1b</v>
      </c>
      <c r="E6217" t="str">
        <f>HYPERLINK("J:\Depot - mpkCCD Fractions\Main Web Page\Web Pages_old\proteomic_fractions_linear_files/Yang_linear_img/33859753.jpg","show blot")</f>
        <v>show blot</v>
      </c>
      <c r="G6217" t="s">
        <v>6001</v>
      </c>
      <c r="I6217" s="6">
        <v>6.4175281996317075</v>
      </c>
      <c r="K6217" s="8"/>
    </row>
    <row r="6218" spans="1:11" ht="15" x14ac:dyDescent="0.25">
      <c r="A6218" s="3" t="str">
        <f>HYPERLINK("proteomic_fractions_linear_files/Yang_linear_img/100818161.jpg", "100818161")</f>
        <v>100818161</v>
      </c>
      <c r="C6218" s="3" t="str">
        <f>HYPERLINK("http://www.ncbi.nlm.nih.gov/protein/100818161","Rap1gds1")</f>
        <v>Rap1gds1</v>
      </c>
      <c r="E6218" t="str">
        <f>HYPERLINK("J:\Depot - mpkCCD Fractions\Main Web Page\Web Pages_old\proteomic_fractions_linear_files/Yang_linear_img/100818161.jpg","show blot")</f>
        <v>show blot</v>
      </c>
      <c r="G6218" t="s">
        <v>6002</v>
      </c>
      <c r="I6218" s="6">
        <v>5.0475192663214434</v>
      </c>
      <c r="K6218" s="8"/>
    </row>
    <row r="6219" spans="1:11" ht="15" x14ac:dyDescent="0.25">
      <c r="A6219" s="3" t="str">
        <f>HYPERLINK("proteomic_fractions_linear_files/Yang_linear_img/100818462.jpg", "100818462")</f>
        <v>100818462</v>
      </c>
      <c r="C6219" s="3" t="str">
        <f>HYPERLINK("http://www.ncbi.nlm.nih.gov/protein/100818462","Rap1gds1")</f>
        <v>Rap1gds1</v>
      </c>
      <c r="E6219" t="str">
        <f>HYPERLINK("J:\Depot - mpkCCD Fractions\Main Web Page\Web Pages_old\proteomic_fractions_linear_files/Yang_linear_img/100818462.jpg","show blot")</f>
        <v>show blot</v>
      </c>
      <c r="G6219" t="s">
        <v>6003</v>
      </c>
      <c r="I6219" s="6">
        <v>5.0475192663214434</v>
      </c>
      <c r="K6219" s="8"/>
    </row>
    <row r="6220" spans="1:11" ht="15" x14ac:dyDescent="0.25">
      <c r="A6220" s="3" t="str">
        <f>HYPERLINK("proteomic_fractions_linear_files/Yang_linear_img/40254160.jpg", "40254160")</f>
        <v>40254160</v>
      </c>
      <c r="C6220" s="3" t="str">
        <f>HYPERLINK("http://www.ncbi.nlm.nih.gov/protein/40254160","Rap2a")</f>
        <v>Rap2a</v>
      </c>
      <c r="E6220" t="str">
        <f>HYPERLINK("J:\Depot - mpkCCD Fractions\Main Web Page\Web Pages_old\proteomic_fractions_linear_files/Yang_linear_img/40254160.jpg","show blot")</f>
        <v>show blot</v>
      </c>
      <c r="G6220" t="s">
        <v>6004</v>
      </c>
      <c r="I6220" s="6">
        <v>4.8389397539581989</v>
      </c>
      <c r="K6220" s="8"/>
    </row>
    <row r="6221" spans="1:11" ht="15" x14ac:dyDescent="0.25">
      <c r="A6221" s="3" t="str">
        <f>HYPERLINK("proteomic_fractions_linear_files/Yang_linear_img/13386338.jpg", "13386338")</f>
        <v>13386338</v>
      </c>
      <c r="C6221" s="3" t="str">
        <f>HYPERLINK("http://www.ncbi.nlm.nih.gov/protein/13386338","Rap2b")</f>
        <v>Rap2b</v>
      </c>
      <c r="E6221" t="str">
        <f>HYPERLINK("J:\Depot - mpkCCD Fractions\Main Web Page\Web Pages_old\proteomic_fractions_linear_files/Yang_linear_img/13386338.jpg","show blot")</f>
        <v>show blot</v>
      </c>
      <c r="G6221" t="s">
        <v>6005</v>
      </c>
      <c r="I6221" s="6">
        <v>5.0075978437703892</v>
      </c>
      <c r="K6221" s="8"/>
    </row>
    <row r="6222" spans="1:11" ht="15" x14ac:dyDescent="0.25">
      <c r="A6222" s="3" t="str">
        <f>HYPERLINK("proteomic_fractions_linear_files/Yang_linear_img/27369539.jpg", "27369539")</f>
        <v>27369539</v>
      </c>
      <c r="C6222" s="3" t="str">
        <f>HYPERLINK("http://www.ncbi.nlm.nih.gov/protein/27369539","Rap2c")</f>
        <v>Rap2c</v>
      </c>
      <c r="E6222" t="str">
        <f>HYPERLINK("J:\Depot - mpkCCD Fractions\Main Web Page\Web Pages_old\proteomic_fractions_linear_files/Yang_linear_img/27369539.jpg","show blot")</f>
        <v>show blot</v>
      </c>
      <c r="G6222" t="s">
        <v>6006</v>
      </c>
      <c r="I6222" s="6">
        <v>5.122476527849825</v>
      </c>
      <c r="K6222" s="8"/>
    </row>
    <row r="6223" spans="1:11" ht="15" x14ac:dyDescent="0.25">
      <c r="A6223" s="3" t="str">
        <f>HYPERLINK("proteomic_fractions_linear_files/Yang_linear_img/323637461.jpg", "323637461")</f>
        <v>323637461</v>
      </c>
      <c r="C6223" s="3" t="str">
        <f>HYPERLINK("http://www.ncbi.nlm.nih.gov/protein/323637461","Rapgef4")</f>
        <v>Rapgef4</v>
      </c>
      <c r="E6223" t="str">
        <f>HYPERLINK("J:\Depot - mpkCCD Fractions\Main Web Page\Web Pages_old\proteomic_fractions_linear_files/Yang_linear_img/323637461.jpg","show blot")</f>
        <v>show blot</v>
      </c>
      <c r="G6223" t="s">
        <v>6007</v>
      </c>
      <c r="I6223" s="6">
        <v>3.9437696144527057</v>
      </c>
      <c r="K6223" s="8"/>
    </row>
    <row r="6224" spans="1:11" ht="15" x14ac:dyDescent="0.25">
      <c r="A6224" s="3" t="str">
        <f>HYPERLINK("proteomic_fractions_linear_files/Yang_linear_img/323637463.jpg", "323637463")</f>
        <v>323637463</v>
      </c>
      <c r="C6224" s="3" t="str">
        <f>HYPERLINK("http://www.ncbi.nlm.nih.gov/protein/323637463","Rapgef4")</f>
        <v>Rapgef4</v>
      </c>
      <c r="E6224" t="str">
        <f>HYPERLINK("J:\Depot - mpkCCD Fractions\Main Web Page\Web Pages_old\proteomic_fractions_linear_files/Yang_linear_img/323637463.jpg","show blot")</f>
        <v>show blot</v>
      </c>
      <c r="G6224" t="s">
        <v>6008</v>
      </c>
      <c r="I6224" s="6">
        <v>3.9437696144527057</v>
      </c>
      <c r="K6224" s="8"/>
    </row>
    <row r="6225" spans="1:11" ht="15" x14ac:dyDescent="0.25">
      <c r="A6225" s="3" t="str">
        <f>HYPERLINK("proteomic_fractions_linear_files/Yang_linear_img/9790087.jpg", "9790087")</f>
        <v>9790087</v>
      </c>
      <c r="C6225" s="3" t="str">
        <f>HYPERLINK("http://www.ncbi.nlm.nih.gov/protein/9790087","Rapgef4")</f>
        <v>Rapgef4</v>
      </c>
      <c r="E6225" t="str">
        <f>HYPERLINK("J:\Depot - mpkCCD Fractions\Main Web Page\Web Pages_old\proteomic_fractions_linear_files/Yang_linear_img/9790087.jpg","show blot")</f>
        <v>show blot</v>
      </c>
      <c r="G6225" t="s">
        <v>6009</v>
      </c>
      <c r="I6225" s="6">
        <v>3.9437696144527057</v>
      </c>
      <c r="K6225" s="8"/>
    </row>
    <row r="6226" spans="1:11" ht="15" x14ac:dyDescent="0.25">
      <c r="A6226" s="3" t="str">
        <f>HYPERLINK("proteomic_fractions_linear_files/Yang_linear_img/124257963.jpg", "124257963")</f>
        <v>124257963</v>
      </c>
      <c r="C6226" s="3" t="str">
        <f>HYPERLINK("http://www.ncbi.nlm.nih.gov/protein/124257963","Rapgefl1")</f>
        <v>Rapgefl1</v>
      </c>
      <c r="E6226" t="str">
        <f>HYPERLINK("J:\Depot - mpkCCD Fractions\Main Web Page\Web Pages_old\proteomic_fractions_linear_files/Yang_linear_img/124257963.jpg","show blot")</f>
        <v>show blot</v>
      </c>
      <c r="G6226" t="s">
        <v>6010</v>
      </c>
      <c r="I6226" s="6">
        <v>4.0701730893192796</v>
      </c>
      <c r="K6226" s="8"/>
    </row>
    <row r="6227" spans="1:11" ht="15" x14ac:dyDescent="0.25">
      <c r="A6227" s="3" t="str">
        <f>HYPERLINK("proteomic_fractions_linear_files/Yang_linear_img/262118273.jpg", "262118273")</f>
        <v>262118273</v>
      </c>
      <c r="C6227" s="3" t="str">
        <f>HYPERLINK("http://www.ncbi.nlm.nih.gov/protein/262118273","Rars")</f>
        <v>Rars</v>
      </c>
      <c r="E6227" t="str">
        <f>HYPERLINK("J:\Depot - mpkCCD Fractions\Main Web Page\Web Pages_old\proteomic_fractions_linear_files/Yang_linear_img/262118273.jpg","show blot")</f>
        <v>show blot</v>
      </c>
      <c r="G6227" t="s">
        <v>6011</v>
      </c>
      <c r="I6227" s="6">
        <v>6.386961483558248</v>
      </c>
      <c r="K6227" s="8"/>
    </row>
    <row r="6228" spans="1:11" ht="15" x14ac:dyDescent="0.25">
      <c r="A6228" s="3" t="str">
        <f>HYPERLINK("proteomic_fractions_linear_files/Yang_linear_img/240120047.jpg", "240120047")</f>
        <v>240120047</v>
      </c>
      <c r="C6228" s="3" t="str">
        <f>HYPERLINK("http://www.ncbi.nlm.nih.gov/protein/240120047","Rars2")</f>
        <v>Rars2</v>
      </c>
      <c r="E6228" t="str">
        <f>HYPERLINK("J:\Depot - mpkCCD Fractions\Main Web Page\Web Pages_old\proteomic_fractions_linear_files/Yang_linear_img/240120047.jpg","show blot")</f>
        <v>show blot</v>
      </c>
      <c r="G6228" t="s">
        <v>6012</v>
      </c>
      <c r="I6228" s="6">
        <v>2.5509524796109582</v>
      </c>
      <c r="K6228" s="8"/>
    </row>
    <row r="6229" spans="1:11" ht="15" x14ac:dyDescent="0.25">
      <c r="A6229" s="3" t="str">
        <f>HYPERLINK("proteomic_fractions_linear_files/Yang_linear_img/164663773.jpg", "164663773")</f>
        <v>164663773</v>
      </c>
      <c r="C6229" s="3" t="str">
        <f>HYPERLINK("http://www.ncbi.nlm.nih.gov/protein/164663773","Rasa1")</f>
        <v>Rasa1</v>
      </c>
      <c r="E6229" t="str">
        <f>HYPERLINK("J:\Depot - mpkCCD Fractions\Main Web Page\Web Pages_old\proteomic_fractions_linear_files/Yang_linear_img/164663773.jpg","show blot")</f>
        <v>show blot</v>
      </c>
      <c r="G6229" t="s">
        <v>6013</v>
      </c>
      <c r="I6229" s="6">
        <v>4.1405178998117025</v>
      </c>
      <c r="K6229" s="8"/>
    </row>
    <row r="6230" spans="1:11" ht="15" x14ac:dyDescent="0.25">
      <c r="A6230" s="3" t="str">
        <f>HYPERLINK("proteomic_fractions_linear_files/Yang_linear_img/31980729.jpg", "31980729")</f>
        <v>31980729</v>
      </c>
      <c r="C6230" s="3" t="str">
        <f>HYPERLINK("http://www.ncbi.nlm.nih.gov/protein/31980729","Rasal1")</f>
        <v>Rasal1</v>
      </c>
      <c r="E6230" t="str">
        <f>HYPERLINK("J:\Depot - mpkCCD Fractions\Main Web Page\Web Pages_old\proteomic_fractions_linear_files/Yang_linear_img/31980729.jpg","show blot")</f>
        <v>show blot</v>
      </c>
      <c r="G6230" t="s">
        <v>6014</v>
      </c>
      <c r="I6230" s="6">
        <v>3.7336409641057999</v>
      </c>
      <c r="K6230" s="8"/>
    </row>
    <row r="6231" spans="1:11" ht="15" x14ac:dyDescent="0.25">
      <c r="A6231" s="3" t="str">
        <f>HYPERLINK("proteomic_fractions_linear_files/Yang_linear_img/530537198.jpg", "530537198")</f>
        <v>530537198</v>
      </c>
      <c r="C6231" s="3" t="str">
        <f>HYPERLINK("http://www.ncbi.nlm.nih.gov/protein/530537198","Rasal1")</f>
        <v>Rasal1</v>
      </c>
      <c r="E6231" t="str">
        <f>HYPERLINK("J:\Depot - mpkCCD Fractions\Main Web Page\Web Pages_old\proteomic_fractions_linear_files/Yang_linear_img/530537198.jpg","show blot")</f>
        <v>show blot</v>
      </c>
      <c r="G6231" t="s">
        <v>6015</v>
      </c>
      <c r="I6231" s="6">
        <v>3.7336409641057999</v>
      </c>
      <c r="K6231" s="8"/>
    </row>
    <row r="6232" spans="1:11" ht="15" x14ac:dyDescent="0.25">
      <c r="A6232" s="3" t="str">
        <f>HYPERLINK("proteomic_fractions_linear_files/Yang_linear_img/6677677.jpg", "6677677")</f>
        <v>6677677</v>
      </c>
      <c r="C6232" s="3" t="str">
        <f>HYPERLINK("http://www.ncbi.nlm.nih.gov/protein/6677677","Rasl2-9")</f>
        <v>Rasl2-9</v>
      </c>
      <c r="E6232" t="str">
        <f>HYPERLINK("J:\Depot - mpkCCD Fractions\Main Web Page\Web Pages_old\proteomic_fractions_linear_files/Yang_linear_img/6677677.jpg","show blot")</f>
        <v>show blot</v>
      </c>
      <c r="G6232" t="s">
        <v>6016</v>
      </c>
      <c r="I6232" s="6">
        <v>6.6228709805127322</v>
      </c>
      <c r="K6232" s="8"/>
    </row>
    <row r="6233" spans="1:11" ht="15" x14ac:dyDescent="0.25">
      <c r="A6233" s="3" t="str">
        <f>HYPERLINK("proteomic_fractions_linear_files/Yang_linear_img/110431380.jpg", "110431380")</f>
        <v>110431380</v>
      </c>
      <c r="C6233" s="3" t="str">
        <f>HYPERLINK("http://www.ncbi.nlm.nih.gov/protein/110431380","Rassf6")</f>
        <v>Rassf6</v>
      </c>
      <c r="E6233" t="str">
        <f>HYPERLINK("J:\Depot - mpkCCD Fractions\Main Web Page\Web Pages_old\proteomic_fractions_linear_files/Yang_linear_img/110431380.jpg","show blot")</f>
        <v>show blot</v>
      </c>
      <c r="G6233" t="s">
        <v>6017</v>
      </c>
      <c r="I6233" s="6">
        <v>4.7145898463865299</v>
      </c>
      <c r="K6233" s="8"/>
    </row>
    <row r="6234" spans="1:11" ht="15" x14ac:dyDescent="0.25">
      <c r="A6234" s="3" t="str">
        <f>HYPERLINK("proteomic_fractions_linear_files/Yang_linear_img/29789209.jpg", "29789209")</f>
        <v>29789209</v>
      </c>
      <c r="C6234" s="3" t="str">
        <f>HYPERLINK("http://www.ncbi.nlm.nih.gov/protein/29789209","Raver1")</f>
        <v>Raver1</v>
      </c>
      <c r="E6234" t="str">
        <f>HYPERLINK("J:\Depot - mpkCCD Fractions\Main Web Page\Web Pages_old\proteomic_fractions_linear_files/Yang_linear_img/29789209.jpg","show blot")</f>
        <v>show blot</v>
      </c>
      <c r="G6234" t="s">
        <v>6018</v>
      </c>
      <c r="I6234" s="6">
        <v>4.4796436847588366</v>
      </c>
      <c r="K6234" s="8"/>
    </row>
    <row r="6235" spans="1:11" ht="15" x14ac:dyDescent="0.25">
      <c r="A6235" s="3" t="str">
        <f>HYPERLINK("proteomic_fractions_linear_files/Yang_linear_img/226693374.jpg", "226693374")</f>
        <v>226693374</v>
      </c>
      <c r="C6235" s="3" t="str">
        <f>HYPERLINK("http://www.ncbi.nlm.nih.gov/protein/226693374","Rb1cc1")</f>
        <v>Rb1cc1</v>
      </c>
      <c r="E6235" t="str">
        <f>HYPERLINK("J:\Depot - mpkCCD Fractions\Main Web Page\Web Pages_old\proteomic_fractions_linear_files/Yang_linear_img/226693374.jpg","show blot")</f>
        <v>show blot</v>
      </c>
      <c r="G6235" t="s">
        <v>6019</v>
      </c>
      <c r="I6235" s="6">
        <v>2.5880751349310605</v>
      </c>
      <c r="K6235" s="8"/>
    </row>
    <row r="6236" spans="1:11" ht="15" x14ac:dyDescent="0.25">
      <c r="A6236" s="3" t="str">
        <f>HYPERLINK("proteomic_fractions_linear_files/Yang_linear_img/47059484.jpg", "47059484")</f>
        <v>47059484</v>
      </c>
      <c r="C6236" s="3" t="str">
        <f>HYPERLINK("http://www.ncbi.nlm.nih.gov/protein/47059484","Rbbp4")</f>
        <v>Rbbp4</v>
      </c>
      <c r="E6236" t="str">
        <f>HYPERLINK("J:\Depot - mpkCCD Fractions\Main Web Page\Web Pages_old\proteomic_fractions_linear_files/Yang_linear_img/47059484.jpg","show blot")</f>
        <v>show blot</v>
      </c>
      <c r="G6236" t="s">
        <v>6020</v>
      </c>
      <c r="I6236" s="6">
        <v>6.0734784261507411</v>
      </c>
      <c r="K6236" s="8"/>
    </row>
    <row r="6237" spans="1:11" ht="15" x14ac:dyDescent="0.25">
      <c r="A6237" s="3" t="str">
        <f>HYPERLINK("proteomic_fractions_linear_files/Yang_linear_img/164450487.jpg", "164450487")</f>
        <v>164450487</v>
      </c>
      <c r="C6237" s="3" t="str">
        <f>HYPERLINK("http://www.ncbi.nlm.nih.gov/protein/164450487","Rbbp5")</f>
        <v>Rbbp5</v>
      </c>
      <c r="E6237" t="str">
        <f>HYPERLINK("J:\Depot - mpkCCD Fractions\Main Web Page\Web Pages_old\proteomic_fractions_linear_files/Yang_linear_img/164450487.jpg","show blot")</f>
        <v>show blot</v>
      </c>
      <c r="G6237" t="s">
        <v>6021</v>
      </c>
      <c r="I6237" s="6">
        <v>3.9944505930004732</v>
      </c>
      <c r="K6237" s="8"/>
    </row>
    <row r="6238" spans="1:11" ht="15" x14ac:dyDescent="0.25">
      <c r="A6238" s="3" t="str">
        <f>HYPERLINK("proteomic_fractions_linear_files/Yang_linear_img/163937858.jpg", "163937858")</f>
        <v>163937858</v>
      </c>
      <c r="C6238" s="3" t="str">
        <f>HYPERLINK("http://www.ncbi.nlm.nih.gov/protein/163937858","Rbbp6")</f>
        <v>Rbbp6</v>
      </c>
      <c r="E6238" t="str">
        <f>HYPERLINK("J:\Depot - mpkCCD Fractions\Main Web Page\Web Pages_old\proteomic_fractions_linear_files/Yang_linear_img/163937858.jpg","show blot")</f>
        <v>show blot</v>
      </c>
      <c r="G6238" t="s">
        <v>6022</v>
      </c>
      <c r="I6238" s="6">
        <v>2.6338619106361376</v>
      </c>
      <c r="K6238" s="8"/>
    </row>
    <row r="6239" spans="1:11" ht="15" x14ac:dyDescent="0.25">
      <c r="A6239" s="3" t="str">
        <f>HYPERLINK("proteomic_fractions_linear_files/Yang_linear_img/157909799.jpg", "157909799")</f>
        <v>157909799</v>
      </c>
      <c r="C6239" s="3" t="str">
        <f>HYPERLINK("http://www.ncbi.nlm.nih.gov/protein/157909799","Rbbp7")</f>
        <v>Rbbp7</v>
      </c>
      <c r="E6239" t="str">
        <f>HYPERLINK("J:\Depot - mpkCCD Fractions\Main Web Page\Web Pages_old\proteomic_fractions_linear_files/Yang_linear_img/157909799.jpg","show blot")</f>
        <v>show blot</v>
      </c>
      <c r="G6239" t="s">
        <v>6023</v>
      </c>
      <c r="I6239" s="6">
        <v>6.0679610748583226</v>
      </c>
      <c r="K6239" s="8"/>
    </row>
    <row r="6240" spans="1:11" ht="15" x14ac:dyDescent="0.25">
      <c r="A6240" s="3" t="str">
        <f>HYPERLINK("proteomic_fractions_linear_files/Yang_linear_img/86439977.jpg", "86439977")</f>
        <v>86439977</v>
      </c>
      <c r="C6240" s="3" t="str">
        <f>HYPERLINK("http://www.ncbi.nlm.nih.gov/protein/86439977","Rbbp9")</f>
        <v>Rbbp9</v>
      </c>
      <c r="E6240" t="str">
        <f>HYPERLINK("J:\Depot - mpkCCD Fractions\Main Web Page\Web Pages_old\proteomic_fractions_linear_files/Yang_linear_img/86439977.jpg","show blot")</f>
        <v>show blot</v>
      </c>
      <c r="G6240" t="s">
        <v>6024</v>
      </c>
      <c r="I6240" s="6">
        <v>5.3915207269803611</v>
      </c>
      <c r="K6240" s="8"/>
    </row>
    <row r="6241" spans="1:11" ht="15" x14ac:dyDescent="0.25">
      <c r="A6241" s="3" t="str">
        <f>HYPERLINK("proteomic_fractions_linear_files/Yang_linear_img/145046239.jpg", "145046239")</f>
        <v>145046239</v>
      </c>
      <c r="C6241" s="3" t="str">
        <f>HYPERLINK("http://www.ncbi.nlm.nih.gov/protein/145046239","Rbck1")</f>
        <v>Rbck1</v>
      </c>
      <c r="E6241" t="str">
        <f>HYPERLINK("J:\Depot - mpkCCD Fractions\Main Web Page\Web Pages_old\proteomic_fractions_linear_files/Yang_linear_img/145046239.jpg","show blot")</f>
        <v>show blot</v>
      </c>
      <c r="G6241" t="s">
        <v>6025</v>
      </c>
      <c r="I6241" s="6">
        <v>3.3472377438370056</v>
      </c>
      <c r="K6241" s="8"/>
    </row>
    <row r="6242" spans="1:11" ht="15" x14ac:dyDescent="0.25">
      <c r="A6242" s="3" t="str">
        <f>HYPERLINK("proteomic_fractions_linear_files/Yang_linear_img/213417847.jpg", "213417847")</f>
        <v>213417847</v>
      </c>
      <c r="C6242" s="3" t="str">
        <f>HYPERLINK("http://www.ncbi.nlm.nih.gov/protein/213417847","Rbl1")</f>
        <v>Rbl1</v>
      </c>
      <c r="E6242" t="str">
        <f>HYPERLINK("J:\Depot - mpkCCD Fractions\Main Web Page\Web Pages_old\proteomic_fractions_linear_files/Yang_linear_img/213417847.jpg","show blot")</f>
        <v>show blot</v>
      </c>
      <c r="G6242" t="s">
        <v>6026</v>
      </c>
      <c r="I6242" s="6">
        <v>3.9129030336692261</v>
      </c>
      <c r="K6242" s="8"/>
    </row>
    <row r="6243" spans="1:11" ht="15" x14ac:dyDescent="0.25">
      <c r="A6243" s="3" t="str">
        <f>HYPERLINK("proteomic_fractions_linear_files/Yang_linear_img/213417872.jpg", "213417872")</f>
        <v>213417872</v>
      </c>
      <c r="C6243" s="3" t="str">
        <f>HYPERLINK("http://www.ncbi.nlm.nih.gov/protein/213417872","Rbl1")</f>
        <v>Rbl1</v>
      </c>
      <c r="E6243" t="str">
        <f>HYPERLINK("J:\Depot - mpkCCD Fractions\Main Web Page\Web Pages_old\proteomic_fractions_linear_files/Yang_linear_img/213417872.jpg","show blot")</f>
        <v>show blot</v>
      </c>
      <c r="G6243" t="s">
        <v>6027</v>
      </c>
      <c r="I6243" s="6">
        <v>3.9129030336692261</v>
      </c>
      <c r="K6243" s="8"/>
    </row>
    <row r="6244" spans="1:11" ht="15" x14ac:dyDescent="0.25">
      <c r="A6244" s="3" t="str">
        <f>HYPERLINK("proteomic_fractions_linear_files/Yang_linear_img/21704124.jpg", "21704124")</f>
        <v>21704124</v>
      </c>
      <c r="C6244" s="3" t="str">
        <f>HYPERLINK("http://www.ncbi.nlm.nih.gov/protein/21704124","Rbm10")</f>
        <v>Rbm10</v>
      </c>
      <c r="E6244" t="str">
        <f>HYPERLINK("J:\Depot - mpkCCD Fractions\Main Web Page\Web Pages_old\proteomic_fractions_linear_files/Yang_linear_img/21704124.jpg","show blot")</f>
        <v>show blot</v>
      </c>
      <c r="G6244" t="s">
        <v>6028</v>
      </c>
      <c r="I6244" s="6">
        <v>3.0944626934399273</v>
      </c>
      <c r="K6244" s="8"/>
    </row>
    <row r="6245" spans="1:11" ht="15" x14ac:dyDescent="0.25">
      <c r="A6245" s="3" t="str">
        <f>HYPERLINK("proteomic_fractions_linear_files/Yang_linear_img/269847193.jpg", "269847193")</f>
        <v>269847193</v>
      </c>
      <c r="C6245" s="3" t="str">
        <f>HYPERLINK("http://www.ncbi.nlm.nih.gov/protein/269847193","Rbm10")</f>
        <v>Rbm10</v>
      </c>
      <c r="E6245" t="str">
        <f>HYPERLINK("J:\Depot - mpkCCD Fractions\Main Web Page\Web Pages_old\proteomic_fractions_linear_files/Yang_linear_img/269847193.jpg","show blot")</f>
        <v>show blot</v>
      </c>
      <c r="G6245" t="s">
        <v>6029</v>
      </c>
      <c r="I6245" s="6">
        <v>3.0944626934399273</v>
      </c>
      <c r="K6245" s="8"/>
    </row>
    <row r="6246" spans="1:11" ht="15" x14ac:dyDescent="0.25">
      <c r="A6246" s="3" t="str">
        <f>HYPERLINK("proteomic_fractions_linear_files/Yang_linear_img/269847199.jpg", "269847199")</f>
        <v>269847199</v>
      </c>
      <c r="C6246" s="3" t="str">
        <f>HYPERLINK("http://www.ncbi.nlm.nih.gov/protein/269847199","Rbm10")</f>
        <v>Rbm10</v>
      </c>
      <c r="E6246" t="str">
        <f>HYPERLINK("J:\Depot - mpkCCD Fractions\Main Web Page\Web Pages_old\proteomic_fractions_linear_files/Yang_linear_img/269847199.jpg","show blot")</f>
        <v>show blot</v>
      </c>
      <c r="G6246" t="s">
        <v>6030</v>
      </c>
      <c r="I6246" s="6">
        <v>3.0944626934399273</v>
      </c>
      <c r="K6246" s="8"/>
    </row>
    <row r="6247" spans="1:11" ht="15" x14ac:dyDescent="0.25">
      <c r="A6247" s="3" t="str">
        <f>HYPERLINK("proteomic_fractions_linear_files/Yang_linear_img/114155120.jpg", "114155120")</f>
        <v>114155120</v>
      </c>
      <c r="C6247" s="3" t="str">
        <f>HYPERLINK("http://www.ncbi.nlm.nih.gov/protein/114155120","Rbm12")</f>
        <v>Rbm12</v>
      </c>
      <c r="E6247" t="str">
        <f>HYPERLINK("J:\Depot - mpkCCD Fractions\Main Web Page\Web Pages_old\proteomic_fractions_linear_files/Yang_linear_img/114155120.jpg","show blot")</f>
        <v>show blot</v>
      </c>
      <c r="G6247" t="s">
        <v>6031</v>
      </c>
      <c r="I6247" s="6">
        <v>4.4411589827255709</v>
      </c>
      <c r="K6247" s="8"/>
    </row>
    <row r="6248" spans="1:11" ht="15" x14ac:dyDescent="0.25">
      <c r="A6248" s="3" t="str">
        <f>HYPERLINK("proteomic_fractions_linear_files/Yang_linear_img/86262142.jpg", "86262142")</f>
        <v>86262142</v>
      </c>
      <c r="C6248" s="3" t="str">
        <f>HYPERLINK("http://www.ncbi.nlm.nih.gov/protein/86262142","Rbm14")</f>
        <v>Rbm14</v>
      </c>
      <c r="E6248" t="str">
        <f>HYPERLINK("J:\Depot - mpkCCD Fractions\Main Web Page\Web Pages_old\proteomic_fractions_linear_files/Yang_linear_img/86262142.jpg","show blot")</f>
        <v>show blot</v>
      </c>
      <c r="G6248" t="s">
        <v>6032</v>
      </c>
      <c r="I6248" s="6">
        <v>5.5619309940135322</v>
      </c>
      <c r="K6248" s="8"/>
    </row>
    <row r="6249" spans="1:11" ht="15" x14ac:dyDescent="0.25">
      <c r="A6249" s="3" t="str">
        <f>HYPERLINK("proteomic_fractions_linear_files/Yang_linear_img/124249066.jpg", "124249066")</f>
        <v>124249066</v>
      </c>
      <c r="C6249" s="3" t="str">
        <f>HYPERLINK("http://www.ncbi.nlm.nih.gov/protein/124249066","Rbm15")</f>
        <v>Rbm15</v>
      </c>
      <c r="E6249" t="str">
        <f>HYPERLINK("J:\Depot - mpkCCD Fractions\Main Web Page\Web Pages_old\proteomic_fractions_linear_files/Yang_linear_img/124249066.jpg","show blot")</f>
        <v>show blot</v>
      </c>
      <c r="G6249" t="s">
        <v>6033</v>
      </c>
      <c r="I6249" s="6">
        <v>3.7129568283041836</v>
      </c>
      <c r="K6249" s="8"/>
    </row>
    <row r="6250" spans="1:11" ht="15" x14ac:dyDescent="0.25">
      <c r="A6250" s="3" t="str">
        <f>HYPERLINK("proteomic_fractions_linear_files/Yang_linear_img/22779924.jpg", "22779924")</f>
        <v>22779924</v>
      </c>
      <c r="C6250" s="3" t="str">
        <f>HYPERLINK("http://www.ncbi.nlm.nih.gov/protein/22779924","Rbm17")</f>
        <v>Rbm17</v>
      </c>
      <c r="E6250" t="str">
        <f>HYPERLINK("J:\Depot - mpkCCD Fractions\Main Web Page\Web Pages_old\proteomic_fractions_linear_files/Yang_linear_img/22779924.jpg","show blot")</f>
        <v>show blot</v>
      </c>
      <c r="G6250" t="s">
        <v>6034</v>
      </c>
      <c r="I6250" s="6">
        <v>4.034064001724901</v>
      </c>
      <c r="K6250" s="8"/>
    </row>
    <row r="6251" spans="1:11" ht="15" x14ac:dyDescent="0.25">
      <c r="A6251" s="3" t="str">
        <f>HYPERLINK("proteomic_fractions_linear_files/Yang_linear_img/30794154.jpg", "30794154")</f>
        <v>30794154</v>
      </c>
      <c r="C6251" s="3" t="str">
        <f>HYPERLINK("http://www.ncbi.nlm.nih.gov/protein/30794154","Rbm19")</f>
        <v>Rbm19</v>
      </c>
      <c r="E6251" t="str">
        <f>HYPERLINK("J:\Depot - mpkCCD Fractions\Main Web Page\Web Pages_old\proteomic_fractions_linear_files/Yang_linear_img/30794154.jpg","show blot")</f>
        <v>show blot</v>
      </c>
      <c r="G6251" t="s">
        <v>6035</v>
      </c>
      <c r="I6251" s="6">
        <v>3.1824254200218434</v>
      </c>
      <c r="K6251" s="8"/>
    </row>
    <row r="6252" spans="1:11" ht="15" x14ac:dyDescent="0.25">
      <c r="A6252" s="3" t="str">
        <f>HYPERLINK("proteomic_fractions_linear_files/Yang_linear_img/110625591.jpg", "110625591")</f>
        <v>110625591</v>
      </c>
      <c r="C6252" s="3" t="str">
        <f>HYPERLINK("http://www.ncbi.nlm.nih.gov/protein/110625591","Rbm22")</f>
        <v>Rbm22</v>
      </c>
      <c r="E6252" t="str">
        <f>HYPERLINK("J:\Depot - mpkCCD Fractions\Main Web Page\Web Pages_old\proteomic_fractions_linear_files/Yang_linear_img/110625591.jpg","show blot")</f>
        <v>show blot</v>
      </c>
      <c r="G6252" t="s">
        <v>6036</v>
      </c>
      <c r="I6252" s="6">
        <v>3.321016390318412</v>
      </c>
      <c r="K6252" s="8"/>
    </row>
    <row r="6253" spans="1:11" ht="15" x14ac:dyDescent="0.25">
      <c r="A6253" s="3" t="str">
        <f>HYPERLINK("proteomic_fractions_linear_files/Yang_linear_img/161353449.jpg", "161353449")</f>
        <v>161353449</v>
      </c>
      <c r="C6253" s="3" t="str">
        <f>HYPERLINK("http://www.ncbi.nlm.nih.gov/protein/161353449","Rbm25")</f>
        <v>Rbm25</v>
      </c>
      <c r="E6253" t="str">
        <f>HYPERLINK("J:\Depot - mpkCCD Fractions\Main Web Page\Web Pages_old\proteomic_fractions_linear_files/Yang_linear_img/161353449.jpg","show blot")</f>
        <v>show blot</v>
      </c>
      <c r="G6253" t="s">
        <v>6037</v>
      </c>
      <c r="I6253" s="6">
        <v>4.7696745285373137</v>
      </c>
      <c r="K6253" s="8"/>
    </row>
    <row r="6254" spans="1:11" ht="15" x14ac:dyDescent="0.25">
      <c r="A6254" s="3" t="str">
        <f>HYPERLINK("proteomic_fractions_linear_files/Yang_linear_img/123701991.jpg", "123701991")</f>
        <v>123701991</v>
      </c>
      <c r="C6254" s="3" t="str">
        <f>HYPERLINK("http://www.ncbi.nlm.nih.gov/protein/123701991","Rbm26")</f>
        <v>Rbm26</v>
      </c>
      <c r="E6254" t="str">
        <f>HYPERLINK("J:\Depot - mpkCCD Fractions\Main Web Page\Web Pages_old\proteomic_fractions_linear_files/Yang_linear_img/123701991.jpg","show blot")</f>
        <v>show blot</v>
      </c>
      <c r="G6254" t="s">
        <v>6038</v>
      </c>
      <c r="I6254" s="6">
        <v>2.7988428977013915</v>
      </c>
      <c r="K6254" s="8"/>
    </row>
    <row r="6255" spans="1:11" ht="15" x14ac:dyDescent="0.25">
      <c r="A6255" s="3" t="str">
        <f>HYPERLINK("proteomic_fractions_linear_files/Yang_linear_img/166235127.jpg", "166235127")</f>
        <v>166235127</v>
      </c>
      <c r="C6255" s="3" t="str">
        <f>HYPERLINK("http://www.ncbi.nlm.nih.gov/protein/166235127","Rbm28")</f>
        <v>Rbm28</v>
      </c>
      <c r="E6255" t="str">
        <f>HYPERLINK("J:\Depot - mpkCCD Fractions\Main Web Page\Web Pages_old\proteomic_fractions_linear_files/Yang_linear_img/166235127.jpg","show blot")</f>
        <v>show blot</v>
      </c>
      <c r="G6255" t="s">
        <v>6039</v>
      </c>
      <c r="I6255" s="6">
        <v>4.034590505981086</v>
      </c>
      <c r="K6255" s="8"/>
    </row>
    <row r="6256" spans="1:11" ht="15" x14ac:dyDescent="0.25">
      <c r="A6256" s="3" t="str">
        <f>HYPERLINK("proteomic_fractions_linear_files/Yang_linear_img/261862339.jpg", "261862339")</f>
        <v>261862339</v>
      </c>
      <c r="C6256" s="3" t="str">
        <f>HYPERLINK("http://www.ncbi.nlm.nih.gov/protein/261862339","Rbm3")</f>
        <v>Rbm3</v>
      </c>
      <c r="E6256" t="str">
        <f>HYPERLINK("J:\Depot - mpkCCD Fractions\Main Web Page\Web Pages_old\proteomic_fractions_linear_files/Yang_linear_img/261862339.jpg","show blot")</f>
        <v>show blot</v>
      </c>
      <c r="G6256" t="s">
        <v>6040</v>
      </c>
      <c r="I6256" s="6">
        <v>5.5735186438579172</v>
      </c>
      <c r="K6256" s="8"/>
    </row>
    <row r="6257" spans="1:11" ht="15" x14ac:dyDescent="0.25">
      <c r="A6257" s="3" t="str">
        <f>HYPERLINK("proteomic_fractions_linear_files/Yang_linear_img/37497112.jpg", "37497112")</f>
        <v>37497112</v>
      </c>
      <c r="C6257" s="3" t="str">
        <f>HYPERLINK("http://www.ncbi.nlm.nih.gov/protein/37497112","Rbm3")</f>
        <v>Rbm3</v>
      </c>
      <c r="E6257" t="str">
        <f>HYPERLINK("J:\Depot - mpkCCD Fractions\Main Web Page\Web Pages_old\proteomic_fractions_linear_files/Yang_linear_img/37497112.jpg","show blot")</f>
        <v>show blot</v>
      </c>
      <c r="G6257" t="s">
        <v>6041</v>
      </c>
      <c r="I6257" s="6">
        <v>5.5735186438579172</v>
      </c>
      <c r="K6257" s="8"/>
    </row>
    <row r="6258" spans="1:11" ht="15" x14ac:dyDescent="0.25">
      <c r="A6258" s="3" t="str">
        <f>HYPERLINK("proteomic_fractions_linear_files/Yang_linear_img/294610680.jpg", "294610680")</f>
        <v>294610680</v>
      </c>
      <c r="C6258" s="3" t="str">
        <f>HYPERLINK("http://www.ncbi.nlm.nih.gov/protein/294610680","Rbm31y")</f>
        <v>Rbm31y</v>
      </c>
      <c r="E6258" t="str">
        <f>HYPERLINK("J:\Depot - mpkCCD Fractions\Main Web Page\Web Pages_old\proteomic_fractions_linear_files/Yang_linear_img/294610680.jpg","show blot")</f>
        <v>show blot</v>
      </c>
      <c r="G6258" t="s">
        <v>6042</v>
      </c>
      <c r="I6258" s="6">
        <v>5.5464810402828633</v>
      </c>
      <c r="K6258" s="8"/>
    </row>
    <row r="6259" spans="1:11" ht="15" x14ac:dyDescent="0.25">
      <c r="A6259" s="3" t="str">
        <f>HYPERLINK("proteomic_fractions_linear_files/Yang_linear_img/145966792.jpg", "145966792")</f>
        <v>145966792</v>
      </c>
      <c r="C6259" s="3" t="str">
        <f>HYPERLINK("http://www.ncbi.nlm.nih.gov/protein/145966792","Rbm33")</f>
        <v>Rbm33</v>
      </c>
      <c r="E6259" t="str">
        <f>HYPERLINK("J:\Depot - mpkCCD Fractions\Main Web Page\Web Pages_old\proteomic_fractions_linear_files/Yang_linear_img/145966792.jpg","show blot")</f>
        <v>show blot</v>
      </c>
      <c r="G6259" t="s">
        <v>6043</v>
      </c>
      <c r="I6259" s="6">
        <v>2.5045285234182648</v>
      </c>
      <c r="K6259" s="8"/>
    </row>
    <row r="6260" spans="1:11" ht="15" x14ac:dyDescent="0.25">
      <c r="A6260" s="3" t="str">
        <f>HYPERLINK("proteomic_fractions_linear_files/Yang_linear_img/42794007.jpg", "42794007")</f>
        <v>42794007</v>
      </c>
      <c r="C6260" s="3" t="str">
        <f>HYPERLINK("http://www.ncbi.nlm.nih.gov/protein/42794007","Rbm34")</f>
        <v>Rbm34</v>
      </c>
      <c r="E6260" t="str">
        <f>HYPERLINK("J:\Depot - mpkCCD Fractions\Main Web Page\Web Pages_old\proteomic_fractions_linear_files/Yang_linear_img/42794007.jpg","show blot")</f>
        <v>show blot</v>
      </c>
      <c r="G6260" t="s">
        <v>6044</v>
      </c>
      <c r="I6260" s="6">
        <v>2.5945503895492168</v>
      </c>
      <c r="K6260" s="8"/>
    </row>
    <row r="6261" spans="1:11" ht="15" x14ac:dyDescent="0.25">
      <c r="A6261" s="3" t="str">
        <f>HYPERLINK("proteomic_fractions_linear_files/Yang_linear_img/118403314.jpg", "118403314")</f>
        <v>118403314</v>
      </c>
      <c r="C6261" s="3" t="str">
        <f>HYPERLINK("http://www.ncbi.nlm.nih.gov/protein/118403314","Rbm39")</f>
        <v>Rbm39</v>
      </c>
      <c r="E6261" t="str">
        <f>HYPERLINK("J:\Depot - mpkCCD Fractions\Main Web Page\Web Pages_old\proteomic_fractions_linear_files/Yang_linear_img/118403314.jpg","show blot")</f>
        <v>show blot</v>
      </c>
      <c r="G6261" t="s">
        <v>6045</v>
      </c>
      <c r="I6261" s="6">
        <v>5.2714532507444023</v>
      </c>
      <c r="K6261" s="8"/>
    </row>
    <row r="6262" spans="1:11" ht="15" x14ac:dyDescent="0.25">
      <c r="A6262" s="3" t="str">
        <f>HYPERLINK("proteomic_fractions_linear_files/Yang_linear_img/86262144.jpg", "86262144")</f>
        <v>86262144</v>
      </c>
      <c r="C6262" s="3" t="str">
        <f>HYPERLINK("http://www.ncbi.nlm.nih.gov/protein/86262144","Rbm4")</f>
        <v>Rbm4</v>
      </c>
      <c r="E6262" t="str">
        <f>HYPERLINK("J:\Depot - mpkCCD Fractions\Main Web Page\Web Pages_old\proteomic_fractions_linear_files/Yang_linear_img/86262144.jpg","show blot")</f>
        <v>show blot</v>
      </c>
      <c r="G6262" t="s">
        <v>6046</v>
      </c>
      <c r="I6262" s="6">
        <v>3.26871048604393</v>
      </c>
      <c r="K6262" s="8"/>
    </row>
    <row r="6263" spans="1:11" ht="15" x14ac:dyDescent="0.25">
      <c r="A6263" s="3" t="str">
        <f>HYPERLINK("proteomic_fractions_linear_files/Yang_linear_img/224922828.jpg", "224922828")</f>
        <v>224922828</v>
      </c>
      <c r="C6263" s="3" t="str">
        <f>HYPERLINK("http://www.ncbi.nlm.nih.gov/protein/224922828","Rbm42")</f>
        <v>Rbm42</v>
      </c>
      <c r="E6263" t="str">
        <f>HYPERLINK("J:\Depot - mpkCCD Fractions\Main Web Page\Web Pages_old\proteomic_fractions_linear_files/Yang_linear_img/224922828.jpg","show blot")</f>
        <v>show blot</v>
      </c>
      <c r="G6263" t="s">
        <v>6047</v>
      </c>
      <c r="I6263" s="6">
        <v>3.3269534802889145</v>
      </c>
      <c r="K6263" s="8"/>
    </row>
    <row r="6264" spans="1:11" ht="15" x14ac:dyDescent="0.25">
      <c r="A6264" s="3" t="str">
        <f>HYPERLINK("proteomic_fractions_linear_files/Yang_linear_img/461496486.jpg", "461496486")</f>
        <v>461496486</v>
      </c>
      <c r="C6264" s="3" t="str">
        <f>HYPERLINK("http://www.ncbi.nlm.nih.gov/protein/461496486","Rbm46")</f>
        <v>Rbm46</v>
      </c>
      <c r="E6264" t="str">
        <f>HYPERLINK("J:\Depot - mpkCCD Fractions\Main Web Page\Web Pages_old\proteomic_fractions_linear_files/Yang_linear_img/461496486.jpg","show blot")</f>
        <v>show blot</v>
      </c>
      <c r="G6264" t="s">
        <v>6048</v>
      </c>
      <c r="I6264" s="6">
        <v>4.150456548726468</v>
      </c>
      <c r="K6264" s="8"/>
    </row>
    <row r="6265" spans="1:11" ht="15" x14ac:dyDescent="0.25">
      <c r="A6265" s="3" t="str">
        <f>HYPERLINK("proteomic_fractions_linear_files/Yang_linear_img/226423939.jpg", "226423939")</f>
        <v>226423939</v>
      </c>
      <c r="C6265" s="3" t="str">
        <f>HYPERLINK("http://www.ncbi.nlm.nih.gov/protein/226423939","Rbm46")</f>
        <v>Rbm46</v>
      </c>
      <c r="E6265" t="str">
        <f>HYPERLINK("J:\Depot - mpkCCD Fractions\Main Web Page\Web Pages_old\proteomic_fractions_linear_files/Yang_linear_img/226423939.jpg","show blot")</f>
        <v>show blot</v>
      </c>
      <c r="G6265" t="s">
        <v>6048</v>
      </c>
      <c r="I6265" s="6">
        <v>4.150456548726468</v>
      </c>
      <c r="K6265" s="8"/>
    </row>
    <row r="6266" spans="1:11" ht="15" x14ac:dyDescent="0.25">
      <c r="A6266" s="3" t="str">
        <f>HYPERLINK("proteomic_fractions_linear_files/Yang_linear_img/188497698.jpg", "188497698")</f>
        <v>188497698</v>
      </c>
      <c r="C6266" s="3" t="str">
        <f>HYPERLINK("http://www.ncbi.nlm.nih.gov/protein/188497698","Rbm47")</f>
        <v>Rbm47</v>
      </c>
      <c r="E6266" t="str">
        <f>HYPERLINK("J:\Depot - mpkCCD Fractions\Main Web Page\Web Pages_old\proteomic_fractions_linear_files/Yang_linear_img/188497698.jpg","show blot")</f>
        <v>show blot</v>
      </c>
      <c r="G6266" t="s">
        <v>6049</v>
      </c>
      <c r="I6266" s="6">
        <v>5.3119729255752732</v>
      </c>
      <c r="K6266" s="8"/>
    </row>
    <row r="6267" spans="1:11" ht="15" x14ac:dyDescent="0.25">
      <c r="A6267" s="3" t="str">
        <f>HYPERLINK("proteomic_fractions_linear_files/Yang_linear_img/27754120.jpg", "27754120")</f>
        <v>27754120</v>
      </c>
      <c r="C6267" s="3" t="str">
        <f>HYPERLINK("http://www.ncbi.nlm.nih.gov/protein/27754120","Rbm4b")</f>
        <v>Rbm4b</v>
      </c>
      <c r="E6267" t="str">
        <f>HYPERLINK("J:\Depot - mpkCCD Fractions\Main Web Page\Web Pages_old\proteomic_fractions_linear_files/Yang_linear_img/27754120.jpg","show blot")</f>
        <v>show blot</v>
      </c>
      <c r="G6267" t="s">
        <v>6050</v>
      </c>
      <c r="I6267" s="6">
        <v>3.26871048604393</v>
      </c>
      <c r="K6267" s="8"/>
    </row>
    <row r="6268" spans="1:11" ht="15" x14ac:dyDescent="0.25">
      <c r="A6268" s="3" t="str">
        <f>HYPERLINK("proteomic_fractions_linear_files/Yang_linear_img/22507333.jpg", "22507333")</f>
        <v>22507333</v>
      </c>
      <c r="C6268" s="3" t="str">
        <f>HYPERLINK("http://www.ncbi.nlm.nih.gov/protein/22507333","Rbm5")</f>
        <v>Rbm5</v>
      </c>
      <c r="E6268" t="str">
        <f>HYPERLINK("J:\Depot - mpkCCD Fractions\Main Web Page\Web Pages_old\proteomic_fractions_linear_files/Yang_linear_img/22507333.jpg","show blot")</f>
        <v>show blot</v>
      </c>
      <c r="G6268" t="s">
        <v>6051</v>
      </c>
      <c r="I6268" s="6">
        <v>3.6881343063139815</v>
      </c>
      <c r="K6268" s="8"/>
    </row>
    <row r="6269" spans="1:11" ht="15" x14ac:dyDescent="0.25">
      <c r="A6269" s="3" t="str">
        <f>HYPERLINK("proteomic_fractions_linear_files/Yang_linear_img/27753952.jpg", "27753952")</f>
        <v>27753952</v>
      </c>
      <c r="C6269" s="3" t="str">
        <f>HYPERLINK("http://www.ncbi.nlm.nih.gov/protein/27753952","Rbm7")</f>
        <v>Rbm7</v>
      </c>
      <c r="E6269" t="str">
        <f>HYPERLINK("J:\Depot - mpkCCD Fractions\Main Web Page\Web Pages_old\proteomic_fractions_linear_files/Yang_linear_img/27753952.jpg","show blot")</f>
        <v>show blot</v>
      </c>
      <c r="G6269" t="s">
        <v>6052</v>
      </c>
      <c r="I6269" s="6">
        <v>4.3078630584173574</v>
      </c>
      <c r="K6269" s="8"/>
    </row>
    <row r="6270" spans="1:11" ht="15" x14ac:dyDescent="0.25">
      <c r="A6270" s="3" t="str">
        <f>HYPERLINK("proteomic_fractions_linear_files/Yang_linear_img/162287294.jpg", "162287294")</f>
        <v>162287294</v>
      </c>
      <c r="C6270" s="3" t="str">
        <f>HYPERLINK("http://www.ncbi.nlm.nih.gov/protein/162287294","Rbm8a")</f>
        <v>Rbm8a</v>
      </c>
      <c r="E6270" t="str">
        <f>HYPERLINK("J:\Depot - mpkCCD Fractions\Main Web Page\Web Pages_old\proteomic_fractions_linear_files/Yang_linear_img/162287294.jpg","show blot")</f>
        <v>show blot</v>
      </c>
      <c r="G6270" t="s">
        <v>6053</v>
      </c>
      <c r="I6270" s="6">
        <v>5.6511261855347623</v>
      </c>
      <c r="K6270" s="8"/>
    </row>
    <row r="6271" spans="1:11" ht="15" x14ac:dyDescent="0.25">
      <c r="A6271" s="3" t="str">
        <f>HYPERLINK("proteomic_fractions_linear_files/Yang_linear_img/162287296.jpg", "162287296")</f>
        <v>162287296</v>
      </c>
      <c r="C6271" s="3" t="str">
        <f>HYPERLINK("http://www.ncbi.nlm.nih.gov/protein/162287296","Rbm8a")</f>
        <v>Rbm8a</v>
      </c>
      <c r="E6271" t="str">
        <f>HYPERLINK("J:\Depot - mpkCCD Fractions\Main Web Page\Web Pages_old\proteomic_fractions_linear_files/Yang_linear_img/162287296.jpg","show blot")</f>
        <v>show blot</v>
      </c>
      <c r="G6271" t="s">
        <v>6054</v>
      </c>
      <c r="I6271" s="6">
        <v>5.6511261855347623</v>
      </c>
      <c r="K6271" s="8"/>
    </row>
    <row r="6272" spans="1:11" ht="15" x14ac:dyDescent="0.25">
      <c r="A6272" s="3" t="str">
        <f>HYPERLINK("proteomic_fractions_linear_files/Yang_linear_img/213513165.jpg", "213513165")</f>
        <v>213513165</v>
      </c>
      <c r="C6272" s="3" t="str">
        <f>HYPERLINK("http://www.ncbi.nlm.nih.gov/protein/213513165","Rbms1")</f>
        <v>Rbms1</v>
      </c>
      <c r="E6272" t="str">
        <f>HYPERLINK("J:\Depot - mpkCCD Fractions\Main Web Page\Web Pages_old\proteomic_fractions_linear_files/Yang_linear_img/213513165.jpg","show blot")</f>
        <v>show blot</v>
      </c>
      <c r="G6272" t="s">
        <v>6055</v>
      </c>
      <c r="I6272" s="6">
        <v>4.7335920159311486</v>
      </c>
      <c r="K6272" s="8"/>
    </row>
    <row r="6273" spans="1:11" ht="15" x14ac:dyDescent="0.25">
      <c r="A6273" s="3" t="str">
        <f>HYPERLINK("proteomic_fractions_linear_files/Yang_linear_img/213513185.jpg", "213513185")</f>
        <v>213513185</v>
      </c>
      <c r="C6273" s="3" t="str">
        <f>HYPERLINK("http://www.ncbi.nlm.nih.gov/protein/213513185","Rbms1")</f>
        <v>Rbms1</v>
      </c>
      <c r="E6273" t="str">
        <f>HYPERLINK("J:\Depot - mpkCCD Fractions\Main Web Page\Web Pages_old\proteomic_fractions_linear_files/Yang_linear_img/213513185.jpg","show blot")</f>
        <v>show blot</v>
      </c>
      <c r="G6273" t="s">
        <v>6056</v>
      </c>
      <c r="I6273" s="6">
        <v>4.7335920159311486</v>
      </c>
      <c r="K6273" s="8"/>
    </row>
    <row r="6274" spans="1:11" ht="15" x14ac:dyDescent="0.25">
      <c r="A6274" s="3" t="str">
        <f>HYPERLINK("proteomic_fractions_linear_files/Yang_linear_img/213513205.jpg", "213513205")</f>
        <v>213513205</v>
      </c>
      <c r="C6274" s="3" t="str">
        <f>HYPERLINK("http://www.ncbi.nlm.nih.gov/protein/213513205","Rbms1")</f>
        <v>Rbms1</v>
      </c>
      <c r="E6274" t="str">
        <f>HYPERLINK("J:\Depot - mpkCCD Fractions\Main Web Page\Web Pages_old\proteomic_fractions_linear_files/Yang_linear_img/213513205.jpg","show blot")</f>
        <v>show blot</v>
      </c>
      <c r="G6274" t="s">
        <v>6057</v>
      </c>
      <c r="I6274" s="6">
        <v>4.7335920159311486</v>
      </c>
      <c r="K6274" s="8"/>
    </row>
    <row r="6275" spans="1:11" ht="15" x14ac:dyDescent="0.25">
      <c r="A6275" s="3" t="str">
        <f>HYPERLINK("proteomic_fractions_linear_files/Yang_linear_img/84872203.jpg", "84872203")</f>
        <v>84872203</v>
      </c>
      <c r="C6275" s="3" t="str">
        <f>HYPERLINK("http://www.ncbi.nlm.nih.gov/protein/84872203","Rbms2")</f>
        <v>Rbms2</v>
      </c>
      <c r="E6275" t="str">
        <f>HYPERLINK("J:\Depot - mpkCCD Fractions\Main Web Page\Web Pages_old\proteomic_fractions_linear_files/Yang_linear_img/84872203.jpg","show blot")</f>
        <v>show blot</v>
      </c>
      <c r="G6275" t="s">
        <v>6058</v>
      </c>
      <c r="I6275" s="6">
        <v>4.2403508300015194</v>
      </c>
      <c r="K6275" s="8"/>
    </row>
    <row r="6276" spans="1:11" ht="15" x14ac:dyDescent="0.25">
      <c r="A6276" s="3" t="str">
        <f>HYPERLINK("proteomic_fractions_linear_files/Yang_linear_img/84872207.jpg", "84872207")</f>
        <v>84872207</v>
      </c>
      <c r="C6276" s="3" t="str">
        <f>HYPERLINK("http://www.ncbi.nlm.nih.gov/protein/84872207","Rbms2")</f>
        <v>Rbms2</v>
      </c>
      <c r="E6276" t="str">
        <f>HYPERLINK("J:\Depot - mpkCCD Fractions\Main Web Page\Web Pages_old\proteomic_fractions_linear_files/Yang_linear_img/84872207.jpg","show blot")</f>
        <v>show blot</v>
      </c>
      <c r="G6276" t="s">
        <v>6059</v>
      </c>
      <c r="I6276" s="6">
        <v>4.2403508300015194</v>
      </c>
      <c r="K6276" s="8"/>
    </row>
    <row r="6277" spans="1:11" ht="15" x14ac:dyDescent="0.25">
      <c r="A6277" s="3" t="str">
        <f>HYPERLINK("proteomic_fractions_linear_files/Yang_linear_img/148747313.jpg", "148747313")</f>
        <v>148747313</v>
      </c>
      <c r="C6277" s="3" t="str">
        <f>HYPERLINK("http://www.ncbi.nlm.nih.gov/protein/148747313","Rbms3")</f>
        <v>Rbms3</v>
      </c>
      <c r="E6277" t="str">
        <f>HYPERLINK("J:\Depot - mpkCCD Fractions\Main Web Page\Web Pages_old\proteomic_fractions_linear_files/Yang_linear_img/148747313.jpg","show blot")</f>
        <v>show blot</v>
      </c>
      <c r="G6277" t="s">
        <v>6060</v>
      </c>
      <c r="I6277" s="6">
        <v>4.7060614051096499</v>
      </c>
      <c r="K6277" s="8"/>
    </row>
    <row r="6278" spans="1:11" ht="15" x14ac:dyDescent="0.25">
      <c r="A6278" s="3" t="str">
        <f>HYPERLINK("proteomic_fractions_linear_files/Yang_linear_img/287324565.jpg", "287324565")</f>
        <v>287324565</v>
      </c>
      <c r="C6278" s="3" t="str">
        <f>HYPERLINK("http://www.ncbi.nlm.nih.gov/protein/287324565","Rbms3")</f>
        <v>Rbms3</v>
      </c>
      <c r="E6278" t="str">
        <f>HYPERLINK("J:\Depot - mpkCCD Fractions\Main Web Page\Web Pages_old\proteomic_fractions_linear_files/Yang_linear_img/287324565.jpg","show blot")</f>
        <v>show blot</v>
      </c>
      <c r="G6278" t="s">
        <v>6061</v>
      </c>
      <c r="I6278" s="6">
        <v>4.7060614051096499</v>
      </c>
      <c r="K6278" s="8"/>
    </row>
    <row r="6279" spans="1:11" ht="15" x14ac:dyDescent="0.25">
      <c r="A6279" s="3" t="str">
        <f>HYPERLINK("proteomic_fractions_linear_files/Yang_linear_img/287324670.jpg", "287324670")</f>
        <v>287324670</v>
      </c>
      <c r="C6279" s="3" t="str">
        <f>HYPERLINK("http://www.ncbi.nlm.nih.gov/protein/287324670","Rbms3")</f>
        <v>Rbms3</v>
      </c>
      <c r="E6279" t="str">
        <f>HYPERLINK("J:\Depot - mpkCCD Fractions\Main Web Page\Web Pages_old\proteomic_fractions_linear_files/Yang_linear_img/287324670.jpg","show blot")</f>
        <v>show blot</v>
      </c>
      <c r="G6279" t="s">
        <v>6062</v>
      </c>
      <c r="I6279" s="6">
        <v>4.7060614051096499</v>
      </c>
      <c r="K6279" s="8"/>
    </row>
    <row r="6280" spans="1:11" ht="15" x14ac:dyDescent="0.25">
      <c r="A6280" s="3" t="str">
        <f>HYPERLINK("proteomic_fractions_linear_files/Yang_linear_img/287324761.jpg", "287324761")</f>
        <v>287324761</v>
      </c>
      <c r="C6280" s="3" t="str">
        <f>HYPERLINK("http://www.ncbi.nlm.nih.gov/protein/287324761","Rbms3")</f>
        <v>Rbms3</v>
      </c>
      <c r="E6280" t="str">
        <f>HYPERLINK("J:\Depot - mpkCCD Fractions\Main Web Page\Web Pages_old\proteomic_fractions_linear_files/Yang_linear_img/287324761.jpg","show blot")</f>
        <v>show blot</v>
      </c>
      <c r="G6280" t="s">
        <v>6063</v>
      </c>
      <c r="I6280" s="6">
        <v>4.7060614051096499</v>
      </c>
      <c r="K6280" s="8"/>
    </row>
    <row r="6281" spans="1:11" ht="15" x14ac:dyDescent="0.25">
      <c r="A6281" s="3" t="str">
        <f>HYPERLINK("proteomic_fractions_linear_files/Yang_linear_img/287324845.jpg", "287324845")</f>
        <v>287324845</v>
      </c>
      <c r="C6281" s="3" t="str">
        <f>HYPERLINK("http://www.ncbi.nlm.nih.gov/protein/287324845","Rbms3")</f>
        <v>Rbms3</v>
      </c>
      <c r="E6281" t="str">
        <f>HYPERLINK("J:\Depot - mpkCCD Fractions\Main Web Page\Web Pages_old\proteomic_fractions_linear_files/Yang_linear_img/287324845.jpg","show blot")</f>
        <v>show blot</v>
      </c>
      <c r="G6281" t="s">
        <v>6064</v>
      </c>
      <c r="I6281" s="6">
        <v>4.7060614051096499</v>
      </c>
      <c r="K6281" s="8"/>
    </row>
    <row r="6282" spans="1:11" ht="15" x14ac:dyDescent="0.25">
      <c r="A6282" s="3" t="str">
        <f>HYPERLINK("proteomic_fractions_linear_files/Yang_linear_img/287324984.jpg", "287324984")</f>
        <v>287324984</v>
      </c>
      <c r="C6282" s="3" t="str">
        <f>HYPERLINK("http://www.ncbi.nlm.nih.gov/protein/287324984","Rbms3")</f>
        <v>Rbms3</v>
      </c>
      <c r="E6282" t="str">
        <f>HYPERLINK("J:\Depot - mpkCCD Fractions\Main Web Page\Web Pages_old\proteomic_fractions_linear_files/Yang_linear_img/287324984.jpg","show blot")</f>
        <v>show blot</v>
      </c>
      <c r="G6282" t="s">
        <v>6065</v>
      </c>
      <c r="I6282" s="6">
        <v>4.7060614051096499</v>
      </c>
      <c r="K6282" s="8"/>
    </row>
    <row r="6283" spans="1:11" ht="15" x14ac:dyDescent="0.25">
      <c r="A6283" s="3" t="str">
        <f>HYPERLINK("proteomic_fractions_linear_files/Yang_linear_img/6755296.jpg", "6755296")</f>
        <v>6755296</v>
      </c>
      <c r="C6283" s="3" t="str">
        <f>HYPERLINK("http://www.ncbi.nlm.nih.gov/protein/6755296","Rbmx")</f>
        <v>Rbmx</v>
      </c>
      <c r="E6283" t="str">
        <f>HYPERLINK("J:\Depot - mpkCCD Fractions\Main Web Page\Web Pages_old\proteomic_fractions_linear_files/Yang_linear_img/6755296.jpg","show blot")</f>
        <v>show blot</v>
      </c>
      <c r="G6283" t="s">
        <v>6066</v>
      </c>
      <c r="I6283" s="6">
        <v>6.1167694961674588</v>
      </c>
      <c r="K6283" s="8"/>
    </row>
    <row r="6284" spans="1:11" ht="15" x14ac:dyDescent="0.25">
      <c r="A6284" s="3" t="str">
        <f>HYPERLINK("proteomic_fractions_linear_files/Yang_linear_img/27734072.jpg", "27734072")</f>
        <v>27734072</v>
      </c>
      <c r="C6284" s="3" t="str">
        <f>HYPERLINK("http://www.ncbi.nlm.nih.gov/protein/27734072","Rbmx2")</f>
        <v>Rbmx2</v>
      </c>
      <c r="E6284" t="str">
        <f>HYPERLINK("J:\Depot - mpkCCD Fractions\Main Web Page\Web Pages_old\proteomic_fractions_linear_files/Yang_linear_img/27734072.jpg","show blot")</f>
        <v>show blot</v>
      </c>
      <c r="G6284" t="s">
        <v>6067</v>
      </c>
      <c r="I6284" s="6">
        <v>3.1765879584147463</v>
      </c>
      <c r="K6284" s="8"/>
    </row>
    <row r="6285" spans="1:11" ht="15" x14ac:dyDescent="0.25">
      <c r="A6285" s="3" t="str">
        <f>HYPERLINK("proteomic_fractions_linear_files/Yang_linear_img/83699420.jpg", "83699420")</f>
        <v>83699420</v>
      </c>
      <c r="C6285" s="3" t="str">
        <f>HYPERLINK("http://www.ncbi.nlm.nih.gov/protein/83699420","Rbmxl1")</f>
        <v>Rbmxl1</v>
      </c>
      <c r="E6285" t="str">
        <f>HYPERLINK("J:\Depot - mpkCCD Fractions\Main Web Page\Web Pages_old\proteomic_fractions_linear_files/Yang_linear_img/83699420.jpg","show blot")</f>
        <v>show blot</v>
      </c>
      <c r="G6285" t="s">
        <v>6068</v>
      </c>
      <c r="I6285" s="6">
        <v>6.1042785677275209</v>
      </c>
      <c r="K6285" s="8"/>
    </row>
    <row r="6286" spans="1:11" ht="15" x14ac:dyDescent="0.25">
      <c r="A6286" s="3" t="str">
        <f>HYPERLINK("proteomic_fractions_linear_files/Yang_linear_img/83699420;355390287.jpg", "83699420;355390287")</f>
        <v>83699420;355390287</v>
      </c>
      <c r="C6286" s="3" t="str">
        <f>HYPERLINK("http://www.ncbi.nlm.nih.gov/protein/83699420;355390287","Rbmxl1")</f>
        <v>Rbmxl1</v>
      </c>
      <c r="E6286" t="str">
        <f>HYPERLINK("J:\Depot - mpkCCD Fractions\Main Web Page\Web Pages_old\proteomic_fractions_linear_files/Yang_linear_img/83699420;355390287.jpg","show blot")</f>
        <v>show blot</v>
      </c>
      <c r="G6286" t="s">
        <v>6068</v>
      </c>
      <c r="I6286" s="6">
        <v>6.1042785677275209</v>
      </c>
      <c r="K6286" s="8"/>
    </row>
    <row r="6287" spans="1:11" ht="15" x14ac:dyDescent="0.25">
      <c r="A6287" s="3" t="str">
        <f>HYPERLINK("proteomic_fractions_linear_files/Yang_linear_img/355390287;83699420.jpg", "355390287;83699420")</f>
        <v>355390287;83699420</v>
      </c>
      <c r="C6287" s="3" t="str">
        <f>HYPERLINK("http://www.ncbi.nlm.nih.gov/protein/355390287;83699420","Rbmxl1")</f>
        <v>Rbmxl1</v>
      </c>
      <c r="E6287" t="str">
        <f>HYPERLINK("J:\Depot - mpkCCD Fractions\Main Web Page\Web Pages_old\proteomic_fractions_linear_files/Yang_linear_img/355390287;83699420.jpg","show blot")</f>
        <v>show blot</v>
      </c>
      <c r="G6287" t="s">
        <v>6068</v>
      </c>
      <c r="I6287" s="6">
        <v>6.1042785677275209</v>
      </c>
      <c r="K6287" s="8"/>
    </row>
    <row r="6288" spans="1:11" ht="15" x14ac:dyDescent="0.25">
      <c r="A6288" s="3" t="str">
        <f>HYPERLINK("proteomic_fractions_linear_files/Yang_linear_img/6755300.jpg", "6755300")</f>
        <v>6755300</v>
      </c>
      <c r="C6288" s="3" t="str">
        <f>HYPERLINK("http://www.ncbi.nlm.nih.gov/protein/6755300","Rbp1")</f>
        <v>Rbp1</v>
      </c>
      <c r="E6288" t="str">
        <f>HYPERLINK("J:\Depot - mpkCCD Fractions\Main Web Page\Web Pages_old\proteomic_fractions_linear_files/Yang_linear_img/6755300.jpg","show blot")</f>
        <v>show blot</v>
      </c>
      <c r="G6288" t="s">
        <v>6069</v>
      </c>
      <c r="I6288" s="6">
        <v>3.6473585159080253</v>
      </c>
      <c r="K6288" s="8"/>
    </row>
    <row r="6289" spans="1:11" ht="15" x14ac:dyDescent="0.25">
      <c r="A6289" s="3" t="str">
        <f>HYPERLINK("proteomic_fractions_linear_files/Yang_linear_img/555290065.jpg", "555290065")</f>
        <v>555290065</v>
      </c>
      <c r="C6289" s="3" t="str">
        <f>HYPERLINK("http://www.ncbi.nlm.nih.gov/protein/555290065","Rbpms")</f>
        <v>Rbpms</v>
      </c>
      <c r="E6289" t="str">
        <f>HYPERLINK("J:\Depot - mpkCCD Fractions\Main Web Page\Web Pages_old\proteomic_fractions_linear_files/Yang_linear_img/555290065.jpg","show blot")</f>
        <v>show blot</v>
      </c>
      <c r="G6289" t="s">
        <v>6070</v>
      </c>
      <c r="I6289" s="6">
        <v>5.576177202003568</v>
      </c>
      <c r="K6289" s="8"/>
    </row>
    <row r="6290" spans="1:11" ht="15" x14ac:dyDescent="0.25">
      <c r="A6290" s="3" t="str">
        <f>HYPERLINK("proteomic_fractions_linear_files/Yang_linear_img/111185961;33342267.jpg", "111185961;33342267")</f>
        <v>111185961;33342267</v>
      </c>
      <c r="C6290" s="3" t="str">
        <f>HYPERLINK("http://www.ncbi.nlm.nih.gov/protein/111185961;33342267","Rbpms")</f>
        <v>Rbpms</v>
      </c>
      <c r="E6290" t="str">
        <f>HYPERLINK("J:\Depot - mpkCCD Fractions\Main Web Page\Web Pages_old\proteomic_fractions_linear_files/Yang_linear_img/111185961;33342267.jpg","show blot")</f>
        <v>show blot</v>
      </c>
      <c r="G6290" t="s">
        <v>6071</v>
      </c>
      <c r="I6290" s="6">
        <v>5.576177202003568</v>
      </c>
      <c r="K6290" s="8"/>
    </row>
    <row r="6291" spans="1:11" ht="15" x14ac:dyDescent="0.25">
      <c r="A6291" s="3" t="str">
        <f>HYPERLINK("proteomic_fractions_linear_files/Yang_linear_img/33342267.jpg", "33342267")</f>
        <v>33342267</v>
      </c>
      <c r="C6291" s="3" t="str">
        <f>HYPERLINK("http://www.ncbi.nlm.nih.gov/protein/33342267","Rbpms")</f>
        <v>Rbpms</v>
      </c>
      <c r="E6291" t="str">
        <f>HYPERLINK("J:\Depot - mpkCCD Fractions\Main Web Page\Web Pages_old\proteomic_fractions_linear_files/Yang_linear_img/33342267.jpg","show blot")</f>
        <v>show blot</v>
      </c>
      <c r="G6291" t="s">
        <v>6072</v>
      </c>
      <c r="I6291" s="6">
        <v>5.576177202003568</v>
      </c>
      <c r="K6291" s="8"/>
    </row>
    <row r="6292" spans="1:11" ht="15" x14ac:dyDescent="0.25">
      <c r="A6292" s="3" t="str">
        <f>HYPERLINK("proteomic_fractions_linear_files/Yang_linear_img/111185959.jpg", "111185959")</f>
        <v>111185959</v>
      </c>
      <c r="C6292" s="3" t="str">
        <f>HYPERLINK("http://www.ncbi.nlm.nih.gov/protein/111185959","Rbpms")</f>
        <v>Rbpms</v>
      </c>
      <c r="E6292" t="str">
        <f>HYPERLINK("J:\Depot - mpkCCD Fractions\Main Web Page\Web Pages_old\proteomic_fractions_linear_files/Yang_linear_img/111185959.jpg","show blot")</f>
        <v>show blot</v>
      </c>
      <c r="G6292" t="s">
        <v>6073</v>
      </c>
      <c r="I6292" s="6">
        <v>5.576177202003568</v>
      </c>
      <c r="K6292" s="8"/>
    </row>
    <row r="6293" spans="1:11" ht="15" x14ac:dyDescent="0.25">
      <c r="A6293" s="3" t="str">
        <f>HYPERLINK("proteomic_fractions_linear_files/Yang_linear_img/155030209.jpg", "155030209")</f>
        <v>155030209</v>
      </c>
      <c r="C6293" s="3" t="str">
        <f>HYPERLINK("http://www.ncbi.nlm.nih.gov/protein/155030209","Rc3h2")</f>
        <v>Rc3h2</v>
      </c>
      <c r="E6293" t="str">
        <f>HYPERLINK("J:\Depot - mpkCCD Fractions\Main Web Page\Web Pages_old\proteomic_fractions_linear_files/Yang_linear_img/155030209.jpg","show blot")</f>
        <v>show blot</v>
      </c>
      <c r="G6293" t="s">
        <v>6074</v>
      </c>
      <c r="I6293" s="6">
        <v>2.4143736434214986</v>
      </c>
      <c r="K6293" s="8"/>
    </row>
    <row r="6294" spans="1:11" ht="15" x14ac:dyDescent="0.25">
      <c r="A6294" s="3" t="str">
        <f>HYPERLINK("proteomic_fractions_linear_files/Yang_linear_img/169808411.jpg", "169808411")</f>
        <v>169808411</v>
      </c>
      <c r="C6294" s="3" t="str">
        <f>HYPERLINK("http://www.ncbi.nlm.nih.gov/protein/169808411","Rcbtb1")</f>
        <v>Rcbtb1</v>
      </c>
      <c r="E6294" t="str">
        <f>HYPERLINK("J:\Depot - mpkCCD Fractions\Main Web Page\Web Pages_old\proteomic_fractions_linear_files/Yang_linear_img/169808411.jpg","show blot")</f>
        <v>show blot</v>
      </c>
      <c r="G6294" t="s">
        <v>6075</v>
      </c>
      <c r="I6294" s="6">
        <v>1.4628477490409164</v>
      </c>
      <c r="K6294" s="8"/>
    </row>
    <row r="6295" spans="1:11" ht="15" x14ac:dyDescent="0.25">
      <c r="A6295" s="3" t="str">
        <f>HYPERLINK("proteomic_fractions_linear_files/Yang_linear_img/33239431.jpg", "33239431")</f>
        <v>33239431</v>
      </c>
      <c r="C6295" s="3" t="str">
        <f>HYPERLINK("http://www.ncbi.nlm.nih.gov/protein/33239431","Rcc2")</f>
        <v>Rcc2</v>
      </c>
      <c r="E6295" t="str">
        <f>HYPERLINK("J:\Depot - mpkCCD Fractions\Main Web Page\Web Pages_old\proteomic_fractions_linear_files/Yang_linear_img/33239431.jpg","show blot")</f>
        <v>show blot</v>
      </c>
      <c r="G6295" t="s">
        <v>6076</v>
      </c>
      <c r="I6295" s="6">
        <v>5.2610309125435952</v>
      </c>
      <c r="K6295" s="8"/>
    </row>
    <row r="6296" spans="1:11" ht="15" x14ac:dyDescent="0.25">
      <c r="A6296" s="3" t="str">
        <f>HYPERLINK("proteomic_fractions_linear_files/Yang_linear_img/12963507.jpg", "12963507")</f>
        <v>12963507</v>
      </c>
      <c r="C6296" s="3" t="str">
        <f>HYPERLINK("http://www.ncbi.nlm.nih.gov/protein/12963507","Rce1")</f>
        <v>Rce1</v>
      </c>
      <c r="E6296" t="str">
        <f>HYPERLINK("J:\Depot - mpkCCD Fractions\Main Web Page\Web Pages_old\proteomic_fractions_linear_files/Yang_linear_img/12963507.jpg","show blot")</f>
        <v>show blot</v>
      </c>
      <c r="G6296" t="s">
        <v>6077</v>
      </c>
      <c r="I6296" s="6">
        <v>1.6786140745547313</v>
      </c>
      <c r="K6296" s="8"/>
    </row>
    <row r="6297" spans="1:11" ht="15" x14ac:dyDescent="0.25">
      <c r="A6297" s="3" t="str">
        <f>HYPERLINK("proteomic_fractions_linear_files/Yang_linear_img/13386058.jpg", "13386058")</f>
        <v>13386058</v>
      </c>
      <c r="C6297" s="3" t="str">
        <f>HYPERLINK("http://www.ncbi.nlm.nih.gov/protein/13386058","Rchy1")</f>
        <v>Rchy1</v>
      </c>
      <c r="E6297" t="str">
        <f>HYPERLINK("J:\Depot - mpkCCD Fractions\Main Web Page\Web Pages_old\proteomic_fractions_linear_files/Yang_linear_img/13386058.jpg","show blot")</f>
        <v>show blot</v>
      </c>
      <c r="G6297" t="s">
        <v>6078</v>
      </c>
      <c r="I6297" s="6">
        <v>4.0426641495184183</v>
      </c>
      <c r="K6297" s="8"/>
    </row>
    <row r="6298" spans="1:11" ht="15" x14ac:dyDescent="0.25">
      <c r="A6298" s="3" t="str">
        <f>HYPERLINK("proteomic_fractions_linear_files/Yang_linear_img/422398909.jpg", "422398909")</f>
        <v>422398909</v>
      </c>
      <c r="C6298" s="3" t="str">
        <f>HYPERLINK("http://www.ncbi.nlm.nih.gov/protein/422398909","Rchy1")</f>
        <v>Rchy1</v>
      </c>
      <c r="E6298" t="str">
        <f>HYPERLINK("J:\Depot - mpkCCD Fractions\Main Web Page\Web Pages_old\proteomic_fractions_linear_files/Yang_linear_img/422398909.jpg","show blot")</f>
        <v>show blot</v>
      </c>
      <c r="G6298" t="s">
        <v>6079</v>
      </c>
      <c r="I6298" s="6">
        <v>4.0426641495184183</v>
      </c>
      <c r="K6298" s="8"/>
    </row>
    <row r="6299" spans="1:11" ht="15" x14ac:dyDescent="0.25">
      <c r="A6299" s="3" t="str">
        <f>HYPERLINK("proteomic_fractions_linear_files/Yang_linear_img/506949339.jpg", "506949339")</f>
        <v>506949339</v>
      </c>
      <c r="C6299" s="3" t="str">
        <f>HYPERLINK("http://www.ncbi.nlm.nih.gov/protein/506949339","Rcn2")</f>
        <v>Rcn2</v>
      </c>
      <c r="E6299" t="str">
        <f>HYPERLINK("J:\Depot - mpkCCD Fractions\Main Web Page\Web Pages_old\proteomic_fractions_linear_files/Yang_linear_img/506949339.jpg","show blot")</f>
        <v>show blot</v>
      </c>
      <c r="G6299" t="s">
        <v>6080</v>
      </c>
      <c r="I6299" s="6">
        <v>4.4893002509356146</v>
      </c>
      <c r="K6299" s="8"/>
    </row>
    <row r="6300" spans="1:11" ht="15" x14ac:dyDescent="0.25">
      <c r="A6300" s="3" t="str">
        <f>HYPERLINK("proteomic_fractions_linear_files/Yang_linear_img/114205428.jpg", "114205428")</f>
        <v>114205428</v>
      </c>
      <c r="C6300" s="3" t="str">
        <f>HYPERLINK("http://www.ncbi.nlm.nih.gov/protein/114205428","Rcn2")</f>
        <v>Rcn2</v>
      </c>
      <c r="E6300" t="str">
        <f>HYPERLINK("J:\Depot - mpkCCD Fractions\Main Web Page\Web Pages_old\proteomic_fractions_linear_files/Yang_linear_img/114205428.jpg","show blot")</f>
        <v>show blot</v>
      </c>
      <c r="G6300" t="s">
        <v>6081</v>
      </c>
      <c r="I6300" s="6">
        <v>4.4893002509356146</v>
      </c>
      <c r="K6300" s="8"/>
    </row>
    <row r="6301" spans="1:11" ht="15" x14ac:dyDescent="0.25">
      <c r="A6301" s="3" t="str">
        <f>HYPERLINK("proteomic_fractions_linear_files/Yang_linear_img/39930559.jpg", "39930559")</f>
        <v>39930559</v>
      </c>
      <c r="C6301" s="3" t="str">
        <f>HYPERLINK("http://www.ncbi.nlm.nih.gov/protein/39930559","Rcor1")</f>
        <v>Rcor1</v>
      </c>
      <c r="E6301" t="str">
        <f>HYPERLINK("J:\Depot - mpkCCD Fractions\Main Web Page\Web Pages_old\proteomic_fractions_linear_files/Yang_linear_img/39930559.jpg","show blot")</f>
        <v>show blot</v>
      </c>
      <c r="G6301" t="s">
        <v>6082</v>
      </c>
      <c r="I6301" s="6">
        <v>3.7703437869541294</v>
      </c>
      <c r="K6301" s="8"/>
    </row>
    <row r="6302" spans="1:11" ht="15" x14ac:dyDescent="0.25">
      <c r="A6302" s="3" t="str">
        <f>HYPERLINK("proteomic_fractions_linear_files/Yang_linear_img/57634523.jpg", "57634523")</f>
        <v>57634523</v>
      </c>
      <c r="C6302" s="3" t="str">
        <f>HYPERLINK("http://www.ncbi.nlm.nih.gov/protein/57634523","Rcor3")</f>
        <v>Rcor3</v>
      </c>
      <c r="E6302" t="str">
        <f>HYPERLINK("J:\Depot - mpkCCD Fractions\Main Web Page\Web Pages_old\proteomic_fractions_linear_files/Yang_linear_img/57634523.jpg","show blot")</f>
        <v>show blot</v>
      </c>
      <c r="G6302" t="s">
        <v>6083</v>
      </c>
      <c r="I6302" s="6">
        <v>3.1626066627344764</v>
      </c>
      <c r="K6302" s="8"/>
    </row>
    <row r="6303" spans="1:11" ht="15" x14ac:dyDescent="0.25">
      <c r="A6303" s="3" t="str">
        <f>HYPERLINK("proteomic_fractions_linear_files/Yang_linear_img/25141231.jpg", "25141231")</f>
        <v>25141231</v>
      </c>
      <c r="C6303" s="3" t="str">
        <f>HYPERLINK("http://www.ncbi.nlm.nih.gov/protein/25141231","Rdh10")</f>
        <v>Rdh10</v>
      </c>
      <c r="E6303" t="str">
        <f>HYPERLINK("J:\Depot - mpkCCD Fractions\Main Web Page\Web Pages_old\proteomic_fractions_linear_files/Yang_linear_img/25141231.jpg","show blot")</f>
        <v>show blot</v>
      </c>
      <c r="G6303" t="s">
        <v>6084</v>
      </c>
      <c r="I6303" s="6">
        <v>4.1815012079012952</v>
      </c>
      <c r="K6303" s="8"/>
    </row>
    <row r="6304" spans="1:11" ht="15" x14ac:dyDescent="0.25">
      <c r="A6304" s="3" t="str">
        <f>HYPERLINK("proteomic_fractions_linear_files/Yang_linear_img/19482172.jpg", "19482172")</f>
        <v>19482172</v>
      </c>
      <c r="C6304" s="3" t="str">
        <f>HYPERLINK("http://www.ncbi.nlm.nih.gov/protein/19482172","Rdh11")</f>
        <v>Rdh11</v>
      </c>
      <c r="E6304" t="str">
        <f>HYPERLINK("J:\Depot - mpkCCD Fractions\Main Web Page\Web Pages_old\proteomic_fractions_linear_files/Yang_linear_img/19482172.jpg","show blot")</f>
        <v>show blot</v>
      </c>
      <c r="G6304" t="s">
        <v>6085</v>
      </c>
      <c r="I6304" s="6">
        <v>5.1032198014213757</v>
      </c>
      <c r="K6304" s="8"/>
    </row>
    <row r="6305" spans="1:11" ht="15" x14ac:dyDescent="0.25">
      <c r="A6305" s="3" t="str">
        <f>HYPERLINK("proteomic_fractions_linear_files/Yang_linear_img/58037513.jpg", "58037513")</f>
        <v>58037513</v>
      </c>
      <c r="C6305" s="3" t="str">
        <f>HYPERLINK("http://www.ncbi.nlm.nih.gov/protein/58037513","Rdh12")</f>
        <v>Rdh12</v>
      </c>
      <c r="E6305" t="str">
        <f>HYPERLINK("J:\Depot - mpkCCD Fractions\Main Web Page\Web Pages_old\proteomic_fractions_linear_files/Yang_linear_img/58037513.jpg","show blot")</f>
        <v>show blot</v>
      </c>
      <c r="G6305" t="s">
        <v>6086</v>
      </c>
      <c r="I6305" s="6">
        <v>3.8061968309637995</v>
      </c>
      <c r="K6305" s="8"/>
    </row>
    <row r="6306" spans="1:11" ht="15" x14ac:dyDescent="0.25">
      <c r="A6306" s="3" t="str">
        <f>HYPERLINK("proteomic_fractions_linear_files/Yang_linear_img/30425078.jpg", "30425078")</f>
        <v>30425078</v>
      </c>
      <c r="C6306" s="3" t="str">
        <f>HYPERLINK("http://www.ncbi.nlm.nih.gov/protein/30425078","Rdh13")</f>
        <v>Rdh13</v>
      </c>
      <c r="E6306" t="str">
        <f>HYPERLINK("J:\Depot - mpkCCD Fractions\Main Web Page\Web Pages_old\proteomic_fractions_linear_files/Yang_linear_img/30425078.jpg","show blot")</f>
        <v>show blot</v>
      </c>
      <c r="G6306" t="s">
        <v>6087</v>
      </c>
      <c r="I6306" s="6">
        <v>3.9825503017017239</v>
      </c>
      <c r="K6306" s="8"/>
    </row>
    <row r="6307" spans="1:11" ht="15" x14ac:dyDescent="0.25">
      <c r="A6307" s="3" t="str">
        <f>HYPERLINK("proteomic_fractions_linear_files/Yang_linear_img/12963791.jpg", "12963791")</f>
        <v>12963791</v>
      </c>
      <c r="C6307" s="3" t="str">
        <f>HYPERLINK("http://www.ncbi.nlm.nih.gov/protein/12963791","Rdh14")</f>
        <v>Rdh14</v>
      </c>
      <c r="E6307" t="str">
        <f>HYPERLINK("J:\Depot - mpkCCD Fractions\Main Web Page\Web Pages_old\proteomic_fractions_linear_files/Yang_linear_img/12963791.jpg","show blot")</f>
        <v>show blot</v>
      </c>
      <c r="G6307" t="s">
        <v>6088</v>
      </c>
      <c r="I6307" s="6">
        <v>4.0445110594867986</v>
      </c>
      <c r="K6307" s="8"/>
    </row>
    <row r="6308" spans="1:11" ht="15" x14ac:dyDescent="0.25">
      <c r="A6308" s="3" t="str">
        <f>HYPERLINK("proteomic_fractions_linear_files/Yang_linear_img/157277948.jpg", "157277948")</f>
        <v>157277948</v>
      </c>
      <c r="C6308" s="3" t="str">
        <f>HYPERLINK("http://www.ncbi.nlm.nih.gov/protein/157277948","Rdx")</f>
        <v>Rdx</v>
      </c>
      <c r="E6308" t="str">
        <f>HYPERLINK("J:\Depot - mpkCCD Fractions\Main Web Page\Web Pages_old\proteomic_fractions_linear_files/Yang_linear_img/157277948.jpg","show blot")</f>
        <v>show blot</v>
      </c>
      <c r="G6308" t="s">
        <v>6089</v>
      </c>
      <c r="I6308" s="6">
        <v>6.8034241780036346</v>
      </c>
      <c r="K6308" s="8"/>
    </row>
    <row r="6309" spans="1:11" ht="15" x14ac:dyDescent="0.25">
      <c r="A6309" s="3" t="str">
        <f>HYPERLINK("proteomic_fractions_linear_files/Yang_linear_img/157277952.jpg", "157277952")</f>
        <v>157277952</v>
      </c>
      <c r="C6309" s="3" t="str">
        <f>HYPERLINK("http://www.ncbi.nlm.nih.gov/protein/157277952","Rdx")</f>
        <v>Rdx</v>
      </c>
      <c r="E6309" t="str">
        <f>HYPERLINK("J:\Depot - mpkCCD Fractions\Main Web Page\Web Pages_old\proteomic_fractions_linear_files/Yang_linear_img/157277952.jpg","show blot")</f>
        <v>show blot</v>
      </c>
      <c r="G6309" t="s">
        <v>6090</v>
      </c>
      <c r="I6309" s="6">
        <v>6.8034241780036346</v>
      </c>
      <c r="K6309" s="8"/>
    </row>
    <row r="6310" spans="1:11" ht="15" x14ac:dyDescent="0.25">
      <c r="A6310" s="3" t="str">
        <f>HYPERLINK("proteomic_fractions_linear_files/Yang_linear_img/110625690.jpg", "110625690")</f>
        <v>110625690</v>
      </c>
      <c r="C6310" s="3" t="str">
        <f>HYPERLINK("http://www.ncbi.nlm.nih.gov/protein/110625690","Recql")</f>
        <v>Recql</v>
      </c>
      <c r="E6310" t="str">
        <f>HYPERLINK("J:\Depot - mpkCCD Fractions\Main Web Page\Web Pages_old\proteomic_fractions_linear_files/Yang_linear_img/110625690.jpg","show blot")</f>
        <v>show blot</v>
      </c>
      <c r="G6310" t="s">
        <v>6091</v>
      </c>
      <c r="I6310" s="6">
        <v>4.3167319704216398</v>
      </c>
      <c r="K6310" s="8"/>
    </row>
    <row r="6311" spans="1:11" ht="15" x14ac:dyDescent="0.25">
      <c r="A6311" s="3" t="str">
        <f>HYPERLINK("proteomic_fractions_linear_files/Yang_linear_img/326368214.jpg", "326368214")</f>
        <v>326368214</v>
      </c>
      <c r="C6311" s="3" t="str">
        <f>HYPERLINK("http://www.ncbi.nlm.nih.gov/protein/326368214","Recql")</f>
        <v>Recql</v>
      </c>
      <c r="E6311" t="str">
        <f>HYPERLINK("J:\Depot - mpkCCD Fractions\Main Web Page\Web Pages_old\proteomic_fractions_linear_files/Yang_linear_img/326368214.jpg","show blot")</f>
        <v>show blot</v>
      </c>
      <c r="G6311" t="s">
        <v>6092</v>
      </c>
      <c r="I6311" s="6">
        <v>4.3167319704216398</v>
      </c>
      <c r="K6311" s="8"/>
    </row>
    <row r="6312" spans="1:11" ht="15" x14ac:dyDescent="0.25">
      <c r="A6312" s="3" t="str">
        <f>HYPERLINK("proteomic_fractions_linear_files/Yang_linear_img/326368226.jpg", "326368226")</f>
        <v>326368226</v>
      </c>
      <c r="C6312" s="3" t="str">
        <f>HYPERLINK("http://www.ncbi.nlm.nih.gov/protein/326368226","Recql")</f>
        <v>Recql</v>
      </c>
      <c r="E6312" t="str">
        <f>HYPERLINK("J:\Depot - mpkCCD Fractions\Main Web Page\Web Pages_old\proteomic_fractions_linear_files/Yang_linear_img/326368226.jpg","show blot")</f>
        <v>show blot</v>
      </c>
      <c r="G6312" t="s">
        <v>6093</v>
      </c>
      <c r="I6312" s="6">
        <v>4.3167319704216398</v>
      </c>
      <c r="K6312" s="8"/>
    </row>
    <row r="6313" spans="1:11" ht="15" x14ac:dyDescent="0.25">
      <c r="A6313" s="3" t="str">
        <f>HYPERLINK("proteomic_fractions_linear_files/Yang_linear_img/30519927.jpg", "30519927")</f>
        <v>30519927</v>
      </c>
      <c r="C6313" s="3" t="str">
        <f>HYPERLINK("http://www.ncbi.nlm.nih.gov/protein/30519927","Reep3")</f>
        <v>Reep3</v>
      </c>
      <c r="E6313" t="str">
        <f>HYPERLINK("J:\Depot - mpkCCD Fractions\Main Web Page\Web Pages_old\proteomic_fractions_linear_files/Yang_linear_img/30519927.jpg","show blot")</f>
        <v>show blot</v>
      </c>
      <c r="G6313" t="s">
        <v>6094</v>
      </c>
      <c r="I6313" s="6">
        <v>4.1102307191555365</v>
      </c>
      <c r="K6313" s="8"/>
    </row>
    <row r="6314" spans="1:11" ht="15" x14ac:dyDescent="0.25">
      <c r="A6314" s="3" t="str">
        <f>HYPERLINK("proteomic_fractions_linear_files/Yang_linear_img/326319958.jpg", "326319958")</f>
        <v>326319958</v>
      </c>
      <c r="C6314" s="3" t="str">
        <f>HYPERLINK("http://www.ncbi.nlm.nih.gov/protein/326319958","Reep3")</f>
        <v>Reep3</v>
      </c>
      <c r="E6314" t="str">
        <f>HYPERLINK("J:\Depot - mpkCCD Fractions\Main Web Page\Web Pages_old\proteomic_fractions_linear_files/Yang_linear_img/326319958.jpg","show blot")</f>
        <v>show blot</v>
      </c>
      <c r="G6314" t="s">
        <v>6095</v>
      </c>
      <c r="I6314" s="6">
        <v>4.1102307191555365</v>
      </c>
      <c r="K6314" s="8"/>
    </row>
    <row r="6315" spans="1:11" ht="15" x14ac:dyDescent="0.25">
      <c r="A6315" s="3" t="str">
        <f>HYPERLINK("proteomic_fractions_linear_files/Yang_linear_img/161016826.jpg", "161016826")</f>
        <v>161016826</v>
      </c>
      <c r="C6315" s="3" t="str">
        <f>HYPERLINK("http://www.ncbi.nlm.nih.gov/protein/161016826","Reep5")</f>
        <v>Reep5</v>
      </c>
      <c r="E6315" t="str">
        <f>HYPERLINK("J:\Depot - mpkCCD Fractions\Main Web Page\Web Pages_old\proteomic_fractions_linear_files/Yang_linear_img/161016826.jpg","show blot")</f>
        <v>show blot</v>
      </c>
      <c r="G6315" t="s">
        <v>6096</v>
      </c>
      <c r="I6315" s="6">
        <v>5.6481875585222898</v>
      </c>
      <c r="K6315" s="8"/>
    </row>
    <row r="6316" spans="1:11" ht="15" x14ac:dyDescent="0.25">
      <c r="A6316" s="3" t="str">
        <f>HYPERLINK("proteomic_fractions_linear_files/Yang_linear_img/21314830.jpg", "21314830")</f>
        <v>21314830</v>
      </c>
      <c r="C6316" s="3" t="str">
        <f>HYPERLINK("http://www.ncbi.nlm.nih.gov/protein/21314830","Reep6")</f>
        <v>Reep6</v>
      </c>
      <c r="E6316" t="str">
        <f>HYPERLINK("J:\Depot - mpkCCD Fractions\Main Web Page\Web Pages_old\proteomic_fractions_linear_files/Yang_linear_img/21314830.jpg","show blot")</f>
        <v>show blot</v>
      </c>
      <c r="G6316" t="s">
        <v>6097</v>
      </c>
      <c r="I6316" s="6">
        <v>5.964898453399142</v>
      </c>
      <c r="K6316" s="8"/>
    </row>
    <row r="6317" spans="1:11" ht="15" x14ac:dyDescent="0.25">
      <c r="A6317" s="3" t="str">
        <f>HYPERLINK("proteomic_fractions_linear_files/Yang_linear_img/326368217.jpg", "326368217")</f>
        <v>326368217</v>
      </c>
      <c r="C6317" s="3" t="str">
        <f>HYPERLINK("http://www.ncbi.nlm.nih.gov/protein/326368217","Reep6")</f>
        <v>Reep6</v>
      </c>
      <c r="E6317" t="str">
        <f>HYPERLINK("J:\Depot - mpkCCD Fractions\Main Web Page\Web Pages_old\proteomic_fractions_linear_files/Yang_linear_img/326368217.jpg","show blot")</f>
        <v>show blot</v>
      </c>
      <c r="G6317" t="s">
        <v>6098</v>
      </c>
      <c r="I6317" s="6">
        <v>5.964898453399142</v>
      </c>
      <c r="K6317" s="8"/>
    </row>
    <row r="6318" spans="1:11" ht="15" x14ac:dyDescent="0.25">
      <c r="A6318" s="3" t="str">
        <f>HYPERLINK("proteomic_fractions_linear_files/Yang_linear_img/6677709.jpg", "6677709")</f>
        <v>6677709</v>
      </c>
      <c r="C6318" s="3" t="str">
        <f>HYPERLINK("http://www.ncbi.nlm.nih.gov/protein/6677709","Rela")</f>
        <v>Rela</v>
      </c>
      <c r="E6318" t="str">
        <f>HYPERLINK("J:\Depot - mpkCCD Fractions\Main Web Page\Web Pages_old\proteomic_fractions_linear_files/Yang_linear_img/6677709.jpg","show blot")</f>
        <v>show blot</v>
      </c>
      <c r="G6318" t="s">
        <v>6099</v>
      </c>
      <c r="I6318" s="6">
        <v>5.4509672280638801</v>
      </c>
      <c r="K6318" s="8"/>
    </row>
    <row r="6319" spans="1:11" ht="15" x14ac:dyDescent="0.25">
      <c r="A6319" s="3" t="str">
        <f>HYPERLINK("proteomic_fractions_linear_files/Yang_linear_img/110625912.jpg", "110625912")</f>
        <v>110625912</v>
      </c>
      <c r="C6319" s="3" t="str">
        <f>HYPERLINK("http://www.ncbi.nlm.nih.gov/protein/110625912","Rell1")</f>
        <v>Rell1</v>
      </c>
      <c r="E6319" t="str">
        <f>HYPERLINK("J:\Depot - mpkCCD Fractions\Main Web Page\Web Pages_old\proteomic_fractions_linear_files/Yang_linear_img/110625912.jpg","show blot")</f>
        <v>show blot</v>
      </c>
      <c r="G6319" t="s">
        <v>6100</v>
      </c>
      <c r="I6319" s="6">
        <v>3.4871293464462583</v>
      </c>
      <c r="K6319" s="8"/>
    </row>
    <row r="6320" spans="1:11" ht="15" x14ac:dyDescent="0.25">
      <c r="A6320" s="3" t="str">
        <f>HYPERLINK("proteomic_fractions_linear_files/Yang_linear_img/257796226.jpg", "257796226")</f>
        <v>257796226</v>
      </c>
      <c r="C6320" s="3" t="str">
        <f>HYPERLINK("http://www.ncbi.nlm.nih.gov/protein/257796226","Renbp")</f>
        <v>Renbp</v>
      </c>
      <c r="E6320" t="str">
        <f>HYPERLINK("J:\Depot - mpkCCD Fractions\Main Web Page\Web Pages_old\proteomic_fractions_linear_files/Yang_linear_img/257796226.jpg","show blot")</f>
        <v>show blot</v>
      </c>
      <c r="G6320" t="s">
        <v>6101</v>
      </c>
      <c r="I6320" s="6">
        <v>5.5697993651441333</v>
      </c>
      <c r="K6320" s="8"/>
    </row>
    <row r="6321" spans="1:11" ht="15" x14ac:dyDescent="0.25">
      <c r="A6321" s="3" t="str">
        <f>HYPERLINK("proteomic_fractions_linear_files/Yang_linear_img/257796315.jpg", "257796315")</f>
        <v>257796315</v>
      </c>
      <c r="C6321" s="3" t="str">
        <f>HYPERLINK("http://www.ncbi.nlm.nih.gov/protein/257796315","Renbp")</f>
        <v>Renbp</v>
      </c>
      <c r="E6321" t="str">
        <f>HYPERLINK("J:\Depot - mpkCCD Fractions\Main Web Page\Web Pages_old\proteomic_fractions_linear_files/Yang_linear_img/257796315.jpg","show blot")</f>
        <v>show blot</v>
      </c>
      <c r="G6321" t="s">
        <v>6102</v>
      </c>
      <c r="I6321" s="6">
        <v>5.5697993651441333</v>
      </c>
      <c r="K6321" s="8"/>
    </row>
    <row r="6322" spans="1:11" ht="15" x14ac:dyDescent="0.25">
      <c r="A6322" s="3" t="str">
        <f>HYPERLINK("proteomic_fractions_linear_files/Yang_linear_img/161484650.jpg", "161484650")</f>
        <v>161484650</v>
      </c>
      <c r="C6322" s="3" t="str">
        <f>HYPERLINK("http://www.ncbi.nlm.nih.gov/protein/161484650","Reps1")</f>
        <v>Reps1</v>
      </c>
      <c r="E6322" t="str">
        <f>HYPERLINK("J:\Depot - mpkCCD Fractions\Main Web Page\Web Pages_old\proteomic_fractions_linear_files/Yang_linear_img/161484650.jpg","show blot")</f>
        <v>show blot</v>
      </c>
      <c r="G6322" t="s">
        <v>6103</v>
      </c>
      <c r="I6322" s="6">
        <v>4.5687415415260801</v>
      </c>
      <c r="K6322" s="8"/>
    </row>
    <row r="6323" spans="1:11" ht="15" x14ac:dyDescent="0.25">
      <c r="A6323" s="3" t="str">
        <f>HYPERLINK("proteomic_fractions_linear_files/Yang_linear_img/161484652.jpg", "161484652")</f>
        <v>161484652</v>
      </c>
      <c r="C6323" s="3" t="str">
        <f>HYPERLINK("http://www.ncbi.nlm.nih.gov/protein/161484652","Reps1")</f>
        <v>Reps1</v>
      </c>
      <c r="E6323" t="str">
        <f>HYPERLINK("J:\Depot - mpkCCD Fractions\Main Web Page\Web Pages_old\proteomic_fractions_linear_files/Yang_linear_img/161484652.jpg","show blot")</f>
        <v>show blot</v>
      </c>
      <c r="G6323" t="s">
        <v>6104</v>
      </c>
      <c r="I6323" s="6">
        <v>4.5687415415260801</v>
      </c>
      <c r="K6323" s="8"/>
    </row>
    <row r="6324" spans="1:11" ht="15" x14ac:dyDescent="0.25">
      <c r="A6324" s="3" t="str">
        <f>HYPERLINK("proteomic_fractions_linear_files/Yang_linear_img/84490401.jpg", "84490401")</f>
        <v>84490401</v>
      </c>
      <c r="C6324" s="3" t="str">
        <f>HYPERLINK("http://www.ncbi.nlm.nih.gov/protein/84490401","Reps2")</f>
        <v>Reps2</v>
      </c>
      <c r="E6324" t="str">
        <f>HYPERLINK("J:\Depot - mpkCCD Fractions\Main Web Page\Web Pages_old\proteomic_fractions_linear_files/Yang_linear_img/84490401.jpg","show blot")</f>
        <v>show blot</v>
      </c>
      <c r="G6324" t="s">
        <v>6105</v>
      </c>
      <c r="I6324" s="6">
        <v>3.9419433005000486</v>
      </c>
      <c r="K6324" s="8"/>
    </row>
    <row r="6325" spans="1:11" ht="15" x14ac:dyDescent="0.25">
      <c r="A6325" s="3" t="str">
        <f>HYPERLINK("proteomic_fractions_linear_files/Yang_linear_img/13385882.jpg", "13385882")</f>
        <v>13385882</v>
      </c>
      <c r="C6325" s="3" t="str">
        <f>HYPERLINK("http://www.ncbi.nlm.nih.gov/protein/13385882","Rer1")</f>
        <v>Rer1</v>
      </c>
      <c r="E6325" t="str">
        <f>HYPERLINK("J:\Depot - mpkCCD Fractions\Main Web Page\Web Pages_old\proteomic_fractions_linear_files/Yang_linear_img/13385882.jpg","show blot")</f>
        <v>show blot</v>
      </c>
      <c r="G6325" t="s">
        <v>6106</v>
      </c>
      <c r="I6325" s="6">
        <v>5.0782387719429591</v>
      </c>
      <c r="K6325" s="8"/>
    </row>
    <row r="6326" spans="1:11" ht="15" x14ac:dyDescent="0.25">
      <c r="A6326" s="3" t="str">
        <f>HYPERLINK("proteomic_fractions_linear_files/Yang_linear_img/148234285.jpg", "148234285")</f>
        <v>148234285</v>
      </c>
      <c r="C6326" s="3" t="str">
        <f>HYPERLINK("http://www.ncbi.nlm.nih.gov/protein/148234285","Rere")</f>
        <v>Rere</v>
      </c>
      <c r="E6326" t="str">
        <f>HYPERLINK("J:\Depot - mpkCCD Fractions\Main Web Page\Web Pages_old\proteomic_fractions_linear_files/Yang_linear_img/148234285.jpg","show blot")</f>
        <v>show blot</v>
      </c>
      <c r="G6326" t="s">
        <v>6107</v>
      </c>
      <c r="I6326" s="6">
        <v>2.9399770103949168</v>
      </c>
      <c r="K6326" s="8"/>
    </row>
    <row r="6327" spans="1:11" ht="15" x14ac:dyDescent="0.25">
      <c r="A6327" s="3" t="str">
        <f>HYPERLINK("proteomic_fractions_linear_files/Yang_linear_img/27229283.jpg", "27229283")</f>
        <v>27229283</v>
      </c>
      <c r="C6327" s="3" t="str">
        <f>HYPERLINK("http://www.ncbi.nlm.nih.gov/protein/27229283","Rexo2")</f>
        <v>Rexo2</v>
      </c>
      <c r="E6327" t="str">
        <f>HYPERLINK("J:\Depot - mpkCCD Fractions\Main Web Page\Web Pages_old\proteomic_fractions_linear_files/Yang_linear_img/27229283.jpg","show blot")</f>
        <v>show blot</v>
      </c>
      <c r="G6327" t="s">
        <v>6108</v>
      </c>
      <c r="I6327" s="6">
        <v>5.0027953453729159</v>
      </c>
      <c r="K6327" s="8"/>
    </row>
    <row r="6328" spans="1:11" ht="15" x14ac:dyDescent="0.25">
      <c r="A6328" s="3" t="str">
        <f>HYPERLINK("proteomic_fractions_linear_files/Yang_linear_img/76563952.jpg", "76563952")</f>
        <v>76563952</v>
      </c>
      <c r="C6328" s="3" t="str">
        <f>HYPERLINK("http://www.ncbi.nlm.nih.gov/protein/76563952","Rexo4")</f>
        <v>Rexo4</v>
      </c>
      <c r="E6328" t="str">
        <f>HYPERLINK("J:\Depot - mpkCCD Fractions\Main Web Page\Web Pages_old\proteomic_fractions_linear_files/Yang_linear_img/76563952.jpg","show blot")</f>
        <v>show blot</v>
      </c>
      <c r="G6328" t="s">
        <v>6109</v>
      </c>
      <c r="I6328" s="6">
        <v>2.2044086463301635</v>
      </c>
      <c r="K6328" s="8"/>
    </row>
    <row r="6329" spans="1:11" ht="15" x14ac:dyDescent="0.25">
      <c r="A6329" s="3" t="str">
        <f>HYPERLINK("proteomic_fractions_linear_files/Yang_linear_img/188219597.jpg", "188219597")</f>
        <v>188219597</v>
      </c>
      <c r="C6329" s="3" t="str">
        <f>HYPERLINK("http://www.ncbi.nlm.nih.gov/protein/188219597","Rfc1")</f>
        <v>Rfc1</v>
      </c>
      <c r="E6329" t="str">
        <f>HYPERLINK("J:\Depot - mpkCCD Fractions\Main Web Page\Web Pages_old\proteomic_fractions_linear_files/Yang_linear_img/188219597.jpg","show blot")</f>
        <v>show blot</v>
      </c>
      <c r="G6329" t="s">
        <v>6110</v>
      </c>
      <c r="I6329" s="6">
        <v>4.5575341392891948</v>
      </c>
      <c r="K6329" s="8"/>
    </row>
    <row r="6330" spans="1:11" ht="15" x14ac:dyDescent="0.25">
      <c r="A6330" s="3" t="str">
        <f>HYPERLINK("proteomic_fractions_linear_files/Yang_linear_img/11177922.jpg", "11177922")</f>
        <v>11177922</v>
      </c>
      <c r="C6330" s="3" t="str">
        <f>HYPERLINK("http://www.ncbi.nlm.nih.gov/protein/11177922","Rfc2")</f>
        <v>Rfc2</v>
      </c>
      <c r="E6330" t="str">
        <f>HYPERLINK("J:\Depot - mpkCCD Fractions\Main Web Page\Web Pages_old\proteomic_fractions_linear_files/Yang_linear_img/11177922.jpg","show blot")</f>
        <v>show blot</v>
      </c>
      <c r="G6330" t="s">
        <v>6111</v>
      </c>
      <c r="I6330" s="6">
        <v>5.6438463055334296</v>
      </c>
      <c r="K6330" s="8"/>
    </row>
    <row r="6331" spans="1:11" ht="15" x14ac:dyDescent="0.25">
      <c r="A6331" s="3" t="str">
        <f>HYPERLINK("proteomic_fractions_linear_files/Yang_linear_img/124249204.jpg", "124249204")</f>
        <v>124249204</v>
      </c>
      <c r="C6331" s="3" t="str">
        <f>HYPERLINK("http://www.ncbi.nlm.nih.gov/protein/124249204","Rfc3")</f>
        <v>Rfc3</v>
      </c>
      <c r="E6331" t="str">
        <f>HYPERLINK("J:\Depot - mpkCCD Fractions\Main Web Page\Web Pages_old\proteomic_fractions_linear_files/Yang_linear_img/124249204.jpg","show blot")</f>
        <v>show blot</v>
      </c>
      <c r="G6331" t="s">
        <v>6112</v>
      </c>
      <c r="I6331" s="6">
        <v>5.4556252979681688</v>
      </c>
      <c r="K6331" s="8"/>
    </row>
    <row r="6332" spans="1:11" ht="15" x14ac:dyDescent="0.25">
      <c r="A6332" s="3" t="str">
        <f>HYPERLINK("proteomic_fractions_linear_files/Yang_linear_img/21703948.jpg", "21703948")</f>
        <v>21703948</v>
      </c>
      <c r="C6332" s="3" t="str">
        <f>HYPERLINK("http://www.ncbi.nlm.nih.gov/protein/21703948","Rfc4")</f>
        <v>Rfc4</v>
      </c>
      <c r="E6332" t="str">
        <f>HYPERLINK("J:\Depot - mpkCCD Fractions\Main Web Page\Web Pages_old\proteomic_fractions_linear_files/Yang_linear_img/21703948.jpg","show blot")</f>
        <v>show blot</v>
      </c>
      <c r="G6332" t="s">
        <v>6113</v>
      </c>
      <c r="I6332" s="6">
        <v>5.7211996910487652</v>
      </c>
      <c r="K6332" s="8"/>
    </row>
    <row r="6333" spans="1:11" ht="15" x14ac:dyDescent="0.25">
      <c r="A6333" s="3" t="str">
        <f>HYPERLINK("proteomic_fractions_linear_files/Yang_linear_img/110625924.jpg", "110625924")</f>
        <v>110625924</v>
      </c>
      <c r="C6333" s="3" t="str">
        <f>HYPERLINK("http://www.ncbi.nlm.nih.gov/protein/110625924","Rfc5")</f>
        <v>Rfc5</v>
      </c>
      <c r="E6333" t="str">
        <f>HYPERLINK("J:\Depot - mpkCCD Fractions\Main Web Page\Web Pages_old\proteomic_fractions_linear_files/Yang_linear_img/110625924.jpg","show blot")</f>
        <v>show blot</v>
      </c>
      <c r="G6333" t="s">
        <v>6114</v>
      </c>
      <c r="I6333" s="6">
        <v>5.7054517271490202</v>
      </c>
      <c r="K6333" s="8"/>
    </row>
    <row r="6334" spans="1:11" ht="15" x14ac:dyDescent="0.25">
      <c r="A6334" s="3" t="str">
        <f>HYPERLINK("proteomic_fractions_linear_files/Yang_linear_img/14149726.jpg", "14149726")</f>
        <v>14149726</v>
      </c>
      <c r="C6334" s="3" t="str">
        <f>HYPERLINK("http://www.ncbi.nlm.nih.gov/protein/14149726","Rfk")</f>
        <v>Rfk</v>
      </c>
      <c r="E6334" t="str">
        <f>HYPERLINK("J:\Depot - mpkCCD Fractions\Main Web Page\Web Pages_old\proteomic_fractions_linear_files/Yang_linear_img/14149726.jpg","show blot")</f>
        <v>show blot</v>
      </c>
      <c r="G6334" t="s">
        <v>6115</v>
      </c>
      <c r="I6334" s="6">
        <v>5.0526440100174428</v>
      </c>
      <c r="K6334" s="8"/>
    </row>
    <row r="6335" spans="1:11" ht="15" x14ac:dyDescent="0.25">
      <c r="A6335" s="3" t="str">
        <f>HYPERLINK("proteomic_fractions_linear_files/Yang_linear_img/239916007.jpg", "239916007")</f>
        <v>239916007</v>
      </c>
      <c r="C6335" s="3" t="str">
        <f>HYPERLINK("http://www.ncbi.nlm.nih.gov/protein/239916007","Rfx1")</f>
        <v>Rfx1</v>
      </c>
      <c r="E6335" t="str">
        <f>HYPERLINK("J:\Depot - mpkCCD Fractions\Main Web Page\Web Pages_old\proteomic_fractions_linear_files/Yang_linear_img/239916007.jpg","show blot")</f>
        <v>show blot</v>
      </c>
      <c r="G6335" t="s">
        <v>6116</v>
      </c>
      <c r="I6335" s="6">
        <v>4.2418015748582922</v>
      </c>
      <c r="K6335" s="8"/>
    </row>
    <row r="6336" spans="1:11" ht="15" x14ac:dyDescent="0.25">
      <c r="A6336" s="3" t="str">
        <f>HYPERLINK("proteomic_fractions_linear_files/Yang_linear_img/88703055.jpg", "88703055")</f>
        <v>88703055</v>
      </c>
      <c r="C6336" s="3" t="str">
        <f>HYPERLINK("http://www.ncbi.nlm.nih.gov/protein/88703055","Rfx7")</f>
        <v>Rfx7</v>
      </c>
      <c r="E6336" t="str">
        <f>HYPERLINK("J:\Depot - mpkCCD Fractions\Main Web Page\Web Pages_old\proteomic_fractions_linear_files/Yang_linear_img/88703055.jpg","show blot")</f>
        <v>show blot</v>
      </c>
      <c r="G6336" t="s">
        <v>6117</v>
      </c>
      <c r="I6336" s="6">
        <v>2.6564863656959328</v>
      </c>
      <c r="K6336" s="8"/>
    </row>
    <row r="6337" spans="1:11" ht="15" x14ac:dyDescent="0.25">
      <c r="A6337" s="3" t="str">
        <f>HYPERLINK("proteomic_fractions_linear_files/Yang_linear_img/31982627.jpg", "31982627")</f>
        <v>31982627</v>
      </c>
      <c r="C6337" s="3" t="str">
        <f>HYPERLINK("http://www.ncbi.nlm.nih.gov/protein/31982627","Rgl3")</f>
        <v>Rgl3</v>
      </c>
      <c r="E6337" t="str">
        <f>HYPERLINK("J:\Depot - mpkCCD Fractions\Main Web Page\Web Pages_old\proteomic_fractions_linear_files/Yang_linear_img/31982627.jpg","show blot")</f>
        <v>show blot</v>
      </c>
      <c r="G6337" t="s">
        <v>6118</v>
      </c>
      <c r="I6337" s="6">
        <v>5.5592428402731917</v>
      </c>
      <c r="K6337" s="8"/>
    </row>
    <row r="6338" spans="1:11" ht="15" x14ac:dyDescent="0.25">
      <c r="A6338" s="3" t="str">
        <f>HYPERLINK("proteomic_fractions_linear_files/Yang_linear_img/170014730.jpg", "170014730")</f>
        <v>170014730</v>
      </c>
      <c r="C6338" s="3" t="str">
        <f>HYPERLINK("http://www.ncbi.nlm.nih.gov/protein/170014730","Rhbdd1")</f>
        <v>Rhbdd1</v>
      </c>
      <c r="E6338" t="str">
        <f>HYPERLINK("J:\Depot - mpkCCD Fractions\Main Web Page\Web Pages_old\proteomic_fractions_linear_files/Yang_linear_img/170014730.jpg","show blot")</f>
        <v>show blot</v>
      </c>
      <c r="G6338" t="s">
        <v>6119</v>
      </c>
      <c r="I6338" s="6">
        <v>3.0219683806129383</v>
      </c>
      <c r="K6338" s="8"/>
    </row>
    <row r="6339" spans="1:11" ht="15" x14ac:dyDescent="0.25">
      <c r="A6339" s="3" t="str">
        <f>HYPERLINK("proteomic_fractions_linear_files/Yang_linear_img/22122463.jpg", "22122463")</f>
        <v>22122463</v>
      </c>
      <c r="C6339" s="3" t="str">
        <f>HYPERLINK("http://www.ncbi.nlm.nih.gov/protein/22122463","Rhbdd2")</f>
        <v>Rhbdd2</v>
      </c>
      <c r="E6339" t="str">
        <f>HYPERLINK("J:\Depot - mpkCCD Fractions\Main Web Page\Web Pages_old\proteomic_fractions_linear_files/Yang_linear_img/22122463.jpg","show blot")</f>
        <v>show blot</v>
      </c>
      <c r="G6339" t="s">
        <v>6120</v>
      </c>
      <c r="I6339" s="6">
        <v>2.6950044907429009</v>
      </c>
      <c r="K6339" s="8"/>
    </row>
    <row r="6340" spans="1:11" ht="15" x14ac:dyDescent="0.25">
      <c r="A6340" s="3" t="str">
        <f>HYPERLINK("proteomic_fractions_linear_files/Yang_linear_img/28626508.jpg", "28626508")</f>
        <v>28626508</v>
      </c>
      <c r="C6340" s="3" t="str">
        <f>HYPERLINK("http://www.ncbi.nlm.nih.gov/protein/28626508","Rheb")</f>
        <v>Rheb</v>
      </c>
      <c r="E6340" t="str">
        <f>HYPERLINK("J:\Depot - mpkCCD Fractions\Main Web Page\Web Pages_old\proteomic_fractions_linear_files/Yang_linear_img/28626508.jpg","show blot")</f>
        <v>show blot</v>
      </c>
      <c r="G6340" t="s">
        <v>6121</v>
      </c>
      <c r="I6340" s="6">
        <v>5.3567489932884857</v>
      </c>
      <c r="K6340" s="8"/>
    </row>
    <row r="6341" spans="1:11" ht="15" x14ac:dyDescent="0.25">
      <c r="A6341" s="3" t="str">
        <f>HYPERLINK("proteomic_fractions_linear_files/Yang_linear_img/31542143.jpg", "31542143")</f>
        <v>31542143</v>
      </c>
      <c r="C6341" s="3" t="str">
        <f>HYPERLINK("http://www.ncbi.nlm.nih.gov/protein/31542143","Rhoa")</f>
        <v>Rhoa</v>
      </c>
      <c r="E6341" t="str">
        <f>HYPERLINK("J:\Depot - mpkCCD Fractions\Main Web Page\Web Pages_old\proteomic_fractions_linear_files/Yang_linear_img/31542143.jpg","show blot")</f>
        <v>show blot</v>
      </c>
      <c r="G6341" t="s">
        <v>6122</v>
      </c>
      <c r="I6341" s="6">
        <v>6.7336723507007319</v>
      </c>
      <c r="K6341" s="8"/>
    </row>
    <row r="6342" spans="1:11" ht="15" x14ac:dyDescent="0.25">
      <c r="A6342" s="3" t="str">
        <f>HYPERLINK("proteomic_fractions_linear_files/Yang_linear_img/6680726.jpg", "6680726")</f>
        <v>6680726</v>
      </c>
      <c r="C6342" s="3" t="str">
        <f>HYPERLINK("http://www.ncbi.nlm.nih.gov/protein/6680726","Rhob")</f>
        <v>Rhob</v>
      </c>
      <c r="E6342" t="str">
        <f>HYPERLINK("J:\Depot - mpkCCD Fractions\Main Web Page\Web Pages_old\proteomic_fractions_linear_files/Yang_linear_img/6680726.jpg","show blot")</f>
        <v>show blot</v>
      </c>
      <c r="G6342" t="s">
        <v>6123</v>
      </c>
      <c r="I6342" s="6">
        <v>5.2878973650834462</v>
      </c>
      <c r="K6342" s="8"/>
    </row>
    <row r="6343" spans="1:11" ht="15" x14ac:dyDescent="0.25">
      <c r="A6343" s="3" t="str">
        <f>HYPERLINK("proteomic_fractions_linear_files/Yang_linear_img/160415213.jpg", "160415213")</f>
        <v>160415213</v>
      </c>
      <c r="C6343" s="3" t="str">
        <f>HYPERLINK("http://www.ncbi.nlm.nih.gov/protein/160415213","Rhoc")</f>
        <v>Rhoc</v>
      </c>
      <c r="E6343" t="str">
        <f>HYPERLINK("J:\Depot - mpkCCD Fractions\Main Web Page\Web Pages_old\proteomic_fractions_linear_files/Yang_linear_img/160415213.jpg","show blot")</f>
        <v>show blot</v>
      </c>
      <c r="G6343" t="s">
        <v>6124</v>
      </c>
      <c r="I6343" s="6">
        <v>6.7036869270811934</v>
      </c>
      <c r="K6343" s="8"/>
    </row>
    <row r="6344" spans="1:11" ht="15" x14ac:dyDescent="0.25">
      <c r="A6344" s="3" t="str">
        <f>HYPERLINK("proteomic_fractions_linear_files/Yang_linear_img/6671573.jpg", "6671573")</f>
        <v>6671573</v>
      </c>
      <c r="C6344" s="3" t="str">
        <f>HYPERLINK("http://www.ncbi.nlm.nih.gov/protein/6671573","Rhod")</f>
        <v>Rhod</v>
      </c>
      <c r="E6344" t="str">
        <f>HYPERLINK("J:\Depot - mpkCCD Fractions\Main Web Page\Web Pages_old\proteomic_fractions_linear_files/Yang_linear_img/6671573.jpg","show blot")</f>
        <v>show blot</v>
      </c>
      <c r="G6344" t="s">
        <v>6125</v>
      </c>
      <c r="I6344" s="6">
        <v>3.7676209908853808</v>
      </c>
      <c r="K6344" s="8"/>
    </row>
    <row r="6345" spans="1:11" ht="15" x14ac:dyDescent="0.25">
      <c r="A6345" s="3" t="str">
        <f>HYPERLINK("proteomic_fractions_linear_files/Yang_linear_img/28201958.jpg", "28201958")</f>
        <v>28201958</v>
      </c>
      <c r="C6345" s="3" t="str">
        <f>HYPERLINK("http://www.ncbi.nlm.nih.gov/protein/28201958","Rhof")</f>
        <v>Rhof</v>
      </c>
      <c r="E6345" t="str">
        <f>HYPERLINK("J:\Depot - mpkCCD Fractions\Main Web Page\Web Pages_old\proteomic_fractions_linear_files/Yang_linear_img/28201958.jpg","show blot")</f>
        <v>show blot</v>
      </c>
      <c r="G6345" t="s">
        <v>6126</v>
      </c>
      <c r="I6345" s="6">
        <v>3.2859890588339624</v>
      </c>
      <c r="K6345" s="8"/>
    </row>
    <row r="6346" spans="1:11" ht="15" x14ac:dyDescent="0.25">
      <c r="A6346" s="3" t="str">
        <f>HYPERLINK("proteomic_fractions_linear_files/Yang_linear_img/9625037.jpg", "9625037")</f>
        <v>9625037</v>
      </c>
      <c r="C6346" s="3" t="str">
        <f>HYPERLINK("http://www.ncbi.nlm.nih.gov/protein/9625037","Rhog")</f>
        <v>Rhog</v>
      </c>
      <c r="E6346" t="str">
        <f>HYPERLINK("J:\Depot - mpkCCD Fractions\Main Web Page\Web Pages_old\proteomic_fractions_linear_files/Yang_linear_img/9625037.jpg","show blot")</f>
        <v>show blot</v>
      </c>
      <c r="G6346" t="s">
        <v>6127</v>
      </c>
      <c r="I6346" s="6">
        <v>5.9207801789250496</v>
      </c>
      <c r="K6346" s="8"/>
    </row>
    <row r="6347" spans="1:11" ht="15" x14ac:dyDescent="0.25">
      <c r="A6347" s="3" t="str">
        <f>HYPERLINK("proteomic_fractions_linear_files/Yang_linear_img/13489097.jpg", "13489097")</f>
        <v>13489097</v>
      </c>
      <c r="C6347" s="3" t="str">
        <f>HYPERLINK("http://www.ncbi.nlm.nih.gov/protein/13489097","Rhoj")</f>
        <v>Rhoj</v>
      </c>
      <c r="E6347" t="str">
        <f>HYPERLINK("J:\Depot - mpkCCD Fractions\Main Web Page\Web Pages_old\proteomic_fractions_linear_files/Yang_linear_img/13489097.jpg","show blot")</f>
        <v>show blot</v>
      </c>
      <c r="G6347" t="s">
        <v>6128</v>
      </c>
      <c r="I6347" s="6">
        <v>5.6874303935634432</v>
      </c>
      <c r="K6347" s="8"/>
    </row>
    <row r="6348" spans="1:11" ht="15" x14ac:dyDescent="0.25">
      <c r="A6348" s="3" t="str">
        <f>HYPERLINK("proteomic_fractions_linear_files/Yang_linear_img/34328361.jpg", "34328361")</f>
        <v>34328361</v>
      </c>
      <c r="C6348" s="3" t="str">
        <f>HYPERLINK("http://www.ncbi.nlm.nih.gov/protein/34328361","Rhoq")</f>
        <v>Rhoq</v>
      </c>
      <c r="E6348" t="str">
        <f>HYPERLINK("J:\Depot - mpkCCD Fractions\Main Web Page\Web Pages_old\proteomic_fractions_linear_files/Yang_linear_img/34328361.jpg","show blot")</f>
        <v>show blot</v>
      </c>
      <c r="G6348" t="s">
        <v>6129</v>
      </c>
      <c r="I6348" s="6">
        <v>5.7059137992574565</v>
      </c>
      <c r="K6348" s="8"/>
    </row>
    <row r="6349" spans="1:11" ht="15" x14ac:dyDescent="0.25">
      <c r="A6349" s="3" t="str">
        <f>HYPERLINK("proteomic_fractions_linear_files/Yang_linear_img/254039727.jpg", "254039727")</f>
        <v>254039727</v>
      </c>
      <c r="C6349" s="3" t="str">
        <f>HYPERLINK("http://www.ncbi.nlm.nih.gov/protein/254039727","Rhot1")</f>
        <v>Rhot1</v>
      </c>
      <c r="E6349" t="str">
        <f>HYPERLINK("J:\Depot - mpkCCD Fractions\Main Web Page\Web Pages_old\proteomic_fractions_linear_files/Yang_linear_img/254039727.jpg","show blot")</f>
        <v>show blot</v>
      </c>
      <c r="G6349" t="s">
        <v>6130</v>
      </c>
      <c r="I6349" s="6">
        <v>4.5566960905413056</v>
      </c>
      <c r="K6349" s="8"/>
    </row>
    <row r="6350" spans="1:11" ht="15" x14ac:dyDescent="0.25">
      <c r="A6350" s="3" t="str">
        <f>HYPERLINK("proteomic_fractions_linear_files/Yang_linear_img/254039729.jpg", "254039729")</f>
        <v>254039729</v>
      </c>
      <c r="C6350" s="3" t="str">
        <f>HYPERLINK("http://www.ncbi.nlm.nih.gov/protein/254039729","Rhot1")</f>
        <v>Rhot1</v>
      </c>
      <c r="E6350" t="str">
        <f>HYPERLINK("J:\Depot - mpkCCD Fractions\Main Web Page\Web Pages_old\proteomic_fractions_linear_files/Yang_linear_img/254039729.jpg","show blot")</f>
        <v>show blot</v>
      </c>
      <c r="G6350" t="s">
        <v>6131</v>
      </c>
      <c r="I6350" s="6">
        <v>4.5566960905413056</v>
      </c>
      <c r="K6350" s="8"/>
    </row>
    <row r="6351" spans="1:11" ht="15" x14ac:dyDescent="0.25">
      <c r="A6351" s="3" t="str">
        <f>HYPERLINK("proteomic_fractions_linear_files/Yang_linear_img/31559891.jpg", "31559891")</f>
        <v>31559891</v>
      </c>
      <c r="C6351" s="3" t="str">
        <f>HYPERLINK("http://www.ncbi.nlm.nih.gov/protein/31559891","Rhot1")</f>
        <v>Rhot1</v>
      </c>
      <c r="E6351" t="str">
        <f>HYPERLINK("J:\Depot - mpkCCD Fractions\Main Web Page\Web Pages_old\proteomic_fractions_linear_files/Yang_linear_img/31559891.jpg","show blot")</f>
        <v>show blot</v>
      </c>
      <c r="G6351" t="s">
        <v>6132</v>
      </c>
      <c r="I6351" s="6">
        <v>4.5566960905413056</v>
      </c>
      <c r="K6351" s="8"/>
    </row>
    <row r="6352" spans="1:11" ht="15" x14ac:dyDescent="0.25">
      <c r="A6352" s="3" t="str">
        <f>HYPERLINK("proteomic_fractions_linear_files/Yang_linear_img/22122457.jpg", "22122457")</f>
        <v>22122457</v>
      </c>
      <c r="C6352" s="3" t="str">
        <f>HYPERLINK("http://www.ncbi.nlm.nih.gov/protein/22122457","Rhot2")</f>
        <v>Rhot2</v>
      </c>
      <c r="E6352" t="str">
        <f>HYPERLINK("J:\Depot - mpkCCD Fractions\Main Web Page\Web Pages_old\proteomic_fractions_linear_files/Yang_linear_img/22122457.jpg","show blot")</f>
        <v>show blot</v>
      </c>
      <c r="G6352" t="s">
        <v>6133</v>
      </c>
      <c r="I6352" s="6">
        <v>4.5383201233728148</v>
      </c>
      <c r="K6352" s="8"/>
    </row>
    <row r="6353" spans="1:11" ht="15" x14ac:dyDescent="0.25">
      <c r="A6353" s="3" t="str">
        <f>HYPERLINK("proteomic_fractions_linear_files/Yang_linear_img/229092577.jpg", "229092577")</f>
        <v>229092577</v>
      </c>
      <c r="C6353" s="3" t="str">
        <f>HYPERLINK("http://www.ncbi.nlm.nih.gov/protein/229092577","Rhpn2")</f>
        <v>Rhpn2</v>
      </c>
      <c r="E6353" t="str">
        <f>HYPERLINK("J:\Depot - mpkCCD Fractions\Main Web Page\Web Pages_old\proteomic_fractions_linear_files/Yang_linear_img/229092577.jpg","show blot")</f>
        <v>show blot</v>
      </c>
      <c r="G6353" t="s">
        <v>6134</v>
      </c>
      <c r="I6353" s="6">
        <v>5.2288458061750225</v>
      </c>
      <c r="K6353" s="8"/>
    </row>
    <row r="6354" spans="1:11" ht="15" x14ac:dyDescent="0.25">
      <c r="A6354" s="3" t="str">
        <f>HYPERLINK("proteomic_fractions_linear_files/Yang_linear_img/13385124.jpg", "13385124")</f>
        <v>13385124</v>
      </c>
      <c r="C6354" s="3" t="str">
        <f>HYPERLINK("http://www.ncbi.nlm.nih.gov/protein/13385124","Ribc1")</f>
        <v>Ribc1</v>
      </c>
      <c r="E6354" t="str">
        <f>HYPERLINK("J:\Depot - mpkCCD Fractions\Main Web Page\Web Pages_old\proteomic_fractions_linear_files/Yang_linear_img/13385124.jpg","show blot")</f>
        <v>show blot</v>
      </c>
      <c r="G6354" t="s">
        <v>6135</v>
      </c>
      <c r="I6354" s="6">
        <v>4.5233209851372962</v>
      </c>
      <c r="K6354" s="8"/>
    </row>
    <row r="6355" spans="1:11" ht="15" x14ac:dyDescent="0.25">
      <c r="A6355" s="3" t="str">
        <f>HYPERLINK("proteomic_fractions_linear_files/Yang_linear_img/16716495.jpg", "16716495")</f>
        <v>16716495</v>
      </c>
      <c r="C6355" s="3" t="str">
        <f>HYPERLINK("http://www.ncbi.nlm.nih.gov/protein/16716495","Ric8")</f>
        <v>Ric8</v>
      </c>
      <c r="E6355" t="str">
        <f>HYPERLINK("J:\Depot - mpkCCD Fractions\Main Web Page\Web Pages_old\proteomic_fractions_linear_files/Yang_linear_img/16716495.jpg","show blot")</f>
        <v>show blot</v>
      </c>
      <c r="G6355" t="s">
        <v>6136</v>
      </c>
      <c r="I6355" s="6">
        <v>4.7689823041202821</v>
      </c>
      <c r="K6355" s="8"/>
    </row>
    <row r="6356" spans="1:11" ht="15" x14ac:dyDescent="0.25">
      <c r="A6356" s="3" t="str">
        <f>HYPERLINK("proteomic_fractions_linear_files/Yang_linear_img/34147209.jpg", "34147209")</f>
        <v>34147209</v>
      </c>
      <c r="C6356" s="3" t="str">
        <f>HYPERLINK("http://www.ncbi.nlm.nih.gov/protein/34147209","Ric8b")</f>
        <v>Ric8b</v>
      </c>
      <c r="E6356" t="str">
        <f>HYPERLINK("J:\Depot - mpkCCD Fractions\Main Web Page\Web Pages_old\proteomic_fractions_linear_files/Yang_linear_img/34147209.jpg","show blot")</f>
        <v>show blot</v>
      </c>
      <c r="G6356" t="s">
        <v>6137</v>
      </c>
      <c r="I6356" s="6">
        <v>3.2262757426038537</v>
      </c>
      <c r="K6356" s="8"/>
    </row>
    <row r="6357" spans="1:11" ht="15" x14ac:dyDescent="0.25">
      <c r="A6357" s="3" t="str">
        <f>HYPERLINK("proteomic_fractions_linear_files/Yang_linear_img/61806725.jpg", "61806725")</f>
        <v>61806725</v>
      </c>
      <c r="C6357" s="3" t="str">
        <f>HYPERLINK("http://www.ncbi.nlm.nih.gov/protein/61806725","Ric8b")</f>
        <v>Ric8b</v>
      </c>
      <c r="E6357" t="str">
        <f>HYPERLINK("J:\Depot - mpkCCD Fractions\Main Web Page\Web Pages_old\proteomic_fractions_linear_files/Yang_linear_img/61806725.jpg","show blot")</f>
        <v>show blot</v>
      </c>
      <c r="G6357" t="s">
        <v>6138</v>
      </c>
      <c r="I6357" s="6">
        <v>3.2262757426038537</v>
      </c>
      <c r="K6357" s="8"/>
    </row>
    <row r="6358" spans="1:11" ht="15" x14ac:dyDescent="0.25">
      <c r="A6358" s="3" t="str">
        <f>HYPERLINK("proteomic_fractions_linear_files/Yang_linear_img/168480120.jpg", "168480120")</f>
        <v>168480120</v>
      </c>
      <c r="C6358" s="3" t="str">
        <f>HYPERLINK("http://www.ncbi.nlm.nih.gov/protein/168480120","Rictor")</f>
        <v>Rictor</v>
      </c>
      <c r="E6358" t="str">
        <f>HYPERLINK("J:\Depot - mpkCCD Fractions\Main Web Page\Web Pages_old\proteomic_fractions_linear_files/Yang_linear_img/168480120.jpg","show blot")</f>
        <v>show blot</v>
      </c>
      <c r="G6358" t="s">
        <v>6139</v>
      </c>
      <c r="I6358" s="6">
        <v>2.8804464908432061</v>
      </c>
      <c r="K6358" s="8"/>
    </row>
    <row r="6359" spans="1:11" ht="15" x14ac:dyDescent="0.25">
      <c r="A6359" s="3" t="str">
        <f>HYPERLINK("proteomic_fractions_linear_files/Yang_linear_img/71480154.jpg", "71480154")</f>
        <v>71480154</v>
      </c>
      <c r="C6359" s="3" t="str">
        <f>HYPERLINK("http://www.ncbi.nlm.nih.gov/protein/71480154","Rilp")</f>
        <v>Rilp</v>
      </c>
      <c r="E6359" t="str">
        <f>HYPERLINK("J:\Depot - mpkCCD Fractions\Main Web Page\Web Pages_old\proteomic_fractions_linear_files/Yang_linear_img/71480154.jpg","show blot")</f>
        <v>show blot</v>
      </c>
      <c r="G6359" t="s">
        <v>6140</v>
      </c>
      <c r="I6359" s="6">
        <v>3.986991721268585</v>
      </c>
      <c r="K6359" s="8"/>
    </row>
    <row r="6360" spans="1:11" ht="15" x14ac:dyDescent="0.25">
      <c r="A6360" s="3" t="str">
        <f>HYPERLINK("proteomic_fractions_linear_files/Yang_linear_img/10946796.jpg", "10946796")</f>
        <v>10946796</v>
      </c>
      <c r="C6360" s="3" t="str">
        <f>HYPERLINK("http://www.ncbi.nlm.nih.gov/protein/10946796","Rilpl1")</f>
        <v>Rilpl1</v>
      </c>
      <c r="E6360" t="str">
        <f>HYPERLINK("J:\Depot - mpkCCD Fractions\Main Web Page\Web Pages_old\proteomic_fractions_linear_files/Yang_linear_img/10946796.jpg","show blot")</f>
        <v>show blot</v>
      </c>
      <c r="G6360" t="s">
        <v>6141</v>
      </c>
      <c r="I6360" s="6">
        <v>4.1462535716309272</v>
      </c>
      <c r="K6360" s="8"/>
    </row>
    <row r="6361" spans="1:11" ht="15" x14ac:dyDescent="0.25">
      <c r="A6361" s="3" t="str">
        <f>HYPERLINK("proteomic_fractions_linear_files/Yang_linear_img/21703974.jpg", "21703974")</f>
        <v>21703974</v>
      </c>
      <c r="C6361" s="3" t="str">
        <f>HYPERLINK("http://www.ncbi.nlm.nih.gov/protein/21703974","Rin1")</f>
        <v>Rin1</v>
      </c>
      <c r="E6361" t="str">
        <f>HYPERLINK("J:\Depot - mpkCCD Fractions\Main Web Page\Web Pages_old\proteomic_fractions_linear_files/Yang_linear_img/21703974.jpg","show blot")</f>
        <v>show blot</v>
      </c>
      <c r="G6361" t="s">
        <v>6142</v>
      </c>
      <c r="I6361" s="6">
        <v>3.6051963904026674</v>
      </c>
      <c r="K6361" s="8"/>
    </row>
    <row r="6362" spans="1:11" ht="15" x14ac:dyDescent="0.25">
      <c r="A6362" s="3" t="str">
        <f>HYPERLINK("proteomic_fractions_linear_files/Yang_linear_img/224967114.jpg", "224967114")</f>
        <v>224967114</v>
      </c>
      <c r="C6362" s="3" t="str">
        <f>HYPERLINK("http://www.ncbi.nlm.nih.gov/protein/224967114","Rin2")</f>
        <v>Rin2</v>
      </c>
      <c r="E6362" t="str">
        <f>HYPERLINK("J:\Depot - mpkCCD Fractions\Main Web Page\Web Pages_old\proteomic_fractions_linear_files/Yang_linear_img/224967114.jpg","show blot")</f>
        <v>show blot</v>
      </c>
      <c r="G6362" t="s">
        <v>6143</v>
      </c>
      <c r="I6362" s="6">
        <v>2.0983552538822372</v>
      </c>
      <c r="K6362" s="8"/>
    </row>
    <row r="6363" spans="1:11" ht="15" x14ac:dyDescent="0.25">
      <c r="A6363" s="3" t="str">
        <f>HYPERLINK("proteomic_fractions_linear_files/Yang_linear_img/238624151.jpg", "238624151")</f>
        <v>238624151</v>
      </c>
      <c r="C6363" s="3" t="str">
        <f>HYPERLINK("http://www.ncbi.nlm.nih.gov/protein/238624151","Rin3")</f>
        <v>Rin3</v>
      </c>
      <c r="E6363" t="str">
        <f>HYPERLINK("J:\Depot - mpkCCD Fractions\Main Web Page\Web Pages_old\proteomic_fractions_linear_files/Yang_linear_img/238624151.jpg","show blot")</f>
        <v>show blot</v>
      </c>
      <c r="G6363" t="s">
        <v>6144</v>
      </c>
      <c r="I6363" s="6">
        <v>3.1461216796172562</v>
      </c>
      <c r="K6363" s="8"/>
    </row>
    <row r="6364" spans="1:11" ht="15" x14ac:dyDescent="0.25">
      <c r="A6364" s="3" t="str">
        <f>HYPERLINK("proteomic_fractions_linear_files/Yang_linear_img/238624153.jpg", "238624153")</f>
        <v>238624153</v>
      </c>
      <c r="C6364" s="3" t="str">
        <f>HYPERLINK("http://www.ncbi.nlm.nih.gov/protein/238624153","Rin3")</f>
        <v>Rin3</v>
      </c>
      <c r="E6364" t="str">
        <f>HYPERLINK("J:\Depot - mpkCCD Fractions\Main Web Page\Web Pages_old\proteomic_fractions_linear_files/Yang_linear_img/238624153.jpg","show blot")</f>
        <v>show blot</v>
      </c>
      <c r="G6364" t="s">
        <v>6145</v>
      </c>
      <c r="I6364" s="6">
        <v>3.1461216796172562</v>
      </c>
      <c r="K6364" s="8"/>
    </row>
    <row r="6365" spans="1:11" ht="15" x14ac:dyDescent="0.25">
      <c r="A6365" s="3" t="str">
        <f>HYPERLINK("proteomic_fractions_linear_files/Yang_linear_img/226958428.jpg", "226958428")</f>
        <v>226958428</v>
      </c>
      <c r="C6365" s="3" t="str">
        <f>HYPERLINK("http://www.ncbi.nlm.nih.gov/protein/226958428","Ring1")</f>
        <v>Ring1</v>
      </c>
      <c r="E6365" t="str">
        <f>HYPERLINK("J:\Depot - mpkCCD Fractions\Main Web Page\Web Pages_old\proteomic_fractions_linear_files/Yang_linear_img/226958428.jpg","show blot")</f>
        <v>show blot</v>
      </c>
      <c r="G6365" t="s">
        <v>6146</v>
      </c>
      <c r="I6365" s="6">
        <v>3.1277290084209413</v>
      </c>
      <c r="K6365" s="8"/>
    </row>
    <row r="6366" spans="1:11" ht="15" x14ac:dyDescent="0.25">
      <c r="A6366" s="3" t="str">
        <f>HYPERLINK("proteomic_fractions_linear_files/Yang_linear_img/62899067.jpg", "62899067")</f>
        <v>62899067</v>
      </c>
      <c r="C6366" s="3" t="str">
        <f>HYPERLINK("http://www.ncbi.nlm.nih.gov/protein/62899067","Rint1")</f>
        <v>Rint1</v>
      </c>
      <c r="E6366" t="str">
        <f>HYPERLINK("J:\Depot - mpkCCD Fractions\Main Web Page\Web Pages_old\proteomic_fractions_linear_files/Yang_linear_img/62899067.jpg","show blot")</f>
        <v>show blot</v>
      </c>
      <c r="G6366" t="s">
        <v>6147</v>
      </c>
      <c r="I6366" s="6">
        <v>2.9897068376029368</v>
      </c>
      <c r="K6366" s="8"/>
    </row>
    <row r="6367" spans="1:11" ht="15" x14ac:dyDescent="0.25">
      <c r="A6367" s="3" t="str">
        <f>HYPERLINK("proteomic_fractions_linear_files/Yang_linear_img/22208995.jpg", "22208995")</f>
        <v>22208995</v>
      </c>
      <c r="C6367" s="3" t="str">
        <f>HYPERLINK("http://www.ncbi.nlm.nih.gov/protein/22208995","Riok1")</f>
        <v>Riok1</v>
      </c>
      <c r="E6367" t="str">
        <f>HYPERLINK("J:\Depot - mpkCCD Fractions\Main Web Page\Web Pages_old\proteomic_fractions_linear_files/Yang_linear_img/22208995.jpg","show blot")</f>
        <v>show blot</v>
      </c>
      <c r="G6367" t="s">
        <v>6148</v>
      </c>
      <c r="I6367" s="6">
        <v>3.6255499903649562</v>
      </c>
      <c r="K6367" s="8"/>
    </row>
    <row r="6368" spans="1:11" ht="15" x14ac:dyDescent="0.25">
      <c r="A6368" s="3" t="str">
        <f>HYPERLINK("proteomic_fractions_linear_files/Yang_linear_img/34328467.jpg", "34328467")</f>
        <v>34328467</v>
      </c>
      <c r="C6368" s="3" t="str">
        <f>HYPERLINK("http://www.ncbi.nlm.nih.gov/protein/34328467","Ripk1")</f>
        <v>Ripk1</v>
      </c>
      <c r="E6368" t="str">
        <f>HYPERLINK("J:\Depot - mpkCCD Fractions\Main Web Page\Web Pages_old\proteomic_fractions_linear_files/Yang_linear_img/34328467.jpg","show blot")</f>
        <v>show blot</v>
      </c>
      <c r="G6368" t="s">
        <v>6149</v>
      </c>
      <c r="I6368" s="6">
        <v>3.166905285540548</v>
      </c>
      <c r="K6368" s="8"/>
    </row>
    <row r="6369" spans="1:11" ht="15" x14ac:dyDescent="0.25">
      <c r="A6369" s="3" t="str">
        <f>HYPERLINK("proteomic_fractions_linear_files/Yang_linear_img/31560255.jpg", "31560255")</f>
        <v>31560255</v>
      </c>
      <c r="C6369" s="3" t="str">
        <f>HYPERLINK("http://www.ncbi.nlm.nih.gov/protein/31560255","Rmdn1")</f>
        <v>Rmdn1</v>
      </c>
      <c r="E6369" t="str">
        <f>HYPERLINK("J:\Depot - mpkCCD Fractions\Main Web Page\Web Pages_old\proteomic_fractions_linear_files/Yang_linear_img/31560255.jpg","show blot")</f>
        <v>show blot</v>
      </c>
      <c r="G6369" t="s">
        <v>6150</v>
      </c>
      <c r="I6369" s="6">
        <v>3.69409358578489</v>
      </c>
      <c r="K6369" s="8"/>
    </row>
    <row r="6370" spans="1:11" ht="15" x14ac:dyDescent="0.25">
      <c r="A6370" s="3" t="str">
        <f>HYPERLINK("proteomic_fractions_linear_files/Yang_linear_img/41235741.jpg", "41235741")</f>
        <v>41235741</v>
      </c>
      <c r="C6370" s="3" t="str">
        <f>HYPERLINK("http://www.ncbi.nlm.nih.gov/protein/41235741","Rmdn2")</f>
        <v>Rmdn2</v>
      </c>
      <c r="E6370" t="str">
        <f>HYPERLINK("J:\Depot - mpkCCD Fractions\Main Web Page\Web Pages_old\proteomic_fractions_linear_files/Yang_linear_img/41235741.jpg","show blot")</f>
        <v>show blot</v>
      </c>
      <c r="G6370" t="s">
        <v>6151</v>
      </c>
      <c r="I6370" s="6">
        <v>2.6985632403486064</v>
      </c>
      <c r="K6370" s="8"/>
    </row>
    <row r="6371" spans="1:11" ht="15" x14ac:dyDescent="0.25">
      <c r="A6371" s="3" t="str">
        <f>HYPERLINK("proteomic_fractions_linear_files/Yang_linear_img/85701644.jpg", "85701644")</f>
        <v>85701644</v>
      </c>
      <c r="C6371" s="3" t="str">
        <f>HYPERLINK("http://www.ncbi.nlm.nih.gov/protein/85701644","Rmdn3")</f>
        <v>Rmdn3</v>
      </c>
      <c r="E6371" t="str">
        <f>HYPERLINK("J:\Depot - mpkCCD Fractions\Main Web Page\Web Pages_old\proteomic_fractions_linear_files/Yang_linear_img/85701644.jpg","show blot")</f>
        <v>show blot</v>
      </c>
      <c r="G6371" t="s">
        <v>6152</v>
      </c>
      <c r="I6371" s="6">
        <v>3.652452140057437</v>
      </c>
      <c r="K6371" s="8"/>
    </row>
    <row r="6372" spans="1:11" ht="15" x14ac:dyDescent="0.25">
      <c r="A6372" s="3" t="str">
        <f>HYPERLINK("proteomic_fractions_linear_files/Yang_linear_img/267844815.jpg", "267844815")</f>
        <v>267844815</v>
      </c>
      <c r="C6372" s="3" t="str">
        <f>HYPERLINK("http://www.ncbi.nlm.nih.gov/protein/267844815","Rmnd5a")</f>
        <v>Rmnd5a</v>
      </c>
      <c r="E6372" t="str">
        <f>HYPERLINK("J:\Depot - mpkCCD Fractions\Main Web Page\Web Pages_old\proteomic_fractions_linear_files/Yang_linear_img/267844815.jpg","show blot")</f>
        <v>show blot</v>
      </c>
      <c r="G6372" t="s">
        <v>6153</v>
      </c>
      <c r="I6372" s="6">
        <v>4.5722728837843585</v>
      </c>
      <c r="K6372" s="8"/>
    </row>
    <row r="6373" spans="1:11" ht="15" x14ac:dyDescent="0.25">
      <c r="A6373" s="3" t="str">
        <f>HYPERLINK("proteomic_fractions_linear_files/Yang_linear_img/226246542.jpg", "226246542")</f>
        <v>226246542</v>
      </c>
      <c r="C6373" s="3" t="str">
        <f>HYPERLINK("http://www.ncbi.nlm.nih.gov/protein/226246542","Rnaseh1")</f>
        <v>Rnaseh1</v>
      </c>
      <c r="E6373" t="str">
        <f>HYPERLINK("J:\Depot - mpkCCD Fractions\Main Web Page\Web Pages_old\proteomic_fractions_linear_files/Yang_linear_img/226246542.jpg","show blot")</f>
        <v>show blot</v>
      </c>
      <c r="G6373" t="s">
        <v>6154</v>
      </c>
      <c r="I6373" s="6">
        <v>4.0595754939904429</v>
      </c>
      <c r="K6373" s="8"/>
    </row>
    <row r="6374" spans="1:11" ht="15" x14ac:dyDescent="0.25">
      <c r="A6374" s="3" t="str">
        <f>HYPERLINK("proteomic_fractions_linear_files/Yang_linear_img/58037175.jpg", "58037175")</f>
        <v>58037175</v>
      </c>
      <c r="C6374" s="3" t="str">
        <f>HYPERLINK("http://www.ncbi.nlm.nih.gov/protein/58037175","Rnaseh2a")</f>
        <v>Rnaseh2a</v>
      </c>
      <c r="E6374" t="str">
        <f>HYPERLINK("J:\Depot - mpkCCD Fractions\Main Web Page\Web Pages_old\proteomic_fractions_linear_files/Yang_linear_img/58037175.jpg","show blot")</f>
        <v>show blot</v>
      </c>
      <c r="G6374" t="s">
        <v>6155</v>
      </c>
      <c r="I6374" s="6">
        <v>3.8066443996380488</v>
      </c>
      <c r="K6374" s="8"/>
    </row>
    <row r="6375" spans="1:11" ht="15" x14ac:dyDescent="0.25">
      <c r="A6375" s="3" t="str">
        <f>HYPERLINK("proteomic_fractions_linear_files/Yang_linear_img/58037097.jpg", "58037097")</f>
        <v>58037097</v>
      </c>
      <c r="C6375" s="3" t="str">
        <f>HYPERLINK("http://www.ncbi.nlm.nih.gov/protein/58037097","Rnaseh2b")</f>
        <v>Rnaseh2b</v>
      </c>
      <c r="E6375" t="str">
        <f>HYPERLINK("J:\Depot - mpkCCD Fractions\Main Web Page\Web Pages_old\proteomic_fractions_linear_files/Yang_linear_img/58037097.jpg","show blot")</f>
        <v>show blot</v>
      </c>
      <c r="G6375" t="s">
        <v>6156</v>
      </c>
      <c r="I6375" s="6">
        <v>5.2795910674483197</v>
      </c>
      <c r="K6375" s="8"/>
    </row>
    <row r="6376" spans="1:11" ht="15" x14ac:dyDescent="0.25">
      <c r="A6376" s="3" t="str">
        <f>HYPERLINK("proteomic_fractions_linear_files/Yang_linear_img/13386102.jpg", "13386102")</f>
        <v>13386102</v>
      </c>
      <c r="C6376" s="3" t="str">
        <f>HYPERLINK("http://www.ncbi.nlm.nih.gov/protein/13386102","Rnaseh2c")</f>
        <v>Rnaseh2c</v>
      </c>
      <c r="E6376" t="str">
        <f>HYPERLINK("J:\Depot - mpkCCD Fractions\Main Web Page\Web Pages_old\proteomic_fractions_linear_files/Yang_linear_img/13386102.jpg","show blot")</f>
        <v>show blot</v>
      </c>
      <c r="G6376" t="s">
        <v>6157</v>
      </c>
      <c r="I6376" s="6">
        <v>4.6813228423895783</v>
      </c>
      <c r="K6376" s="8"/>
    </row>
    <row r="6377" spans="1:11" ht="15" x14ac:dyDescent="0.25">
      <c r="A6377" s="3" t="str">
        <f>HYPERLINK("proteomic_fractions_linear_files/Yang_linear_img/33239393.jpg", "33239393")</f>
        <v>33239393</v>
      </c>
      <c r="C6377" s="3" t="str">
        <f>HYPERLINK("http://www.ncbi.nlm.nih.gov/protein/33239393","Rnasek")</f>
        <v>Rnasek</v>
      </c>
      <c r="E6377" t="str">
        <f>HYPERLINK("J:\Depot - mpkCCD Fractions\Main Web Page\Web Pages_old\proteomic_fractions_linear_files/Yang_linear_img/33239393.jpg","show blot")</f>
        <v>show blot</v>
      </c>
      <c r="G6377" t="s">
        <v>6158</v>
      </c>
      <c r="I6377" s="6">
        <v>4.418728140999769</v>
      </c>
      <c r="K6377" s="8"/>
    </row>
    <row r="6378" spans="1:11" ht="15" x14ac:dyDescent="0.25">
      <c r="A6378" s="3" t="str">
        <f>HYPERLINK("proteomic_fractions_linear_files/Yang_linear_img/21311883.jpg", "21311883")</f>
        <v>21311883</v>
      </c>
      <c r="C6378" s="3" t="str">
        <f>HYPERLINK("http://www.ncbi.nlm.nih.gov/protein/21311883","Rnaset2b")</f>
        <v>Rnaset2b</v>
      </c>
      <c r="E6378" t="str">
        <f>HYPERLINK("J:\Depot - mpkCCD Fractions\Main Web Page\Web Pages_old\proteomic_fractions_linear_files/Yang_linear_img/21311883.jpg","show blot")</f>
        <v>show blot</v>
      </c>
      <c r="G6378" t="s">
        <v>6159</v>
      </c>
      <c r="I6378" s="6">
        <v>4.847454877216629</v>
      </c>
      <c r="K6378" s="8"/>
    </row>
    <row r="6379" spans="1:11" ht="15" x14ac:dyDescent="0.25">
      <c r="A6379" s="3" t="str">
        <f>HYPERLINK("proteomic_fractions_linear_files/Yang_linear_img/7305435.jpg", "7305435")</f>
        <v>7305435</v>
      </c>
      <c r="C6379" s="3" t="str">
        <f>HYPERLINK("http://www.ncbi.nlm.nih.gov/protein/7305435","Rnf11")</f>
        <v>Rnf11</v>
      </c>
      <c r="E6379" t="str">
        <f>HYPERLINK("J:\Depot - mpkCCD Fractions\Main Web Page\Web Pages_old\proteomic_fractions_linear_files/Yang_linear_img/7305435.jpg","show blot")</f>
        <v>show blot</v>
      </c>
      <c r="G6379" t="s">
        <v>6160</v>
      </c>
      <c r="I6379" s="6">
        <v>3.05600099779552</v>
      </c>
      <c r="K6379" s="8"/>
    </row>
    <row r="6380" spans="1:11" ht="15" x14ac:dyDescent="0.25">
      <c r="A6380" s="3" t="str">
        <f>HYPERLINK("proteomic_fractions_linear_files/Yang_linear_img/20127402.jpg", "20127402")</f>
        <v>20127402</v>
      </c>
      <c r="C6380" s="3" t="str">
        <f>HYPERLINK("http://www.ncbi.nlm.nih.gov/protein/20127402","Rnf112")</f>
        <v>Rnf112</v>
      </c>
      <c r="E6380" t="str">
        <f>HYPERLINK("J:\Depot - mpkCCD Fractions\Main Web Page\Web Pages_old\proteomic_fractions_linear_files/Yang_linear_img/20127402.jpg","show blot")</f>
        <v>show blot</v>
      </c>
      <c r="G6380" t="s">
        <v>6161</v>
      </c>
      <c r="I6380" s="6">
        <v>3.2379683099646481</v>
      </c>
      <c r="K6380" s="8"/>
    </row>
    <row r="6381" spans="1:11" ht="15" x14ac:dyDescent="0.25">
      <c r="A6381" s="3" t="str">
        <f>HYPERLINK("proteomic_fractions_linear_files/Yang_linear_img/23943840.jpg", "23943840")</f>
        <v>23943840</v>
      </c>
      <c r="C6381" s="3" t="str">
        <f>HYPERLINK("http://www.ncbi.nlm.nih.gov/protein/23943840","Rnf113a1")</f>
        <v>Rnf113a1</v>
      </c>
      <c r="E6381" t="str">
        <f>HYPERLINK("J:\Depot - mpkCCD Fractions\Main Web Page\Web Pages_old\proteomic_fractions_linear_files/Yang_linear_img/23943840.jpg","show blot")</f>
        <v>show blot</v>
      </c>
      <c r="G6381" t="s">
        <v>6162</v>
      </c>
      <c r="I6381" s="6">
        <v>3.4792162916142182</v>
      </c>
      <c r="K6381" s="8"/>
    </row>
    <row r="6382" spans="1:11" ht="15" x14ac:dyDescent="0.25">
      <c r="A6382" s="3" t="str">
        <f>HYPERLINK("proteomic_fractions_linear_files/Yang_linear_img/88759341.jpg", "88759341")</f>
        <v>88759341</v>
      </c>
      <c r="C6382" s="3" t="str">
        <f>HYPERLINK("http://www.ncbi.nlm.nih.gov/protein/88759341","Rnf113a2")</f>
        <v>Rnf113a2</v>
      </c>
      <c r="E6382" t="str">
        <f>HYPERLINK("J:\Depot - mpkCCD Fractions\Main Web Page\Web Pages_old\proteomic_fractions_linear_files/Yang_linear_img/88759341.jpg","show blot")</f>
        <v>show blot</v>
      </c>
      <c r="G6382" t="s">
        <v>6163</v>
      </c>
      <c r="I6382" s="6">
        <v>4.9194591383767641</v>
      </c>
      <c r="K6382" s="8"/>
    </row>
    <row r="6383" spans="1:11" ht="15" x14ac:dyDescent="0.25">
      <c r="A6383" s="3" t="str">
        <f>HYPERLINK("proteomic_fractions_linear_files/Yang_linear_img/27229275.jpg", "27229275")</f>
        <v>27229275</v>
      </c>
      <c r="C6383" s="3" t="str">
        <f>HYPERLINK("http://www.ncbi.nlm.nih.gov/protein/27229275","Rnf114")</f>
        <v>Rnf114</v>
      </c>
      <c r="E6383" t="str">
        <f>HYPERLINK("J:\Depot - mpkCCD Fractions\Main Web Page\Web Pages_old\proteomic_fractions_linear_files/Yang_linear_img/27229275.jpg","show blot")</f>
        <v>show blot</v>
      </c>
      <c r="G6383" t="s">
        <v>6164</v>
      </c>
      <c r="I6383" s="6">
        <v>5.3789087919806962</v>
      </c>
      <c r="K6383" s="8"/>
    </row>
    <row r="6384" spans="1:11" ht="15" x14ac:dyDescent="0.25">
      <c r="A6384" s="3" t="str">
        <f>HYPERLINK("proteomic_fractions_linear_files/Yang_linear_img/70778932.jpg", "70778932")</f>
        <v>70778932</v>
      </c>
      <c r="C6384" s="3" t="str">
        <f>HYPERLINK("http://www.ncbi.nlm.nih.gov/protein/70778932","Rnf121")</f>
        <v>Rnf121</v>
      </c>
      <c r="E6384" t="str">
        <f>HYPERLINK("J:\Depot - mpkCCD Fractions\Main Web Page\Web Pages_old\proteomic_fractions_linear_files/Yang_linear_img/70778932.jpg","show blot")</f>
        <v>show blot</v>
      </c>
      <c r="G6384" t="s">
        <v>6165</v>
      </c>
      <c r="I6384" s="6">
        <v>2.5715869272551335</v>
      </c>
      <c r="K6384" s="8"/>
    </row>
    <row r="6385" spans="1:11" ht="15" x14ac:dyDescent="0.25">
      <c r="A6385" s="3" t="str">
        <f>HYPERLINK("proteomic_fractions_linear_files/Yang_linear_img/21362321.jpg", "21362321")</f>
        <v>21362321</v>
      </c>
      <c r="C6385" s="3" t="str">
        <f>HYPERLINK("http://www.ncbi.nlm.nih.gov/protein/21362321","Rnf126")</f>
        <v>Rnf126</v>
      </c>
      <c r="E6385" t="str">
        <f>HYPERLINK("J:\Depot - mpkCCD Fractions\Main Web Page\Web Pages_old\proteomic_fractions_linear_files/Yang_linear_img/21362321.jpg","show blot")</f>
        <v>show blot</v>
      </c>
      <c r="G6385" t="s">
        <v>6166</v>
      </c>
      <c r="I6385" s="6">
        <v>3.7200026464326239</v>
      </c>
      <c r="K6385" s="8"/>
    </row>
    <row r="6386" spans="1:11" ht="15" x14ac:dyDescent="0.25">
      <c r="A6386" s="3" t="str">
        <f>HYPERLINK("proteomic_fractions_linear_files/Yang_linear_img/31981195.jpg", "31981195")</f>
        <v>31981195</v>
      </c>
      <c r="C6386" s="3" t="str">
        <f>HYPERLINK("http://www.ncbi.nlm.nih.gov/protein/31981195","Rnf130")</f>
        <v>Rnf130</v>
      </c>
      <c r="E6386" t="str">
        <f>HYPERLINK("J:\Depot - mpkCCD Fractions\Main Web Page\Web Pages_old\proteomic_fractions_linear_files/Yang_linear_img/31981195.jpg","show blot")</f>
        <v>show blot</v>
      </c>
      <c r="G6386" t="s">
        <v>6167</v>
      </c>
      <c r="I6386" s="6">
        <v>5.0294201695286045</v>
      </c>
      <c r="K6386" s="8"/>
    </row>
    <row r="6387" spans="1:11" ht="15" x14ac:dyDescent="0.25">
      <c r="A6387" s="3" t="str">
        <f>HYPERLINK("proteomic_fractions_linear_files/Yang_linear_img/46488939.jpg", "46488939")</f>
        <v>46488939</v>
      </c>
      <c r="C6387" s="3" t="str">
        <f>HYPERLINK("http://www.ncbi.nlm.nih.gov/protein/46488939","Rnf138")</f>
        <v>Rnf138</v>
      </c>
      <c r="E6387" t="str">
        <f>HYPERLINK("J:\Depot - mpkCCD Fractions\Main Web Page\Web Pages_old\proteomic_fractions_linear_files/Yang_linear_img/46488939.jpg","show blot")</f>
        <v>show blot</v>
      </c>
      <c r="G6387" t="s">
        <v>6168</v>
      </c>
      <c r="I6387" s="6">
        <v>3.041966548932248</v>
      </c>
      <c r="K6387" s="8"/>
    </row>
    <row r="6388" spans="1:11" ht="15" x14ac:dyDescent="0.25">
      <c r="A6388" s="3" t="str">
        <f>HYPERLINK("proteomic_fractions_linear_files/Yang_linear_img/46488941.jpg", "46488941")</f>
        <v>46488941</v>
      </c>
      <c r="C6388" s="3" t="str">
        <f>HYPERLINK("http://www.ncbi.nlm.nih.gov/protein/46488941","Rnf138")</f>
        <v>Rnf138</v>
      </c>
      <c r="E6388" t="str">
        <f>HYPERLINK("J:\Depot - mpkCCD Fractions\Main Web Page\Web Pages_old\proteomic_fractions_linear_files/Yang_linear_img/46488941.jpg","show blot")</f>
        <v>show blot</v>
      </c>
      <c r="G6388" t="s">
        <v>6169</v>
      </c>
      <c r="I6388" s="6">
        <v>3.041966548932248</v>
      </c>
      <c r="K6388" s="8"/>
    </row>
    <row r="6389" spans="1:11" ht="15" x14ac:dyDescent="0.25">
      <c r="A6389" s="3" t="str">
        <f>HYPERLINK("proteomic_fractions_linear_files/Yang_linear_img/257471032.jpg", "257471032")</f>
        <v>257471032</v>
      </c>
      <c r="C6389" s="3" t="str">
        <f>HYPERLINK("http://www.ncbi.nlm.nih.gov/protein/257471032","Rnf14")</f>
        <v>Rnf14</v>
      </c>
      <c r="E6389" t="str">
        <f>HYPERLINK("J:\Depot - mpkCCD Fractions\Main Web Page\Web Pages_old\proteomic_fractions_linear_files/Yang_linear_img/257471032.jpg","show blot")</f>
        <v>show blot</v>
      </c>
      <c r="G6389" t="s">
        <v>6170</v>
      </c>
      <c r="I6389" s="6">
        <v>3.4122949825306019</v>
      </c>
      <c r="K6389" s="8"/>
    </row>
    <row r="6390" spans="1:11" ht="15" x14ac:dyDescent="0.25">
      <c r="A6390" s="3" t="str">
        <f>HYPERLINK("proteomic_fractions_linear_files/Yang_linear_img/255003680.jpg", "255003680")</f>
        <v>255003680</v>
      </c>
      <c r="C6390" s="3" t="str">
        <f>HYPERLINK("http://www.ncbi.nlm.nih.gov/protein/255003680","Rnf157")</f>
        <v>Rnf157</v>
      </c>
      <c r="E6390" t="str">
        <f>HYPERLINK("J:\Depot - mpkCCD Fractions\Main Web Page\Web Pages_old\proteomic_fractions_linear_files/Yang_linear_img/255003680.jpg","show blot")</f>
        <v>show blot</v>
      </c>
      <c r="G6390" t="s">
        <v>6171</v>
      </c>
      <c r="I6390" s="6">
        <v>3.7578707161125657</v>
      </c>
      <c r="K6390" s="8"/>
    </row>
    <row r="6391" spans="1:11" ht="15" x14ac:dyDescent="0.25">
      <c r="A6391" s="3" t="str">
        <f>HYPERLINK("proteomic_fractions_linear_files/Yang_linear_img/47059206.jpg", "47059206")</f>
        <v>47059206</v>
      </c>
      <c r="C6391" s="3" t="str">
        <f>HYPERLINK("http://www.ncbi.nlm.nih.gov/protein/47059206","Rnf181")</f>
        <v>Rnf181</v>
      </c>
      <c r="E6391" t="str">
        <f>HYPERLINK("J:\Depot - mpkCCD Fractions\Main Web Page\Web Pages_old\proteomic_fractions_linear_files/Yang_linear_img/47059206.jpg","show blot")</f>
        <v>show blot</v>
      </c>
      <c r="G6391" t="s">
        <v>6172</v>
      </c>
      <c r="I6391" s="6">
        <v>4.0323377846735342</v>
      </c>
      <c r="K6391" s="8"/>
    </row>
    <row r="6392" spans="1:11" ht="15" x14ac:dyDescent="0.25">
      <c r="A6392" s="3" t="str">
        <f>HYPERLINK("proteomic_fractions_linear_files/Yang_linear_img/33563274.jpg", "33563274")</f>
        <v>33563274</v>
      </c>
      <c r="C6392" s="3" t="str">
        <f>HYPERLINK("http://www.ncbi.nlm.nih.gov/protein/33563274","Rnf2")</f>
        <v>Rnf2</v>
      </c>
      <c r="E6392" t="str">
        <f>HYPERLINK("J:\Depot - mpkCCD Fractions\Main Web Page\Web Pages_old\proteomic_fractions_linear_files/Yang_linear_img/33563274.jpg","show blot")</f>
        <v>show blot</v>
      </c>
      <c r="G6392" t="s">
        <v>6173</v>
      </c>
      <c r="I6392" s="6">
        <v>3.4700172749348055</v>
      </c>
      <c r="K6392" s="8"/>
    </row>
    <row r="6393" spans="1:11" ht="15" x14ac:dyDescent="0.25">
      <c r="A6393" s="3" t="str">
        <f>HYPERLINK("proteomic_fractions_linear_files/Yang_linear_img/33859829.jpg", "33859829")</f>
        <v>33859829</v>
      </c>
      <c r="C6393" s="3" t="str">
        <f>HYPERLINK("http://www.ncbi.nlm.nih.gov/protein/33859829","Rnf20")</f>
        <v>Rnf20</v>
      </c>
      <c r="E6393" t="str">
        <f>HYPERLINK("J:\Depot - mpkCCD Fractions\Main Web Page\Web Pages_old\proteomic_fractions_linear_files/Yang_linear_img/33859829.jpg","show blot")</f>
        <v>show blot</v>
      </c>
      <c r="G6393" t="s">
        <v>6174</v>
      </c>
      <c r="I6393" s="6">
        <v>4.1678107134099367</v>
      </c>
      <c r="K6393" s="8"/>
    </row>
    <row r="6394" spans="1:11" ht="15" x14ac:dyDescent="0.25">
      <c r="A6394" s="3" t="str">
        <f>HYPERLINK("proteomic_fractions_linear_files/Yang_linear_img/309262466.jpg", "309262466")</f>
        <v>309262466</v>
      </c>
      <c r="C6394" s="3" t="str">
        <f>HYPERLINK("http://www.ncbi.nlm.nih.gov/protein/309262466","Rnf213")</f>
        <v>Rnf213</v>
      </c>
      <c r="E6394" t="str">
        <f>HYPERLINK("J:\Depot - mpkCCD Fractions\Main Web Page\Web Pages_old\proteomic_fractions_linear_files/Yang_linear_img/309262466.jpg","show blot")</f>
        <v>show blot</v>
      </c>
      <c r="G6394" t="s">
        <v>6175</v>
      </c>
      <c r="I6394" s="6">
        <v>5.0252551756059765</v>
      </c>
      <c r="K6394" s="8"/>
    </row>
    <row r="6395" spans="1:11" ht="15" x14ac:dyDescent="0.25">
      <c r="A6395" s="3" t="str">
        <f>HYPERLINK("proteomic_fractions_linear_files/Yang_linear_img/30520119.jpg", "30520119")</f>
        <v>30520119</v>
      </c>
      <c r="C6395" s="3" t="str">
        <f>HYPERLINK("http://www.ncbi.nlm.nih.gov/protein/30520119","Rnf214")</f>
        <v>Rnf214</v>
      </c>
      <c r="E6395" t="str">
        <f>HYPERLINK("J:\Depot - mpkCCD Fractions\Main Web Page\Web Pages_old\proteomic_fractions_linear_files/Yang_linear_img/30520119.jpg","show blot")</f>
        <v>show blot</v>
      </c>
      <c r="G6395" t="s">
        <v>6176</v>
      </c>
      <c r="I6395" s="6">
        <v>4.0037796343882102</v>
      </c>
      <c r="K6395" s="8"/>
    </row>
    <row r="6396" spans="1:11" ht="15" x14ac:dyDescent="0.25">
      <c r="A6396" s="3" t="str">
        <f>HYPERLINK("proteomic_fractions_linear_files/Yang_linear_img/40254409.jpg", "40254409")</f>
        <v>40254409</v>
      </c>
      <c r="C6396" s="3" t="str">
        <f>HYPERLINK("http://www.ncbi.nlm.nih.gov/protein/40254409","Rnf31")</f>
        <v>Rnf31</v>
      </c>
      <c r="E6396" t="str">
        <f>HYPERLINK("J:\Depot - mpkCCD Fractions\Main Web Page\Web Pages_old\proteomic_fractions_linear_files/Yang_linear_img/40254409.jpg","show blot")</f>
        <v>show blot</v>
      </c>
      <c r="G6396" t="s">
        <v>6177</v>
      </c>
      <c r="I6396" s="6">
        <v>3.0456008335873421</v>
      </c>
      <c r="K6396" s="8"/>
    </row>
    <row r="6397" spans="1:11" ht="15" x14ac:dyDescent="0.25">
      <c r="A6397" s="3" t="str">
        <f>HYPERLINK("proteomic_fractions_linear_files/Yang_linear_img/229093990.jpg", "229093990")</f>
        <v>229093990</v>
      </c>
      <c r="C6397" s="3" t="str">
        <f>HYPERLINK("http://www.ncbi.nlm.nih.gov/protein/229093990","Rnf40")</f>
        <v>Rnf40</v>
      </c>
      <c r="E6397" t="str">
        <f>HYPERLINK("J:\Depot - mpkCCD Fractions\Main Web Page\Web Pages_old\proteomic_fractions_linear_files/Yang_linear_img/229093990.jpg","show blot")</f>
        <v>show blot</v>
      </c>
      <c r="G6397" t="s">
        <v>6178</v>
      </c>
      <c r="I6397" s="6">
        <v>3.8483845577162317</v>
      </c>
      <c r="K6397" s="8"/>
    </row>
    <row r="6398" spans="1:11" ht="15" x14ac:dyDescent="0.25">
      <c r="A6398" s="3" t="str">
        <f>HYPERLINK("proteomic_fractions_linear_files/Yang_linear_img/110625597.jpg", "110625597")</f>
        <v>110625597</v>
      </c>
      <c r="C6398" s="3" t="str">
        <f>HYPERLINK("http://www.ncbi.nlm.nih.gov/protein/110625597","Rnf7")</f>
        <v>Rnf7</v>
      </c>
      <c r="E6398" t="str">
        <f>HYPERLINK("J:\Depot - mpkCCD Fractions\Main Web Page\Web Pages_old\proteomic_fractions_linear_files/Yang_linear_img/110625597.jpg","show blot")</f>
        <v>show blot</v>
      </c>
      <c r="G6398" t="s">
        <v>6179</v>
      </c>
      <c r="I6398" s="6">
        <v>4.6672974326365742</v>
      </c>
      <c r="K6398" s="8"/>
    </row>
    <row r="6399" spans="1:11" ht="15" x14ac:dyDescent="0.25">
      <c r="A6399" s="3" t="str">
        <f>HYPERLINK("proteomic_fractions_linear_files/Yang_linear_img/158186608.jpg", "158186608")</f>
        <v>158186608</v>
      </c>
      <c r="C6399" s="3" t="str">
        <f>HYPERLINK("http://www.ncbi.nlm.nih.gov/protein/158186608","Rnft2")</f>
        <v>Rnft2</v>
      </c>
      <c r="E6399" t="str">
        <f>HYPERLINK("J:\Depot - mpkCCD Fractions\Main Web Page\Web Pages_old\proteomic_fractions_linear_files/Yang_linear_img/158186608.jpg","show blot")</f>
        <v>show blot</v>
      </c>
      <c r="G6399" t="s">
        <v>6180</v>
      </c>
      <c r="I6399" s="6">
        <v>4.8609729912348376</v>
      </c>
      <c r="K6399" s="8"/>
    </row>
    <row r="6400" spans="1:11" ht="15" x14ac:dyDescent="0.25">
      <c r="A6400" s="3" t="str">
        <f>HYPERLINK("proteomic_fractions_linear_files/Yang_linear_img/158186791.jpg", "158186791")</f>
        <v>158186791</v>
      </c>
      <c r="C6400" s="3" t="str">
        <f>HYPERLINK("http://www.ncbi.nlm.nih.gov/protein/158186791","Rnft2")</f>
        <v>Rnft2</v>
      </c>
      <c r="E6400" t="str">
        <f>HYPERLINK("J:\Depot - mpkCCD Fractions\Main Web Page\Web Pages_old\proteomic_fractions_linear_files/Yang_linear_img/158186791.jpg","show blot")</f>
        <v>show blot</v>
      </c>
      <c r="G6400" t="s">
        <v>6181</v>
      </c>
      <c r="I6400" s="6">
        <v>4.8609729912348376</v>
      </c>
      <c r="K6400" s="8"/>
    </row>
    <row r="6401" spans="1:11" ht="15" x14ac:dyDescent="0.25">
      <c r="A6401" s="3" t="str">
        <f>HYPERLINK("proteomic_fractions_linear_files/Yang_linear_img/6755342.jpg", "6755342")</f>
        <v>6755342</v>
      </c>
      <c r="C6401" s="3" t="str">
        <f>HYPERLINK("http://www.ncbi.nlm.nih.gov/protein/6755342","Rngtt")</f>
        <v>Rngtt</v>
      </c>
      <c r="E6401" t="str">
        <f>HYPERLINK("J:\Depot - mpkCCD Fractions\Main Web Page\Web Pages_old\proteomic_fractions_linear_files/Yang_linear_img/6755342.jpg","show blot")</f>
        <v>show blot</v>
      </c>
      <c r="G6401" t="s">
        <v>6182</v>
      </c>
      <c r="I6401" s="6">
        <v>1.5428073918485317</v>
      </c>
      <c r="K6401" s="8"/>
    </row>
    <row r="6402" spans="1:11" ht="15" x14ac:dyDescent="0.25">
      <c r="A6402" s="3" t="str">
        <f>HYPERLINK("proteomic_fractions_linear_files/Yang_linear_img/285402659.jpg", "285402659")</f>
        <v>285402659</v>
      </c>
      <c r="C6402" s="3" t="str">
        <f>HYPERLINK("http://www.ncbi.nlm.nih.gov/protein/285402659","Rnh1")</f>
        <v>Rnh1</v>
      </c>
      <c r="E6402" t="str">
        <f>HYPERLINK("J:\Depot - mpkCCD Fractions\Main Web Page\Web Pages_old\proteomic_fractions_linear_files/Yang_linear_img/285402659.jpg","show blot")</f>
        <v>show blot</v>
      </c>
      <c r="G6402" t="s">
        <v>6183</v>
      </c>
      <c r="I6402" s="6">
        <v>6.1223243113172634</v>
      </c>
      <c r="K6402" s="8"/>
    </row>
    <row r="6403" spans="1:11" ht="15" x14ac:dyDescent="0.25">
      <c r="A6403" s="3" t="str">
        <f>HYPERLINK("proteomic_fractions_linear_files/Yang_linear_img/31981748.jpg", "31981748")</f>
        <v>31981748</v>
      </c>
      <c r="C6403" s="3" t="str">
        <f>HYPERLINK("http://www.ncbi.nlm.nih.gov/protein/31981748","Rnh1")</f>
        <v>Rnh1</v>
      </c>
      <c r="E6403" t="str">
        <f>HYPERLINK("J:\Depot - mpkCCD Fractions\Main Web Page\Web Pages_old\proteomic_fractions_linear_files/Yang_linear_img/31981748.jpg","show blot")</f>
        <v>show blot</v>
      </c>
      <c r="G6403" t="s">
        <v>6184</v>
      </c>
      <c r="I6403" s="6">
        <v>6.1223243113172634</v>
      </c>
      <c r="K6403" s="8"/>
    </row>
    <row r="6404" spans="1:11" ht="15" x14ac:dyDescent="0.25">
      <c r="A6404" s="3" t="str">
        <f>HYPERLINK("proteomic_fractions_linear_files/Yang_linear_img/13385938.jpg", "13385938")</f>
        <v>13385938</v>
      </c>
      <c r="C6404" s="3" t="str">
        <f>HYPERLINK("http://www.ncbi.nlm.nih.gov/protein/13385938","Rnmt")</f>
        <v>Rnmt</v>
      </c>
      <c r="E6404" t="str">
        <f>HYPERLINK("J:\Depot - mpkCCD Fractions\Main Web Page\Web Pages_old\proteomic_fractions_linear_files/Yang_linear_img/13385938.jpg","show blot")</f>
        <v>show blot</v>
      </c>
      <c r="G6404" t="s">
        <v>6185</v>
      </c>
      <c r="I6404" s="6">
        <v>5.0993868365810391</v>
      </c>
      <c r="K6404" s="8"/>
    </row>
    <row r="6405" spans="1:11" ht="15" x14ac:dyDescent="0.25">
      <c r="A6405" s="3" t="str">
        <f>HYPERLINK("proteomic_fractions_linear_files/Yang_linear_img/283945577.jpg", "283945577")</f>
        <v>283945577</v>
      </c>
      <c r="C6405" s="3" t="str">
        <f>HYPERLINK("http://www.ncbi.nlm.nih.gov/protein/283945577","Rnmt")</f>
        <v>Rnmt</v>
      </c>
      <c r="E6405" t="str">
        <f>HYPERLINK("J:\Depot - mpkCCD Fractions\Main Web Page\Web Pages_old\proteomic_fractions_linear_files/Yang_linear_img/283945577.jpg","show blot")</f>
        <v>show blot</v>
      </c>
      <c r="G6405" t="s">
        <v>6186</v>
      </c>
      <c r="I6405" s="6">
        <v>5.0993868365810391</v>
      </c>
      <c r="K6405" s="8"/>
    </row>
    <row r="6406" spans="1:11" ht="15" x14ac:dyDescent="0.25">
      <c r="A6406" s="3" t="str">
        <f>HYPERLINK("proteomic_fractions_linear_files/Yang_linear_img/166197675.jpg", "166197675")</f>
        <v>166197675</v>
      </c>
      <c r="C6406" s="3" t="str">
        <f>HYPERLINK("http://www.ncbi.nlm.nih.gov/protein/166197675","Rnmtl1")</f>
        <v>Rnmtl1</v>
      </c>
      <c r="E6406" t="str">
        <f>HYPERLINK("J:\Depot - mpkCCD Fractions\Main Web Page\Web Pages_old\proteomic_fractions_linear_files/Yang_linear_img/166197675.jpg","show blot")</f>
        <v>show blot</v>
      </c>
      <c r="G6406" t="s">
        <v>6187</v>
      </c>
      <c r="I6406" s="6">
        <v>2.7736720827011943</v>
      </c>
      <c r="K6406" s="8"/>
    </row>
    <row r="6407" spans="1:11" ht="15" x14ac:dyDescent="0.25">
      <c r="A6407" s="3" t="str">
        <f>HYPERLINK("proteomic_fractions_linear_files/Yang_linear_img/227499234.jpg", "227499234")</f>
        <v>227499234</v>
      </c>
      <c r="C6407" s="3" t="str">
        <f>HYPERLINK("http://www.ncbi.nlm.nih.gov/protein/227499234","Rnpep")</f>
        <v>Rnpep</v>
      </c>
      <c r="E6407" t="str">
        <f>HYPERLINK("J:\Depot - mpkCCD Fractions\Main Web Page\Web Pages_old\proteomic_fractions_linear_files/Yang_linear_img/227499234.jpg","show blot")</f>
        <v>show blot</v>
      </c>
      <c r="G6407" t="s">
        <v>6188</v>
      </c>
      <c r="I6407" s="6">
        <v>5.3283825499555428</v>
      </c>
      <c r="K6407" s="8"/>
    </row>
    <row r="6408" spans="1:11" ht="15" x14ac:dyDescent="0.25">
      <c r="A6408" s="3" t="str">
        <f>HYPERLINK("proteomic_fractions_linear_files/Yang_linear_img/227499103.jpg", "227499103")</f>
        <v>227499103</v>
      </c>
      <c r="C6408" s="3" t="str">
        <f>HYPERLINK("http://www.ncbi.nlm.nih.gov/protein/227499103","Rnpep")</f>
        <v>Rnpep</v>
      </c>
      <c r="E6408" t="str">
        <f>HYPERLINK("J:\Depot - mpkCCD Fractions\Main Web Page\Web Pages_old\proteomic_fractions_linear_files/Yang_linear_img/227499103.jpg","show blot")</f>
        <v>show blot</v>
      </c>
      <c r="G6408" t="s">
        <v>6189</v>
      </c>
      <c r="I6408" s="6">
        <v>5.3283825499555428</v>
      </c>
      <c r="K6408" s="8"/>
    </row>
    <row r="6409" spans="1:11" ht="15" x14ac:dyDescent="0.25">
      <c r="A6409" s="3" t="str">
        <f>HYPERLINK("proteomic_fractions_linear_files/Yang_linear_img/318065085.jpg", "318065085")</f>
        <v>318065085</v>
      </c>
      <c r="C6409" s="3" t="str">
        <f>HYPERLINK("http://www.ncbi.nlm.nih.gov/protein/318065085","Rnpepl1")</f>
        <v>Rnpepl1</v>
      </c>
      <c r="E6409" t="str">
        <f>HYPERLINK("J:\Depot - mpkCCD Fractions\Main Web Page\Web Pages_old\proteomic_fractions_linear_files/Yang_linear_img/318065085.jpg","show blot")</f>
        <v>show blot</v>
      </c>
      <c r="G6409" t="s">
        <v>6190</v>
      </c>
      <c r="I6409" s="6">
        <v>2.6416372446570136</v>
      </c>
      <c r="K6409" s="8"/>
    </row>
    <row r="6410" spans="1:11" ht="15" x14ac:dyDescent="0.25">
      <c r="A6410" s="3" t="str">
        <f>HYPERLINK("proteomic_fractions_linear_files/Yang_linear_img/121674793.jpg", "121674793")</f>
        <v>121674793</v>
      </c>
      <c r="C6410" s="3" t="str">
        <f>HYPERLINK("http://www.ncbi.nlm.nih.gov/protein/121674793","Rnps1")</f>
        <v>Rnps1</v>
      </c>
      <c r="E6410" t="str">
        <f>HYPERLINK("J:\Depot - mpkCCD Fractions\Main Web Page\Web Pages_old\proteomic_fractions_linear_files/Yang_linear_img/121674793.jpg","show blot")</f>
        <v>show blot</v>
      </c>
      <c r="G6410" t="s">
        <v>6191</v>
      </c>
      <c r="I6410" s="6">
        <v>4.6245065170333453</v>
      </c>
      <c r="K6410" s="8"/>
    </row>
    <row r="6411" spans="1:11" ht="15" x14ac:dyDescent="0.25">
      <c r="A6411" s="3" t="str">
        <f>HYPERLINK("proteomic_fractions_linear_files/Yang_linear_img/121674799.jpg", "121674799")</f>
        <v>121674799</v>
      </c>
      <c r="C6411" s="3" t="str">
        <f>HYPERLINK("http://www.ncbi.nlm.nih.gov/protein/121674799","Rnps1")</f>
        <v>Rnps1</v>
      </c>
      <c r="E6411" t="str">
        <f>HYPERLINK("J:\Depot - mpkCCD Fractions\Main Web Page\Web Pages_old\proteomic_fractions_linear_files/Yang_linear_img/121674799.jpg","show blot")</f>
        <v>show blot</v>
      </c>
      <c r="G6411" t="s">
        <v>6192</v>
      </c>
      <c r="I6411" s="6">
        <v>4.6245065170333453</v>
      </c>
      <c r="K6411" s="8"/>
    </row>
    <row r="6412" spans="1:11" ht="15" x14ac:dyDescent="0.25">
      <c r="A6412" s="3" t="str">
        <f>HYPERLINK("proteomic_fractions_linear_files/Yang_linear_img/6677759.jpg", "6677759")</f>
        <v>6677759</v>
      </c>
      <c r="C6412" s="3" t="str">
        <f>HYPERLINK("http://www.ncbi.nlm.nih.gov/protein/6677759","Rock1")</f>
        <v>Rock1</v>
      </c>
      <c r="E6412" t="str">
        <f>HYPERLINK("J:\Depot - mpkCCD Fractions\Main Web Page\Web Pages_old\proteomic_fractions_linear_files/Yang_linear_img/6677759.jpg","show blot")</f>
        <v>show blot</v>
      </c>
      <c r="G6412" t="s">
        <v>6193</v>
      </c>
      <c r="I6412" s="6">
        <v>4.6408901822239521</v>
      </c>
      <c r="K6412" s="8"/>
    </row>
    <row r="6413" spans="1:11" ht="15" x14ac:dyDescent="0.25">
      <c r="A6413" s="3" t="str">
        <f>HYPERLINK("proteomic_fractions_linear_files/Yang_linear_img/134949013.jpg", "134949013")</f>
        <v>134949013</v>
      </c>
      <c r="C6413" s="3" t="str">
        <f>HYPERLINK("http://www.ncbi.nlm.nih.gov/protein/134949013","Rock2")</f>
        <v>Rock2</v>
      </c>
      <c r="E6413" t="str">
        <f>HYPERLINK("J:\Depot - mpkCCD Fractions\Main Web Page\Web Pages_old\proteomic_fractions_linear_files/Yang_linear_img/134949013.jpg","show blot")</f>
        <v>show blot</v>
      </c>
      <c r="G6413" t="s">
        <v>6194</v>
      </c>
      <c r="I6413" s="6">
        <v>5.2571770038029833</v>
      </c>
      <c r="K6413" s="8"/>
    </row>
    <row r="6414" spans="1:11" ht="15" x14ac:dyDescent="0.25">
      <c r="A6414" s="3" t="str">
        <f>HYPERLINK("proteomic_fractions_linear_files/Yang_linear_img/119508431.jpg", "119508431")</f>
        <v>119508431</v>
      </c>
      <c r="C6414" s="3" t="str">
        <f>HYPERLINK("http://www.ncbi.nlm.nih.gov/protein/119508431","Rogdi")</f>
        <v>Rogdi</v>
      </c>
      <c r="E6414" t="str">
        <f>HYPERLINK("J:\Depot - mpkCCD Fractions\Main Web Page\Web Pages_old\proteomic_fractions_linear_files/Yang_linear_img/119508431.jpg","show blot")</f>
        <v>show blot</v>
      </c>
      <c r="G6414" t="s">
        <v>6195</v>
      </c>
      <c r="I6414" s="6">
        <v>3.4454016338847366</v>
      </c>
      <c r="K6414" s="8"/>
    </row>
    <row r="6415" spans="1:11" ht="15" x14ac:dyDescent="0.25">
      <c r="A6415" s="3" t="str">
        <f>HYPERLINK("proteomic_fractions_linear_files/Yang_linear_img/255958213.jpg", "255958213")</f>
        <v>255958213</v>
      </c>
      <c r="C6415" s="3" t="str">
        <f>HYPERLINK("http://www.ncbi.nlm.nih.gov/protein/255958213","Romo1")</f>
        <v>Romo1</v>
      </c>
      <c r="E6415" t="str">
        <f>HYPERLINK("J:\Depot - mpkCCD Fractions\Main Web Page\Web Pages_old\proteomic_fractions_linear_files/Yang_linear_img/255958213.jpg","show blot")</f>
        <v>show blot</v>
      </c>
      <c r="G6415" t="s">
        <v>6196</v>
      </c>
      <c r="I6415" s="6">
        <v>4.5584264935374321</v>
      </c>
      <c r="K6415" s="8"/>
    </row>
    <row r="6416" spans="1:11" ht="15" x14ac:dyDescent="0.25">
      <c r="A6416" s="3" t="str">
        <f>HYPERLINK("proteomic_fractions_linear_files/Yang_linear_img/255958215.jpg", "255958215")</f>
        <v>255958215</v>
      </c>
      <c r="C6416" s="3" t="str">
        <f>HYPERLINK("http://www.ncbi.nlm.nih.gov/protein/255958215","Romo1")</f>
        <v>Romo1</v>
      </c>
      <c r="E6416" t="str">
        <f>HYPERLINK("J:\Depot - mpkCCD Fractions\Main Web Page\Web Pages_old\proteomic_fractions_linear_files/Yang_linear_img/255958215.jpg","show blot")</f>
        <v>show blot</v>
      </c>
      <c r="G6416" t="s">
        <v>6196</v>
      </c>
      <c r="I6416" s="6">
        <v>4.5584264935374321</v>
      </c>
      <c r="K6416" s="8"/>
    </row>
    <row r="6417" spans="1:11" ht="15" x14ac:dyDescent="0.25">
      <c r="A6417" s="3" t="str">
        <f>HYPERLINK("proteomic_fractions_linear_files/Yang_linear_img/255958213;255958215.jpg", "255958213;255958215")</f>
        <v>255958213;255958215</v>
      </c>
      <c r="C6417" s="3" t="str">
        <f>HYPERLINK("http://www.ncbi.nlm.nih.gov/protein/255958213;255958215","Romo1")</f>
        <v>Romo1</v>
      </c>
      <c r="E6417" t="str">
        <f>HYPERLINK("J:\Depot - mpkCCD Fractions\Main Web Page\Web Pages_old\proteomic_fractions_linear_files/Yang_linear_img/255958213;255958215.jpg","show blot")</f>
        <v>show blot</v>
      </c>
      <c r="G6417" t="s">
        <v>6196</v>
      </c>
      <c r="I6417" s="6">
        <v>4.5584264935374321</v>
      </c>
      <c r="K6417" s="8"/>
    </row>
    <row r="6418" spans="1:11" ht="15" x14ac:dyDescent="0.25">
      <c r="A6418" s="3" t="str">
        <f>HYPERLINK("proteomic_fractions_linear_files/Yang_linear_img/19526820.jpg", "19526820")</f>
        <v>19526820</v>
      </c>
      <c r="C6418" s="3" t="str">
        <f>HYPERLINK("http://www.ncbi.nlm.nih.gov/protein/19526820","Rp2h")</f>
        <v>Rp2h</v>
      </c>
      <c r="E6418" t="str">
        <f>HYPERLINK("J:\Depot - mpkCCD Fractions\Main Web Page\Web Pages_old\proteomic_fractions_linear_files/Yang_linear_img/19526820.jpg","show blot")</f>
        <v>show blot</v>
      </c>
      <c r="G6418" t="s">
        <v>6197</v>
      </c>
      <c r="I6418" s="6">
        <v>4.3012949730590408</v>
      </c>
      <c r="K6418" s="8"/>
    </row>
    <row r="6419" spans="1:11" ht="15" x14ac:dyDescent="0.25">
      <c r="A6419" s="3" t="str">
        <f>HYPERLINK("proteomic_fractions_linear_files/Yang_linear_img/9055300.jpg", "9055300")</f>
        <v>9055300</v>
      </c>
      <c r="C6419" s="3" t="str">
        <f>HYPERLINK("http://www.ncbi.nlm.nih.gov/protein/9055300","Rp9")</f>
        <v>Rp9</v>
      </c>
      <c r="E6419" t="str">
        <f>HYPERLINK("J:\Depot - mpkCCD Fractions\Main Web Page\Web Pages_old\proteomic_fractions_linear_files/Yang_linear_img/9055300.jpg","show blot")</f>
        <v>show blot</v>
      </c>
      <c r="G6419" t="s">
        <v>6198</v>
      </c>
      <c r="I6419" s="6">
        <v>2.7789846196722943</v>
      </c>
      <c r="K6419" s="8"/>
    </row>
    <row r="6420" spans="1:11" ht="15" x14ac:dyDescent="0.25">
      <c r="A6420" s="3" t="str">
        <f>HYPERLINK("proteomic_fractions_linear_files/Yang_linear_img/18390321.jpg", "18390321")</f>
        <v>18390321</v>
      </c>
      <c r="C6420" s="3" t="str">
        <f>HYPERLINK("http://www.ncbi.nlm.nih.gov/protein/18390321","Rpa1")</f>
        <v>Rpa1</v>
      </c>
      <c r="E6420" t="str">
        <f>HYPERLINK("J:\Depot - mpkCCD Fractions\Main Web Page\Web Pages_old\proteomic_fractions_linear_files/Yang_linear_img/18390321.jpg","show blot")</f>
        <v>show blot</v>
      </c>
      <c r="G6420" t="s">
        <v>6199</v>
      </c>
      <c r="I6420" s="6">
        <v>5.6060154764304286</v>
      </c>
      <c r="K6420" s="8"/>
    </row>
    <row r="6421" spans="1:11" ht="15" x14ac:dyDescent="0.25">
      <c r="A6421" s="3" t="str">
        <f>HYPERLINK("proteomic_fractions_linear_files/Yang_linear_img/255982530.jpg", "255982530")</f>
        <v>255982530</v>
      </c>
      <c r="C6421" s="3" t="str">
        <f>HYPERLINK("http://www.ncbi.nlm.nih.gov/protein/255982530","Rpa1")</f>
        <v>Rpa1</v>
      </c>
      <c r="E6421" t="str">
        <f>HYPERLINK("J:\Depot - mpkCCD Fractions\Main Web Page\Web Pages_old\proteomic_fractions_linear_files/Yang_linear_img/255982530.jpg","show blot")</f>
        <v>show blot</v>
      </c>
      <c r="G6421" t="s">
        <v>6200</v>
      </c>
      <c r="I6421" s="6">
        <v>5.6060154764304286</v>
      </c>
      <c r="K6421" s="8"/>
    </row>
    <row r="6422" spans="1:11" ht="15" x14ac:dyDescent="0.25">
      <c r="A6422" s="3" t="str">
        <f>HYPERLINK("proteomic_fractions_linear_files/Yang_linear_img/110625961.jpg", "110625961")</f>
        <v>110625961</v>
      </c>
      <c r="C6422" s="3" t="str">
        <f>HYPERLINK("http://www.ncbi.nlm.nih.gov/protein/110625961","Rpa2")</f>
        <v>Rpa2</v>
      </c>
      <c r="E6422" t="str">
        <f>HYPERLINK("J:\Depot - mpkCCD Fractions\Main Web Page\Web Pages_old\proteomic_fractions_linear_files/Yang_linear_img/110625961.jpg","show blot")</f>
        <v>show blot</v>
      </c>
      <c r="G6422" t="s">
        <v>6201</v>
      </c>
      <c r="I6422" s="6">
        <v>5.4812922831270861</v>
      </c>
      <c r="K6422" s="8"/>
    </row>
    <row r="6423" spans="1:11" ht="15" x14ac:dyDescent="0.25">
      <c r="A6423" s="3" t="str">
        <f>HYPERLINK("proteomic_fractions_linear_files/Yang_linear_img/13386122.jpg", "13386122")</f>
        <v>13386122</v>
      </c>
      <c r="C6423" s="3" t="str">
        <f>HYPERLINK("http://www.ncbi.nlm.nih.gov/protein/13386122","Rpa3")</f>
        <v>Rpa3</v>
      </c>
      <c r="E6423" t="str">
        <f>HYPERLINK("J:\Depot - mpkCCD Fractions\Main Web Page\Web Pages_old\proteomic_fractions_linear_files/Yang_linear_img/13386122.jpg","show blot")</f>
        <v>show blot</v>
      </c>
      <c r="G6423" t="s">
        <v>6202</v>
      </c>
      <c r="I6423" s="6">
        <v>5.4133328624979198</v>
      </c>
      <c r="K6423" s="8"/>
    </row>
    <row r="6424" spans="1:11" ht="15" x14ac:dyDescent="0.25">
      <c r="A6424" s="3" t="str">
        <f>HYPERLINK("proteomic_fractions_linear_files/Yang_linear_img/254540043.jpg", "254540043")</f>
        <v>254540043</v>
      </c>
      <c r="C6424" s="3" t="str">
        <f>HYPERLINK("http://www.ncbi.nlm.nih.gov/protein/254540043","Rpap2")</f>
        <v>Rpap2</v>
      </c>
      <c r="E6424" t="str">
        <f>HYPERLINK("J:\Depot - mpkCCD Fractions\Main Web Page\Web Pages_old\proteomic_fractions_linear_files/Yang_linear_img/254540043.jpg","show blot")</f>
        <v>show blot</v>
      </c>
      <c r="G6424" t="s">
        <v>6203</v>
      </c>
      <c r="I6424" s="6">
        <v>3.6248792981195597</v>
      </c>
      <c r="K6424" s="8"/>
    </row>
    <row r="6425" spans="1:11" ht="15" x14ac:dyDescent="0.25">
      <c r="A6425" s="3" t="str">
        <f>HYPERLINK("proteomic_fractions_linear_files/Yang_linear_img/254540045.jpg", "254540045")</f>
        <v>254540045</v>
      </c>
      <c r="C6425" s="3" t="str">
        <f>HYPERLINK("http://www.ncbi.nlm.nih.gov/protein/254540045","Rpap2")</f>
        <v>Rpap2</v>
      </c>
      <c r="E6425" t="str">
        <f>HYPERLINK("J:\Depot - mpkCCD Fractions\Main Web Page\Web Pages_old\proteomic_fractions_linear_files/Yang_linear_img/254540045.jpg","show blot")</f>
        <v>show blot</v>
      </c>
      <c r="G6425" t="s">
        <v>6204</v>
      </c>
      <c r="I6425" s="6">
        <v>3.6248792981195597</v>
      </c>
      <c r="K6425" s="8"/>
    </row>
    <row r="6426" spans="1:11" ht="15" x14ac:dyDescent="0.25">
      <c r="A6426" s="3" t="str">
        <f>HYPERLINK("proteomic_fractions_linear_files/Yang_linear_img/13386276.jpg", "13386276")</f>
        <v>13386276</v>
      </c>
      <c r="C6426" s="3" t="str">
        <f>HYPERLINK("http://www.ncbi.nlm.nih.gov/protein/13386276","Rpap3")</f>
        <v>Rpap3</v>
      </c>
      <c r="E6426" t="str">
        <f>HYPERLINK("J:\Depot - mpkCCD Fractions\Main Web Page\Web Pages_old\proteomic_fractions_linear_files/Yang_linear_img/13386276.jpg","show blot")</f>
        <v>show blot</v>
      </c>
      <c r="G6426" t="s">
        <v>6205</v>
      </c>
      <c r="I6426" s="6">
        <v>4.724492443188403</v>
      </c>
      <c r="K6426" s="8"/>
    </row>
    <row r="6427" spans="1:11" ht="15" x14ac:dyDescent="0.25">
      <c r="A6427" s="3" t="str">
        <f>HYPERLINK("proteomic_fractions_linear_files/Yang_linear_img/27532955.jpg", "27532955")</f>
        <v>27532955</v>
      </c>
      <c r="C6427" s="3" t="str">
        <f>HYPERLINK("http://www.ncbi.nlm.nih.gov/protein/27532955","Rpe")</f>
        <v>Rpe</v>
      </c>
      <c r="E6427" t="str">
        <f>HYPERLINK("J:\Depot - mpkCCD Fractions\Main Web Page\Web Pages_old\proteomic_fractions_linear_files/Yang_linear_img/27532955.jpg","show blot")</f>
        <v>show blot</v>
      </c>
      <c r="G6427" t="s">
        <v>6206</v>
      </c>
      <c r="I6427" s="6">
        <v>5.3842288777201937</v>
      </c>
      <c r="K6427" s="8"/>
    </row>
    <row r="6428" spans="1:11" ht="15" x14ac:dyDescent="0.25">
      <c r="A6428" s="3" t="str">
        <f>HYPERLINK("proteomic_fractions_linear_files/Yang_linear_img/94536844.jpg", "94536844")</f>
        <v>94536844</v>
      </c>
      <c r="C6428" s="3" t="str">
        <f>HYPERLINK("http://www.ncbi.nlm.nih.gov/protein/94536844","Rpia")</f>
        <v>Rpia</v>
      </c>
      <c r="E6428" t="str">
        <f>HYPERLINK("J:\Depot - mpkCCD Fractions\Main Web Page\Web Pages_old\proteomic_fractions_linear_files/Yang_linear_img/94536844.jpg","show blot")</f>
        <v>show blot</v>
      </c>
      <c r="G6428" t="s">
        <v>6207</v>
      </c>
      <c r="I6428" s="6">
        <v>4.9700869244545798</v>
      </c>
      <c r="K6428" s="8"/>
    </row>
    <row r="6429" spans="1:11" ht="15" x14ac:dyDescent="0.25">
      <c r="A6429" s="3" t="str">
        <f>HYPERLINK("proteomic_fractions_linear_files/Yang_linear_img/16418339.jpg", "16418339")</f>
        <v>16418339</v>
      </c>
      <c r="C6429" s="3" t="str">
        <f>HYPERLINK("http://www.ncbi.nlm.nih.gov/protein/16418339","Rpl10")</f>
        <v>Rpl10</v>
      </c>
      <c r="E6429" t="str">
        <f>HYPERLINK("J:\Depot - mpkCCD Fractions\Main Web Page\Web Pages_old\proteomic_fractions_linear_files/Yang_linear_img/16418339.jpg","show blot")</f>
        <v>show blot</v>
      </c>
      <c r="G6429" t="s">
        <v>6208</v>
      </c>
      <c r="I6429" s="6">
        <v>6.446107018423147</v>
      </c>
      <c r="K6429" s="8"/>
    </row>
    <row r="6430" spans="1:11" ht="15" x14ac:dyDescent="0.25">
      <c r="A6430" s="3" t="str">
        <f>HYPERLINK("proteomic_fractions_linear_files/Yang_linear_img/255003735.jpg", "255003735")</f>
        <v>255003735</v>
      </c>
      <c r="C6430" s="3" t="str">
        <f>HYPERLINK("http://www.ncbi.nlm.nih.gov/protein/255003735","Rpl10a")</f>
        <v>Rpl10a</v>
      </c>
      <c r="E6430" t="str">
        <f>HYPERLINK("J:\Depot - mpkCCD Fractions\Main Web Page\Web Pages_old\proteomic_fractions_linear_files/Yang_linear_img/255003735.jpg","show blot")</f>
        <v>show blot</v>
      </c>
      <c r="G6430" t="s">
        <v>6209</v>
      </c>
      <c r="I6430" s="6">
        <v>6.7551380568430108</v>
      </c>
      <c r="K6430" s="8"/>
    </row>
    <row r="6431" spans="1:11" ht="15" x14ac:dyDescent="0.25">
      <c r="A6431" s="3" t="str">
        <f>HYPERLINK("proteomic_fractions_linear_files/Yang_linear_img/242397462.jpg", "242397462")</f>
        <v>242397462</v>
      </c>
      <c r="C6431" s="3" t="str">
        <f>HYPERLINK("http://www.ncbi.nlm.nih.gov/protein/242397462","Rpl10l")</f>
        <v>Rpl10l</v>
      </c>
      <c r="E6431" t="str">
        <f>HYPERLINK("J:\Depot - mpkCCD Fractions\Main Web Page\Web Pages_old\proteomic_fractions_linear_files/Yang_linear_img/242397462.jpg","show blot")</f>
        <v>show blot</v>
      </c>
      <c r="G6431" t="s">
        <v>6210</v>
      </c>
      <c r="I6431" s="6">
        <v>6.3041697467257904</v>
      </c>
      <c r="K6431" s="8"/>
    </row>
    <row r="6432" spans="1:11" ht="15" x14ac:dyDescent="0.25">
      <c r="A6432" s="3" t="str">
        <f>HYPERLINK("proteomic_fractions_linear_files/Yang_linear_img/13385408.jpg", "13385408")</f>
        <v>13385408</v>
      </c>
      <c r="C6432" s="3" t="str">
        <f>HYPERLINK("http://www.ncbi.nlm.nih.gov/protein/13385408","Rpl11")</f>
        <v>Rpl11</v>
      </c>
      <c r="E6432" t="str">
        <f>HYPERLINK("J:\Depot - mpkCCD Fractions\Main Web Page\Web Pages_old\proteomic_fractions_linear_files/Yang_linear_img/13385408.jpg","show blot")</f>
        <v>show blot</v>
      </c>
      <c r="G6432" t="s">
        <v>6211</v>
      </c>
      <c r="I6432" s="6">
        <v>6.4898837676911576</v>
      </c>
      <c r="K6432" s="8"/>
    </row>
    <row r="6433" spans="1:11" ht="15" x14ac:dyDescent="0.25">
      <c r="A6433" s="3" t="str">
        <f>HYPERLINK("proteomic_fractions_linear_files/Yang_linear_img/160333553.jpg", "160333553")</f>
        <v>160333553</v>
      </c>
      <c r="C6433" s="3" t="str">
        <f>HYPERLINK("http://www.ncbi.nlm.nih.gov/protein/160333553","Rpl12")</f>
        <v>Rpl12</v>
      </c>
      <c r="E6433" t="str">
        <f>HYPERLINK("J:\Depot - mpkCCD Fractions\Main Web Page\Web Pages_old\proteomic_fractions_linear_files/Yang_linear_img/160333553.jpg","show blot")</f>
        <v>show blot</v>
      </c>
      <c r="G6433" t="s">
        <v>6212</v>
      </c>
      <c r="I6433" s="6">
        <v>6.9065992365670965</v>
      </c>
      <c r="K6433" s="8"/>
    </row>
    <row r="6434" spans="1:11" ht="15" x14ac:dyDescent="0.25">
      <c r="A6434" s="3" t="str">
        <f>HYPERLINK("proteomic_fractions_linear_files/Yang_linear_img/33186863.jpg", "33186863")</f>
        <v>33186863</v>
      </c>
      <c r="C6434" s="3" t="str">
        <f>HYPERLINK("http://www.ncbi.nlm.nih.gov/protein/33186863","Rpl13")</f>
        <v>Rpl13</v>
      </c>
      <c r="E6434" t="str">
        <f>HYPERLINK("J:\Depot - mpkCCD Fractions\Main Web Page\Web Pages_old\proteomic_fractions_linear_files/Yang_linear_img/33186863.jpg","show blot")</f>
        <v>show blot</v>
      </c>
      <c r="G6434" t="s">
        <v>6213</v>
      </c>
      <c r="I6434" s="6">
        <v>6.998748731252685</v>
      </c>
      <c r="K6434" s="8"/>
    </row>
    <row r="6435" spans="1:11" ht="15" x14ac:dyDescent="0.25">
      <c r="A6435" s="3" t="str">
        <f>HYPERLINK("proteomic_fractions_linear_files/Yang_linear_img/31981945.jpg", "31981945")</f>
        <v>31981945</v>
      </c>
      <c r="C6435" s="3" t="str">
        <f>HYPERLINK("http://www.ncbi.nlm.nih.gov/protein/31981945","Rpl13a")</f>
        <v>Rpl13a</v>
      </c>
      <c r="E6435" t="str">
        <f>HYPERLINK("J:\Depot - mpkCCD Fractions\Main Web Page\Web Pages_old\proteomic_fractions_linear_files/Yang_linear_img/31981945.jpg","show blot")</f>
        <v>show blot</v>
      </c>
      <c r="G6435" t="s">
        <v>6214</v>
      </c>
      <c r="I6435" s="6">
        <v>6.8007764030866662</v>
      </c>
      <c r="K6435" s="8"/>
    </row>
    <row r="6436" spans="1:11" ht="15" x14ac:dyDescent="0.25">
      <c r="A6436" s="3" t="str">
        <f>HYPERLINK("proteomic_fractions_linear_files/Yang_linear_img/13385472.jpg", "13385472")</f>
        <v>13385472</v>
      </c>
      <c r="C6436" s="3" t="str">
        <f>HYPERLINK("http://www.ncbi.nlm.nih.gov/protein/13385472","Rpl14")</f>
        <v>Rpl14</v>
      </c>
      <c r="E6436" t="str">
        <f>HYPERLINK("J:\Depot - mpkCCD Fractions\Main Web Page\Web Pages_old\proteomic_fractions_linear_files/Yang_linear_img/13385472.jpg","show blot")</f>
        <v>show blot</v>
      </c>
      <c r="G6436" t="s">
        <v>6215</v>
      </c>
      <c r="I6436" s="6">
        <v>6.8537917091008982</v>
      </c>
      <c r="K6436" s="8"/>
    </row>
    <row r="6437" spans="1:11" ht="15" x14ac:dyDescent="0.25">
      <c r="A6437" s="3" t="str">
        <f>HYPERLINK("proteomic_fractions_linear_files/Yang_linear_img/13385036.jpg", "13385036")</f>
        <v>13385036</v>
      </c>
      <c r="C6437" s="3" t="str">
        <f>HYPERLINK("http://www.ncbi.nlm.nih.gov/protein/13385036","Rpl15")</f>
        <v>Rpl15</v>
      </c>
      <c r="E6437" t="str">
        <f>HYPERLINK("J:\Depot - mpkCCD Fractions\Main Web Page\Web Pages_old\proteomic_fractions_linear_files/Yang_linear_img/13385036.jpg","show blot")</f>
        <v>show blot</v>
      </c>
      <c r="G6437" t="s">
        <v>6216</v>
      </c>
      <c r="I6437" s="6">
        <v>6.5715283599684113</v>
      </c>
      <c r="K6437" s="8"/>
    </row>
    <row r="6438" spans="1:11" ht="15" x14ac:dyDescent="0.25">
      <c r="A6438" s="3" t="str">
        <f>HYPERLINK("proteomic_fractions_linear_files/Yang_linear_img/161484662.jpg", "161484662")</f>
        <v>161484662</v>
      </c>
      <c r="C6438" s="3" t="str">
        <f>HYPERLINK("http://www.ncbi.nlm.nih.gov/protein/161484662","Rpl17")</f>
        <v>Rpl17</v>
      </c>
      <c r="E6438" t="str">
        <f>HYPERLINK("J:\Depot - mpkCCD Fractions\Main Web Page\Web Pages_old\proteomic_fractions_linear_files/Yang_linear_img/161484662.jpg","show blot")</f>
        <v>show blot</v>
      </c>
      <c r="G6438" t="s">
        <v>6217</v>
      </c>
      <c r="I6438" s="6">
        <v>6.7522221249882568</v>
      </c>
      <c r="K6438" s="8"/>
    </row>
    <row r="6439" spans="1:11" ht="15" x14ac:dyDescent="0.25">
      <c r="A6439" s="3" t="str">
        <f>HYPERLINK("proteomic_fractions_linear_files/Yang_linear_img/83699424.jpg", "83699424")</f>
        <v>83699424</v>
      </c>
      <c r="C6439" s="3" t="str">
        <f>HYPERLINK("http://www.ncbi.nlm.nih.gov/protein/83699424","Rpl18")</f>
        <v>Rpl18</v>
      </c>
      <c r="E6439" t="str">
        <f>HYPERLINK("J:\Depot - mpkCCD Fractions\Main Web Page\Web Pages_old\proteomic_fractions_linear_files/Yang_linear_img/83699424.jpg","show blot")</f>
        <v>show blot</v>
      </c>
      <c r="G6439" t="s">
        <v>6218</v>
      </c>
      <c r="I6439" s="6">
        <v>6.9406609595276887</v>
      </c>
      <c r="K6439" s="8"/>
    </row>
    <row r="6440" spans="1:11" ht="15" x14ac:dyDescent="0.25">
      <c r="A6440" s="3" t="str">
        <f>HYPERLINK("proteomic_fractions_linear_files/Yang_linear_img/58037465.jpg", "58037465")</f>
        <v>58037465</v>
      </c>
      <c r="C6440" s="3" t="str">
        <f>HYPERLINK("http://www.ncbi.nlm.nih.gov/protein/58037465","Rpl18a")</f>
        <v>Rpl18a</v>
      </c>
      <c r="E6440" t="str">
        <f>HYPERLINK("J:\Depot - mpkCCD Fractions\Main Web Page\Web Pages_old\proteomic_fractions_linear_files/Yang_linear_img/58037465.jpg","show blot")</f>
        <v>show blot</v>
      </c>
      <c r="G6440" t="s">
        <v>6219</v>
      </c>
      <c r="I6440" s="6">
        <v>6.7138981449282502</v>
      </c>
      <c r="K6440" s="8"/>
    </row>
    <row r="6441" spans="1:11" ht="15" x14ac:dyDescent="0.25">
      <c r="A6441" s="3" t="str">
        <f>HYPERLINK("proteomic_fractions_linear_files/Yang_linear_img/226958653.jpg", "226958653")</f>
        <v>226958653</v>
      </c>
      <c r="C6441" s="3" t="str">
        <f>HYPERLINK("http://www.ncbi.nlm.nih.gov/protein/226958653","Rpl19")</f>
        <v>Rpl19</v>
      </c>
      <c r="E6441" t="str">
        <f>HYPERLINK("J:\Depot - mpkCCD Fractions\Main Web Page\Web Pages_old\proteomic_fractions_linear_files/Yang_linear_img/226958653.jpg","show blot")</f>
        <v>show blot</v>
      </c>
      <c r="G6441" t="s">
        <v>6220</v>
      </c>
      <c r="I6441" s="6">
        <v>6.5976614039612755</v>
      </c>
      <c r="K6441" s="8"/>
    </row>
    <row r="6442" spans="1:11" ht="15" x14ac:dyDescent="0.25">
      <c r="A6442" s="3" t="str">
        <f>HYPERLINK("proteomic_fractions_linear_files/Yang_linear_img/226958657.jpg", "226958657")</f>
        <v>226958657</v>
      </c>
      <c r="C6442" s="3" t="str">
        <f>HYPERLINK("http://www.ncbi.nlm.nih.gov/protein/226958657","Rpl19")</f>
        <v>Rpl19</v>
      </c>
      <c r="E6442" t="str">
        <f>HYPERLINK("J:\Depot - mpkCCD Fractions\Main Web Page\Web Pages_old\proteomic_fractions_linear_files/Yang_linear_img/226958657.jpg","show blot")</f>
        <v>show blot</v>
      </c>
      <c r="G6442" t="s">
        <v>6221</v>
      </c>
      <c r="I6442" s="6">
        <v>6.5976614039612755</v>
      </c>
      <c r="K6442" s="8"/>
    </row>
    <row r="6443" spans="1:11" ht="15" x14ac:dyDescent="0.25">
      <c r="A6443" s="3" t="str">
        <f>HYPERLINK("proteomic_fractions_linear_files/Yang_linear_img/31560385.jpg", "31560385")</f>
        <v>31560385</v>
      </c>
      <c r="C6443" s="3" t="str">
        <f>HYPERLINK("http://www.ncbi.nlm.nih.gov/protein/31560385","Rpl21")</f>
        <v>Rpl21</v>
      </c>
      <c r="E6443" t="str">
        <f>HYPERLINK("J:\Depot - mpkCCD Fractions\Main Web Page\Web Pages_old\proteomic_fractions_linear_files/Yang_linear_img/31560385.jpg","show blot")</f>
        <v>show blot</v>
      </c>
      <c r="G6443" t="s">
        <v>6222</v>
      </c>
      <c r="I6443" s="6">
        <v>6.7503744217694903</v>
      </c>
      <c r="K6443" s="8"/>
    </row>
    <row r="6444" spans="1:11" ht="15" x14ac:dyDescent="0.25">
      <c r="A6444" s="3" t="str">
        <f>HYPERLINK("proteomic_fractions_linear_files/Yang_linear_img/459683845.jpg", "459683845")</f>
        <v>459683845</v>
      </c>
      <c r="C6444" s="3" t="str">
        <f>HYPERLINK("http://www.ncbi.nlm.nih.gov/protein/459683845","Rpl22")</f>
        <v>Rpl22</v>
      </c>
      <c r="E6444" t="str">
        <f>HYPERLINK("J:\Depot - mpkCCD Fractions\Main Web Page\Web Pages_old\proteomic_fractions_linear_files/Yang_linear_img/459683845.jpg","show blot")</f>
        <v>show blot</v>
      </c>
      <c r="G6444" t="s">
        <v>6223</v>
      </c>
      <c r="I6444" s="6">
        <v>6.4407040037740106</v>
      </c>
      <c r="K6444" s="8"/>
    </row>
    <row r="6445" spans="1:11" ht="15" x14ac:dyDescent="0.25">
      <c r="A6445" s="3" t="str">
        <f>HYPERLINK("proteomic_fractions_linear_files/Yang_linear_img/459683847.jpg", "459683847")</f>
        <v>459683847</v>
      </c>
      <c r="C6445" s="3" t="str">
        <f>HYPERLINK("http://www.ncbi.nlm.nih.gov/protein/459683847","Rpl22")</f>
        <v>Rpl22</v>
      </c>
      <c r="E6445" t="str">
        <f>HYPERLINK("J:\Depot - mpkCCD Fractions\Main Web Page\Web Pages_old\proteomic_fractions_linear_files/Yang_linear_img/459683847.jpg","show blot")</f>
        <v>show blot</v>
      </c>
      <c r="G6445" t="s">
        <v>6224</v>
      </c>
      <c r="I6445" s="6">
        <v>6.4407040037740106</v>
      </c>
      <c r="K6445" s="8"/>
    </row>
    <row r="6446" spans="1:11" ht="15" x14ac:dyDescent="0.25">
      <c r="A6446" s="3" t="str">
        <f>HYPERLINK("proteomic_fractions_linear_files/Yang_linear_img/13386010.jpg", "13386010")</f>
        <v>13386010</v>
      </c>
      <c r="C6446" s="3" t="str">
        <f>HYPERLINK("http://www.ncbi.nlm.nih.gov/protein/13386010","Rpl22l1")</f>
        <v>Rpl22l1</v>
      </c>
      <c r="E6446" t="str">
        <f>HYPERLINK("J:\Depot - mpkCCD Fractions\Main Web Page\Web Pages_old\proteomic_fractions_linear_files/Yang_linear_img/13386010.jpg","show blot")</f>
        <v>show blot</v>
      </c>
      <c r="G6446" t="s">
        <v>6225</v>
      </c>
      <c r="I6446" s="6">
        <v>6.2921273066065133</v>
      </c>
      <c r="K6446" s="8"/>
    </row>
    <row r="6447" spans="1:11" ht="15" x14ac:dyDescent="0.25">
      <c r="A6447" s="3" t="str">
        <f>HYPERLINK("proteomic_fractions_linear_files/Yang_linear_img/46430508.jpg", "46430508")</f>
        <v>46430508</v>
      </c>
      <c r="C6447" s="3" t="str">
        <f>HYPERLINK("http://www.ncbi.nlm.nih.gov/protein/46430508","Rpl23a")</f>
        <v>Rpl23a</v>
      </c>
      <c r="E6447" t="str">
        <f>HYPERLINK("J:\Depot - mpkCCD Fractions\Main Web Page\Web Pages_old\proteomic_fractions_linear_files/Yang_linear_img/46430508.jpg","show blot")</f>
        <v>show blot</v>
      </c>
      <c r="G6447" t="s">
        <v>6226</v>
      </c>
      <c r="I6447" s="6">
        <v>7.0202043073274645</v>
      </c>
      <c r="K6447" s="8"/>
    </row>
    <row r="6448" spans="1:11" ht="15" x14ac:dyDescent="0.25">
      <c r="A6448" s="3" t="str">
        <f>HYPERLINK("proteomic_fractions_linear_files/Yang_linear_img/18250296.jpg", "18250296")</f>
        <v>18250296</v>
      </c>
      <c r="C6448" s="3" t="str">
        <f>HYPERLINK("http://www.ncbi.nlm.nih.gov/protein/18250296","Rpl24")</f>
        <v>Rpl24</v>
      </c>
      <c r="E6448" t="str">
        <f>HYPERLINK("J:\Depot - mpkCCD Fractions\Main Web Page\Web Pages_old\proteomic_fractions_linear_files/Yang_linear_img/18250296.jpg","show blot")</f>
        <v>show blot</v>
      </c>
      <c r="G6448" t="s">
        <v>6227</v>
      </c>
      <c r="I6448" s="6">
        <v>6.8261526041682679</v>
      </c>
      <c r="K6448" s="8"/>
    </row>
    <row r="6449" spans="1:11" ht="15" x14ac:dyDescent="0.25">
      <c r="A6449" s="3" t="str">
        <f>HYPERLINK("proteomic_fractions_linear_files/Yang_linear_img/6677777.jpg", "6677777")</f>
        <v>6677777</v>
      </c>
      <c r="C6449" s="3" t="str">
        <f>HYPERLINK("http://www.ncbi.nlm.nih.gov/protein/6677777","Rpl26")</f>
        <v>Rpl26</v>
      </c>
      <c r="E6449" t="str">
        <f>HYPERLINK("J:\Depot - mpkCCD Fractions\Main Web Page\Web Pages_old\proteomic_fractions_linear_files/Yang_linear_img/6677777.jpg","show blot")</f>
        <v>show blot</v>
      </c>
      <c r="G6449" t="s">
        <v>6228</v>
      </c>
      <c r="I6449" s="6">
        <v>6.8575038052306114</v>
      </c>
      <c r="K6449" s="8"/>
    </row>
    <row r="6450" spans="1:11" ht="15" x14ac:dyDescent="0.25">
      <c r="A6450" s="3" t="str">
        <f>HYPERLINK("proteomic_fractions_linear_files/Yang_linear_img/8567400.jpg", "8567400")</f>
        <v>8567400</v>
      </c>
      <c r="C6450" s="3" t="str">
        <f>HYPERLINK("http://www.ncbi.nlm.nih.gov/protein/8567400","Rpl27")</f>
        <v>Rpl27</v>
      </c>
      <c r="E6450" t="str">
        <f>HYPERLINK("J:\Depot - mpkCCD Fractions\Main Web Page\Web Pages_old\proteomic_fractions_linear_files/Yang_linear_img/8567400.jpg","show blot")</f>
        <v>show blot</v>
      </c>
      <c r="G6450" t="s">
        <v>6229</v>
      </c>
      <c r="I6450" s="6">
        <v>6.8571646036461642</v>
      </c>
      <c r="K6450" s="8"/>
    </row>
    <row r="6451" spans="1:11" ht="15" x14ac:dyDescent="0.25">
      <c r="A6451" s="3" t="str">
        <f>HYPERLINK("proteomic_fractions_linear_files/Yang_linear_img/31560517.jpg", "31560517")</f>
        <v>31560517</v>
      </c>
      <c r="C6451" s="3" t="str">
        <f>HYPERLINK("http://www.ncbi.nlm.nih.gov/protein/31560517","Rpl27a")</f>
        <v>Rpl27a</v>
      </c>
      <c r="E6451" t="str">
        <f>HYPERLINK("J:\Depot - mpkCCD Fractions\Main Web Page\Web Pages_old\proteomic_fractions_linear_files/Yang_linear_img/31560517.jpg","show blot")</f>
        <v>show blot</v>
      </c>
      <c r="G6451" t="s">
        <v>6230</v>
      </c>
      <c r="I6451" s="6">
        <v>6.8462574478940965</v>
      </c>
      <c r="K6451" s="8"/>
    </row>
    <row r="6452" spans="1:11" ht="15" x14ac:dyDescent="0.25">
      <c r="A6452" s="3" t="str">
        <f>HYPERLINK("proteomic_fractions_linear_files/Yang_linear_img/6677779.jpg", "6677779")</f>
        <v>6677779</v>
      </c>
      <c r="C6452" s="3" t="str">
        <f>HYPERLINK("http://www.ncbi.nlm.nih.gov/protein/6677779","Rpl28")</f>
        <v>Rpl28</v>
      </c>
      <c r="E6452" t="str">
        <f>HYPERLINK("J:\Depot - mpkCCD Fractions\Main Web Page\Web Pages_old\proteomic_fractions_linear_files/Yang_linear_img/6677779.jpg","show blot")</f>
        <v>show blot</v>
      </c>
      <c r="G6452" t="s">
        <v>6231</v>
      </c>
      <c r="I6452" s="6">
        <v>6.5058370645775829</v>
      </c>
      <c r="K6452" s="8"/>
    </row>
    <row r="6453" spans="1:11" ht="15" x14ac:dyDescent="0.25">
      <c r="A6453" s="3" t="str">
        <f>HYPERLINK("proteomic_fractions_linear_files/Yang_linear_img/255308899.jpg", "255308899")</f>
        <v>255308899</v>
      </c>
      <c r="C6453" s="3" t="str">
        <f>HYPERLINK("http://www.ncbi.nlm.nih.gov/protein/255308899","Rpl3")</f>
        <v>Rpl3</v>
      </c>
      <c r="E6453" t="str">
        <f>HYPERLINK("J:\Depot - mpkCCD Fractions\Main Web Page\Web Pages_old\proteomic_fractions_linear_files/Yang_linear_img/255308899.jpg","show blot")</f>
        <v>show blot</v>
      </c>
      <c r="G6453" t="s">
        <v>6232</v>
      </c>
      <c r="I6453" s="6">
        <v>6.696226661987521</v>
      </c>
      <c r="K6453" s="8"/>
    </row>
    <row r="6454" spans="1:11" ht="15" x14ac:dyDescent="0.25">
      <c r="A6454" s="3" t="str">
        <f>HYPERLINK("proteomic_fractions_linear_files/Yang_linear_img/6677783.jpg", "6677783")</f>
        <v>6677783</v>
      </c>
      <c r="C6454" s="3" t="str">
        <f>HYPERLINK("http://www.ncbi.nlm.nih.gov/protein/6677783","Rpl30")</f>
        <v>Rpl30</v>
      </c>
      <c r="E6454" t="str">
        <f>HYPERLINK("J:\Depot - mpkCCD Fractions\Main Web Page\Web Pages_old\proteomic_fractions_linear_files/Yang_linear_img/6677783.jpg","show blot")</f>
        <v>show blot</v>
      </c>
      <c r="G6454" t="s">
        <v>6233</v>
      </c>
      <c r="I6454" s="6">
        <v>7.1219700228660567</v>
      </c>
      <c r="K6454" s="8"/>
    </row>
    <row r="6455" spans="1:11" ht="15" x14ac:dyDescent="0.25">
      <c r="A6455" s="3" t="str">
        <f>HYPERLINK("proteomic_fractions_linear_files/Yang_linear_img/16716589;356582309.jpg", "16716589;356582309")</f>
        <v>16716589;356582309</v>
      </c>
      <c r="C6455" s="3" t="str">
        <f>HYPERLINK("http://www.ncbi.nlm.nih.gov/protein/16716589;356582309","Rpl31")</f>
        <v>Rpl31</v>
      </c>
      <c r="E6455" t="str">
        <f>HYPERLINK("J:\Depot - mpkCCD Fractions\Main Web Page\Web Pages_old\proteomic_fractions_linear_files/Yang_linear_img/16716589;356582309.jpg","show blot")</f>
        <v>show blot</v>
      </c>
      <c r="G6455" t="s">
        <v>6234</v>
      </c>
      <c r="I6455" s="6">
        <v>6.5492898780072464</v>
      </c>
      <c r="K6455" s="8"/>
    </row>
    <row r="6456" spans="1:11" ht="15" x14ac:dyDescent="0.25">
      <c r="A6456" s="3" t="str">
        <f>HYPERLINK("proteomic_fractions_linear_files/Yang_linear_img/356582309.jpg", "356582309")</f>
        <v>356582309</v>
      </c>
      <c r="C6456" s="3" t="str">
        <f>HYPERLINK("http://www.ncbi.nlm.nih.gov/protein/356582309","Rpl31")</f>
        <v>Rpl31</v>
      </c>
      <c r="E6456" t="str">
        <f>HYPERLINK("J:\Depot - mpkCCD Fractions\Main Web Page\Web Pages_old\proteomic_fractions_linear_files/Yang_linear_img/356582309.jpg","show blot")</f>
        <v>show blot</v>
      </c>
      <c r="G6456" t="s">
        <v>6234</v>
      </c>
      <c r="I6456" s="6">
        <v>6.5492898780072464</v>
      </c>
      <c r="K6456" s="8"/>
    </row>
    <row r="6457" spans="1:11" ht="15" x14ac:dyDescent="0.25">
      <c r="A6457" s="3" t="str">
        <f>HYPERLINK("proteomic_fractions_linear_files/Yang_linear_img/386365497.jpg", "386365497")</f>
        <v>386365497</v>
      </c>
      <c r="C6457" s="3" t="str">
        <f>HYPERLINK("http://www.ncbi.nlm.nih.gov/protein/386365497","Rpl31-ps12")</f>
        <v>Rpl31-ps12</v>
      </c>
      <c r="E6457" t="str">
        <f>HYPERLINK("J:\Depot - mpkCCD Fractions\Main Web Page\Web Pages_old\proteomic_fractions_linear_files/Yang_linear_img/386365497.jpg","show blot")</f>
        <v>show blot</v>
      </c>
      <c r="G6457" t="s">
        <v>6235</v>
      </c>
      <c r="I6457" s="6">
        <v>6.0194483924968445</v>
      </c>
      <c r="K6457" s="8"/>
    </row>
    <row r="6458" spans="1:11" ht="15" x14ac:dyDescent="0.25">
      <c r="A6458" s="3" t="str">
        <f>HYPERLINK("proteomic_fractions_linear_files/Yang_linear_img/25742730.jpg", "25742730")</f>
        <v>25742730</v>
      </c>
      <c r="C6458" s="3" t="str">
        <f>HYPERLINK("http://www.ncbi.nlm.nih.gov/protein/25742730","Rpl32")</f>
        <v>Rpl32</v>
      </c>
      <c r="E6458" t="str">
        <f>HYPERLINK("J:\Depot - mpkCCD Fractions\Main Web Page\Web Pages_old\proteomic_fractions_linear_files/Yang_linear_img/25742730.jpg","show blot")</f>
        <v>show blot</v>
      </c>
      <c r="G6458" t="s">
        <v>6236</v>
      </c>
      <c r="I6458" s="6">
        <v>6.590959736403657</v>
      </c>
      <c r="K6458" s="8"/>
    </row>
    <row r="6459" spans="1:11" ht="15" x14ac:dyDescent="0.25">
      <c r="A6459" s="3" t="str">
        <f>HYPERLINK("proteomic_fractions_linear_files/Yang_linear_img/55741555.jpg", "55741555")</f>
        <v>55741555</v>
      </c>
      <c r="C6459" s="3" t="str">
        <f>HYPERLINK("http://www.ncbi.nlm.nih.gov/protein/55741555","Rpl34")</f>
        <v>Rpl34</v>
      </c>
      <c r="E6459" t="str">
        <f>HYPERLINK("J:\Depot - mpkCCD Fractions\Main Web Page\Web Pages_old\proteomic_fractions_linear_files/Yang_linear_img/55741555.jpg","show blot")</f>
        <v>show blot</v>
      </c>
      <c r="G6459" t="s">
        <v>6237</v>
      </c>
      <c r="I6459" s="6">
        <v>6.9141470068085678</v>
      </c>
      <c r="K6459" s="8"/>
    </row>
    <row r="6460" spans="1:11" ht="15" x14ac:dyDescent="0.25">
      <c r="A6460" s="3" t="str">
        <f>HYPERLINK("proteomic_fractions_linear_files/Yang_linear_img/13385044.jpg", "13385044")</f>
        <v>13385044</v>
      </c>
      <c r="C6460" s="3" t="str">
        <f>HYPERLINK("http://www.ncbi.nlm.nih.gov/protein/13385044","Rpl35")</f>
        <v>Rpl35</v>
      </c>
      <c r="E6460" t="str">
        <f>HYPERLINK("J:\Depot - mpkCCD Fractions\Main Web Page\Web Pages_old\proteomic_fractions_linear_files/Yang_linear_img/13385044.jpg","show blot")</f>
        <v>show blot</v>
      </c>
      <c r="G6460" t="s">
        <v>6238</v>
      </c>
      <c r="I6460" s="6">
        <v>6.555144319536911</v>
      </c>
      <c r="K6460" s="8"/>
    </row>
    <row r="6461" spans="1:11" ht="15" x14ac:dyDescent="0.25">
      <c r="A6461" s="3" t="str">
        <f>HYPERLINK("proteomic_fractions_linear_files/Yang_linear_img/160333837.jpg", "160333837")</f>
        <v>160333837</v>
      </c>
      <c r="C6461" s="3" t="str">
        <f>HYPERLINK("http://www.ncbi.nlm.nih.gov/protein/160333837","Rpl36")</f>
        <v>Rpl36</v>
      </c>
      <c r="E6461" t="str">
        <f>HYPERLINK("J:\Depot - mpkCCD Fractions\Main Web Page\Web Pages_old\proteomic_fractions_linear_files/Yang_linear_img/160333837.jpg","show blot")</f>
        <v>show blot</v>
      </c>
      <c r="G6461" t="s">
        <v>6239</v>
      </c>
      <c r="I6461" s="6">
        <v>7.0349552216437843</v>
      </c>
      <c r="K6461" s="8"/>
    </row>
    <row r="6462" spans="1:11" ht="15" x14ac:dyDescent="0.25">
      <c r="A6462" s="3" t="str">
        <f>HYPERLINK("proteomic_fractions_linear_files/Yang_linear_img/9845295;13385038.jpg", "9845295;13385038")</f>
        <v>9845295;13385038</v>
      </c>
      <c r="C6462" s="3" t="str">
        <f>HYPERLINK("http://www.ncbi.nlm.nih.gov/protein/9845295;13385038","Rpl36a")</f>
        <v>Rpl36a</v>
      </c>
      <c r="E6462" t="str">
        <f>HYPERLINK("J:\Depot - mpkCCD Fractions\Main Web Page\Web Pages_old\proteomic_fractions_linear_files/Yang_linear_img/9845295;13385038.jpg","show blot")</f>
        <v>show blot</v>
      </c>
      <c r="G6462" t="s">
        <v>6240</v>
      </c>
      <c r="I6462" s="6">
        <v>6.1572056248881317</v>
      </c>
      <c r="K6462" s="8"/>
    </row>
    <row r="6463" spans="1:11" ht="15" x14ac:dyDescent="0.25">
      <c r="A6463" s="3" t="str">
        <f>HYPERLINK("proteomic_fractions_linear_files/Yang_linear_img/13385038.jpg", "13385038")</f>
        <v>13385038</v>
      </c>
      <c r="C6463" s="3" t="str">
        <f>HYPERLINK("http://www.ncbi.nlm.nih.gov/protein/13385038","Rpl36al")</f>
        <v>Rpl36al</v>
      </c>
      <c r="E6463" t="str">
        <f>HYPERLINK("J:\Depot - mpkCCD Fractions\Main Web Page\Web Pages_old\proteomic_fractions_linear_files/Yang_linear_img/13385038.jpg","show blot")</f>
        <v>show blot</v>
      </c>
      <c r="G6463" t="s">
        <v>6241</v>
      </c>
      <c r="I6463" s="6">
        <v>5.7474615452186848</v>
      </c>
      <c r="K6463" s="8"/>
    </row>
    <row r="6464" spans="1:11" ht="15" x14ac:dyDescent="0.25">
      <c r="A6464" s="3" t="str">
        <f>HYPERLINK("proteomic_fractions_linear_files/Yang_linear_img/6677785.jpg", "6677785")</f>
        <v>6677785</v>
      </c>
      <c r="C6464" s="3" t="str">
        <f>HYPERLINK("http://www.ncbi.nlm.nih.gov/protein/6677785","Rpl37a")</f>
        <v>Rpl37a</v>
      </c>
      <c r="E6464" t="str">
        <f>HYPERLINK("J:\Depot - mpkCCD Fractions\Main Web Page\Web Pages_old\proteomic_fractions_linear_files/Yang_linear_img/6677785.jpg","show blot")</f>
        <v>show blot</v>
      </c>
      <c r="G6464" t="s">
        <v>6242</v>
      </c>
      <c r="I6464" s="6">
        <v>6.0042533042692279</v>
      </c>
      <c r="K6464" s="8"/>
    </row>
    <row r="6465" spans="1:11" ht="15" x14ac:dyDescent="0.25">
      <c r="A6465" s="3" t="str">
        <f>HYPERLINK("proteomic_fractions_linear_files/Yang_linear_img/12963655.jpg", "12963655")</f>
        <v>12963655</v>
      </c>
      <c r="C6465" s="3" t="str">
        <f>HYPERLINK("http://www.ncbi.nlm.nih.gov/protein/12963655","Rpl38")</f>
        <v>Rpl38</v>
      </c>
      <c r="E6465" t="str">
        <f>HYPERLINK("J:\Depot - mpkCCD Fractions\Main Web Page\Web Pages_old\proteomic_fractions_linear_files/Yang_linear_img/12963655.jpg","show blot")</f>
        <v>show blot</v>
      </c>
      <c r="G6465" t="s">
        <v>6243</v>
      </c>
      <c r="I6465" s="6">
        <v>6.6572615023404005</v>
      </c>
      <c r="K6465" s="8"/>
    </row>
    <row r="6466" spans="1:11" ht="15" x14ac:dyDescent="0.25">
      <c r="A6466" s="3" t="str">
        <f>HYPERLINK("proteomic_fractions_linear_files/Yang_linear_img/13384820.jpg", "13384820")</f>
        <v>13384820</v>
      </c>
      <c r="C6466" s="3" t="str">
        <f>HYPERLINK("http://www.ncbi.nlm.nih.gov/protein/13384820","Rpl3l")</f>
        <v>Rpl3l</v>
      </c>
      <c r="E6466" t="str">
        <f>HYPERLINK("J:\Depot - mpkCCD Fractions\Main Web Page\Web Pages_old\proteomic_fractions_linear_files/Yang_linear_img/13384820.jpg","show blot")</f>
        <v>show blot</v>
      </c>
      <c r="G6466" t="s">
        <v>6244</v>
      </c>
      <c r="I6466" s="6">
        <v>5.3809655182484732</v>
      </c>
      <c r="K6466" s="8"/>
    </row>
    <row r="6467" spans="1:11" ht="15" x14ac:dyDescent="0.25">
      <c r="A6467" s="3" t="str">
        <f>HYPERLINK("proteomic_fractions_linear_files/Yang_linear_img/255653009.jpg", "255653009")</f>
        <v>255653009</v>
      </c>
      <c r="C6467" s="3" t="str">
        <f>HYPERLINK("http://www.ncbi.nlm.nih.gov/protein/255653009","Rpl3l")</f>
        <v>Rpl3l</v>
      </c>
      <c r="E6467" t="str">
        <f>HYPERLINK("J:\Depot - mpkCCD Fractions\Main Web Page\Web Pages_old\proteomic_fractions_linear_files/Yang_linear_img/255653009.jpg","show blot")</f>
        <v>show blot</v>
      </c>
      <c r="G6467" t="s">
        <v>6245</v>
      </c>
      <c r="I6467" s="6">
        <v>5.3809655182484732</v>
      </c>
      <c r="K6467" s="8"/>
    </row>
    <row r="6468" spans="1:11" ht="15" x14ac:dyDescent="0.25">
      <c r="A6468" s="3" t="str">
        <f>HYPERLINK("proteomic_fractions_linear_files/Yang_linear_img/30794450.jpg", "30794450")</f>
        <v>30794450</v>
      </c>
      <c r="C6468" s="3" t="str">
        <f>HYPERLINK("http://www.ncbi.nlm.nih.gov/protein/30794450","Rpl4")</f>
        <v>Rpl4</v>
      </c>
      <c r="E6468" t="str">
        <f>HYPERLINK("J:\Depot - mpkCCD Fractions\Main Web Page\Web Pages_old\proteomic_fractions_linear_files/Yang_linear_img/30794450.jpg","show blot")</f>
        <v>show blot</v>
      </c>
      <c r="G6468" t="s">
        <v>6246</v>
      </c>
      <c r="I6468" s="6">
        <v>6.9581723714425516</v>
      </c>
      <c r="K6468" s="8"/>
    </row>
    <row r="6469" spans="1:11" ht="15" x14ac:dyDescent="0.25">
      <c r="A6469" s="3" t="str">
        <f>HYPERLINK("proteomic_fractions_linear_files/Yang_linear_img/23956082.jpg", "23956082")</f>
        <v>23956082</v>
      </c>
      <c r="C6469" s="3" t="str">
        <f>HYPERLINK("http://www.ncbi.nlm.nih.gov/protein/23956082","Rpl5")</f>
        <v>Rpl5</v>
      </c>
      <c r="E6469" t="str">
        <f>HYPERLINK("J:\Depot - mpkCCD Fractions\Main Web Page\Web Pages_old\proteomic_fractions_linear_files/Yang_linear_img/23956082.jpg","show blot")</f>
        <v>show blot</v>
      </c>
      <c r="G6469" t="s">
        <v>6247</v>
      </c>
      <c r="I6469" s="6">
        <v>6.7847982041605226</v>
      </c>
      <c r="K6469" s="8"/>
    </row>
    <row r="6470" spans="1:11" ht="15" x14ac:dyDescent="0.25">
      <c r="A6470" s="3" t="str">
        <f>HYPERLINK("proteomic_fractions_linear_files/Yang_linear_img/84662736.jpg", "84662736")</f>
        <v>84662736</v>
      </c>
      <c r="C6470" s="3" t="str">
        <f>HYPERLINK("http://www.ncbi.nlm.nih.gov/protein/84662736","Rpl6")</f>
        <v>Rpl6</v>
      </c>
      <c r="E6470" t="str">
        <f>HYPERLINK("J:\Depot - mpkCCD Fractions\Main Web Page\Web Pages_old\proteomic_fractions_linear_files/Yang_linear_img/84662736.jpg","show blot")</f>
        <v>show blot</v>
      </c>
      <c r="G6470" t="s">
        <v>6248</v>
      </c>
      <c r="I6470" s="6">
        <v>7.0236814914742824</v>
      </c>
      <c r="K6470" s="8"/>
    </row>
    <row r="6471" spans="1:11" ht="15" x14ac:dyDescent="0.25">
      <c r="A6471" s="3" t="str">
        <f>HYPERLINK("proteomic_fractions_linear_files/Yang_linear_img/31981515.jpg", "31981515")</f>
        <v>31981515</v>
      </c>
      <c r="C6471" s="3" t="str">
        <f>HYPERLINK("http://www.ncbi.nlm.nih.gov/protein/31981515","Rpl7")</f>
        <v>Rpl7</v>
      </c>
      <c r="E6471" t="str">
        <f>HYPERLINK("J:\Depot - mpkCCD Fractions\Main Web Page\Web Pages_old\proteomic_fractions_linear_files/Yang_linear_img/31981515.jpg","show blot")</f>
        <v>show blot</v>
      </c>
      <c r="G6471" t="s">
        <v>6249</v>
      </c>
      <c r="I6471" s="6">
        <v>7.088337595156454</v>
      </c>
      <c r="K6471" s="8"/>
    </row>
    <row r="6472" spans="1:11" ht="15" x14ac:dyDescent="0.25">
      <c r="A6472" s="3" t="str">
        <f>HYPERLINK("proteomic_fractions_linear_files/Yang_linear_img/7305443.jpg", "7305443")</f>
        <v>7305443</v>
      </c>
      <c r="C6472" s="3" t="str">
        <f>HYPERLINK("http://www.ncbi.nlm.nih.gov/protein/7305443","Rpl7a")</f>
        <v>Rpl7a</v>
      </c>
      <c r="E6472" t="str">
        <f>HYPERLINK("J:\Depot - mpkCCD Fractions\Main Web Page\Web Pages_old\proteomic_fractions_linear_files/Yang_linear_img/7305443.jpg","show blot")</f>
        <v>show blot</v>
      </c>
      <c r="G6472" t="s">
        <v>6250</v>
      </c>
      <c r="I6472" s="6">
        <v>6.9921953378829684</v>
      </c>
      <c r="K6472" s="8"/>
    </row>
    <row r="6473" spans="1:11" ht="15" x14ac:dyDescent="0.25">
      <c r="A6473" s="3" t="str">
        <f>HYPERLINK("proteomic_fractions_linear_files/Yang_linear_img/27754134.jpg", "27754134")</f>
        <v>27754134</v>
      </c>
      <c r="C6473" s="3" t="str">
        <f>HYPERLINK("http://www.ncbi.nlm.nih.gov/protein/27754134","Rpl7l1")</f>
        <v>Rpl7l1</v>
      </c>
      <c r="E6473" t="str">
        <f>HYPERLINK("J:\Depot - mpkCCD Fractions\Main Web Page\Web Pages_old\proteomic_fractions_linear_files/Yang_linear_img/27754134.jpg","show blot")</f>
        <v>show blot</v>
      </c>
      <c r="G6473" t="s">
        <v>6251</v>
      </c>
      <c r="I6473" s="6">
        <v>3.9523039796739083</v>
      </c>
      <c r="K6473" s="8"/>
    </row>
    <row r="6474" spans="1:11" ht="15" x14ac:dyDescent="0.25">
      <c r="A6474" s="3" t="str">
        <f>HYPERLINK("proteomic_fractions_linear_files/Yang_linear_img/6755358.jpg", "6755358")</f>
        <v>6755358</v>
      </c>
      <c r="C6474" s="3" t="str">
        <f>HYPERLINK("http://www.ncbi.nlm.nih.gov/protein/6755358","Rpl8")</f>
        <v>Rpl8</v>
      </c>
      <c r="E6474" t="str">
        <f>HYPERLINK("J:\Depot - mpkCCD Fractions\Main Web Page\Web Pages_old\proteomic_fractions_linear_files/Yang_linear_img/6755358.jpg","show blot")</f>
        <v>show blot</v>
      </c>
      <c r="G6474" t="s">
        <v>6252</v>
      </c>
      <c r="I6474" s="6">
        <v>6.5840755341930164</v>
      </c>
      <c r="K6474" s="8"/>
    </row>
    <row r="6475" spans="1:11" ht="15" x14ac:dyDescent="0.25">
      <c r="A6475" s="3" t="str">
        <f>HYPERLINK("proteomic_fractions_linear_files/Yang_linear_img/14149647.jpg", "14149647")</f>
        <v>14149647</v>
      </c>
      <c r="C6475" s="3" t="str">
        <f>HYPERLINK("http://www.ncbi.nlm.nih.gov/protein/14149647","Rpl9")</f>
        <v>Rpl9</v>
      </c>
      <c r="E6475" t="str">
        <f>HYPERLINK("J:\Depot - mpkCCD Fractions\Main Web Page\Web Pages_old\proteomic_fractions_linear_files/Yang_linear_img/14149647.jpg","show blot")</f>
        <v>show blot</v>
      </c>
      <c r="G6475" t="s">
        <v>6253</v>
      </c>
      <c r="I6475" s="6">
        <v>6.7212442555566527</v>
      </c>
      <c r="K6475" s="8"/>
    </row>
    <row r="6476" spans="1:11" ht="15" x14ac:dyDescent="0.25">
      <c r="A6476" s="3" t="str">
        <f>HYPERLINK("proteomic_fractions_linear_files/Yang_linear_img/6671569.jpg", "6671569")</f>
        <v>6671569</v>
      </c>
      <c r="C6476" s="3" t="str">
        <f>HYPERLINK("http://www.ncbi.nlm.nih.gov/protein/6671569","Rplp0")</f>
        <v>Rplp0</v>
      </c>
      <c r="E6476" t="str">
        <f>HYPERLINK("J:\Depot - mpkCCD Fractions\Main Web Page\Web Pages_old\proteomic_fractions_linear_files/Yang_linear_img/6671569.jpg","show blot")</f>
        <v>show blot</v>
      </c>
      <c r="G6476" t="s">
        <v>6254</v>
      </c>
      <c r="I6476" s="6">
        <v>6.8506689895536415</v>
      </c>
      <c r="K6476" s="8"/>
    </row>
    <row r="6477" spans="1:11" ht="15" x14ac:dyDescent="0.25">
      <c r="A6477" s="3" t="str">
        <f>HYPERLINK("proteomic_fractions_linear_files/Yang_linear_img/9256519.jpg", "9256519")</f>
        <v>9256519</v>
      </c>
      <c r="C6477" s="3" t="str">
        <f>HYPERLINK("http://www.ncbi.nlm.nih.gov/protein/9256519","Rplp1")</f>
        <v>Rplp1</v>
      </c>
      <c r="E6477" t="str">
        <f>HYPERLINK("J:\Depot - mpkCCD Fractions\Main Web Page\Web Pages_old\proteomic_fractions_linear_files/Yang_linear_img/9256519.jpg","show blot")</f>
        <v>show blot</v>
      </c>
      <c r="G6477" t="s">
        <v>6255</v>
      </c>
      <c r="I6477" s="6">
        <v>6.17245464148567</v>
      </c>
      <c r="K6477" s="8"/>
    </row>
    <row r="6478" spans="1:11" ht="15" x14ac:dyDescent="0.25">
      <c r="A6478" s="3" t="str">
        <f>HYPERLINK("proteomic_fractions_linear_files/Yang_linear_img/83745120.jpg", "83745120")</f>
        <v>83745120</v>
      </c>
      <c r="C6478" s="3" t="str">
        <f>HYPERLINK("http://www.ncbi.nlm.nih.gov/protein/83745120","Rplp2")</f>
        <v>Rplp2</v>
      </c>
      <c r="E6478" t="str">
        <f>HYPERLINK("J:\Depot - mpkCCD Fractions\Main Web Page\Web Pages_old\proteomic_fractions_linear_files/Yang_linear_img/83745120.jpg","show blot")</f>
        <v>show blot</v>
      </c>
      <c r="G6478" t="s">
        <v>6256</v>
      </c>
      <c r="I6478" s="6">
        <v>6.8098996309669841</v>
      </c>
      <c r="K6478" s="8"/>
    </row>
    <row r="6479" spans="1:11" ht="15" x14ac:dyDescent="0.25">
      <c r="A6479" s="3" t="str">
        <f>HYPERLINK("proteomic_fractions_linear_files/Yang_linear_img/282398108.jpg", "282398108")</f>
        <v>282398108</v>
      </c>
      <c r="C6479" s="3" t="str">
        <f>HYPERLINK("http://www.ncbi.nlm.nih.gov/protein/282398108","Rpn1")</f>
        <v>Rpn1</v>
      </c>
      <c r="E6479" t="str">
        <f>HYPERLINK("J:\Depot - mpkCCD Fractions\Main Web Page\Web Pages_old\proteomic_fractions_linear_files/Yang_linear_img/282398108.jpg","show blot")</f>
        <v>show blot</v>
      </c>
      <c r="G6479" t="s">
        <v>6257</v>
      </c>
      <c r="I6479" s="6">
        <v>6.1606360262083877</v>
      </c>
      <c r="K6479" s="8"/>
    </row>
    <row r="6480" spans="1:11" ht="15" x14ac:dyDescent="0.25">
      <c r="A6480" s="3" t="str">
        <f>HYPERLINK("proteomic_fractions_linear_files/Yang_linear_img/34996495.jpg", "34996495")</f>
        <v>34996495</v>
      </c>
      <c r="C6480" s="3" t="str">
        <f>HYPERLINK("http://www.ncbi.nlm.nih.gov/protein/34996495","Rpn2")</f>
        <v>Rpn2</v>
      </c>
      <c r="E6480" t="str">
        <f>HYPERLINK("J:\Depot - mpkCCD Fractions\Main Web Page\Web Pages_old\proteomic_fractions_linear_files/Yang_linear_img/34996495.jpg","show blot")</f>
        <v>show blot</v>
      </c>
      <c r="G6480" t="s">
        <v>6258</v>
      </c>
      <c r="I6480" s="6">
        <v>6.0515154148753227</v>
      </c>
      <c r="K6480" s="8"/>
    </row>
    <row r="6481" spans="1:11" ht="15" x14ac:dyDescent="0.25">
      <c r="A6481" s="3" t="str">
        <f>HYPERLINK("proteomic_fractions_linear_files/Yang_linear_img/13385432.jpg", "13385432")</f>
        <v>13385432</v>
      </c>
      <c r="C6481" s="3" t="str">
        <f>HYPERLINK("http://www.ncbi.nlm.nih.gov/protein/13385432","Rpp14")</f>
        <v>Rpp14</v>
      </c>
      <c r="E6481" t="str">
        <f>HYPERLINK("J:\Depot - mpkCCD Fractions\Main Web Page\Web Pages_old\proteomic_fractions_linear_files/Yang_linear_img/13385432.jpg","show blot")</f>
        <v>show blot</v>
      </c>
      <c r="G6481" t="s">
        <v>6259</v>
      </c>
      <c r="I6481" s="6">
        <v>3.4345516850309363</v>
      </c>
      <c r="K6481" s="8"/>
    </row>
    <row r="6482" spans="1:11" ht="15" x14ac:dyDescent="0.25">
      <c r="A6482" s="3" t="str">
        <f>HYPERLINK("proteomic_fractions_linear_files/Yang_linear_img/13385804.jpg", "13385804")</f>
        <v>13385804</v>
      </c>
      <c r="C6482" s="3" t="str">
        <f>HYPERLINK("http://www.ncbi.nlm.nih.gov/protein/13385804","Rpp21")</f>
        <v>Rpp21</v>
      </c>
      <c r="E6482" t="str">
        <f>HYPERLINK("J:\Depot - mpkCCD Fractions\Main Web Page\Web Pages_old\proteomic_fractions_linear_files/Yang_linear_img/13385804.jpg","show blot")</f>
        <v>show blot</v>
      </c>
      <c r="G6482" t="s">
        <v>6260</v>
      </c>
      <c r="I6482" s="6">
        <v>3.6086106779453151</v>
      </c>
      <c r="K6482" s="8"/>
    </row>
    <row r="6483" spans="1:11" ht="15" x14ac:dyDescent="0.25">
      <c r="A6483" s="3" t="str">
        <f>HYPERLINK("proteomic_fractions_linear_files/Yang_linear_img/227430284.jpg", "227430284")</f>
        <v>227430284</v>
      </c>
      <c r="C6483" s="3" t="str">
        <f>HYPERLINK("http://www.ncbi.nlm.nih.gov/protein/227430284","Rpp25l")</f>
        <v>Rpp25l</v>
      </c>
      <c r="E6483" t="str">
        <f>HYPERLINK("J:\Depot - mpkCCD Fractions\Main Web Page\Web Pages_old\proteomic_fractions_linear_files/Yang_linear_img/227430284.jpg","show blot")</f>
        <v>show blot</v>
      </c>
      <c r="G6483" t="s">
        <v>6261</v>
      </c>
      <c r="I6483" s="6">
        <v>4.0289358855368027</v>
      </c>
      <c r="K6483" s="8"/>
    </row>
    <row r="6484" spans="1:11" ht="15" x14ac:dyDescent="0.25">
      <c r="A6484" s="3" t="str">
        <f>HYPERLINK("proteomic_fractions_linear_files/Yang_linear_img/257196209.jpg", "257196209")</f>
        <v>257196209</v>
      </c>
      <c r="C6484" s="3" t="str">
        <f>HYPERLINK("http://www.ncbi.nlm.nih.gov/protein/257196209","Rpp30")</f>
        <v>Rpp30</v>
      </c>
      <c r="E6484" t="str">
        <f>HYPERLINK("J:\Depot - mpkCCD Fractions\Main Web Page\Web Pages_old\proteomic_fractions_linear_files/Yang_linear_img/257196209.jpg","show blot")</f>
        <v>show blot</v>
      </c>
      <c r="G6484" t="s">
        <v>6262</v>
      </c>
      <c r="I6484" s="6">
        <v>5.0087324631824259</v>
      </c>
      <c r="K6484" s="8"/>
    </row>
    <row r="6485" spans="1:11" ht="15" x14ac:dyDescent="0.25">
      <c r="A6485" s="3" t="str">
        <f>HYPERLINK("proteomic_fractions_linear_files/Yang_linear_img/247300905.jpg", "247300905")</f>
        <v>247300905</v>
      </c>
      <c r="C6485" s="3" t="str">
        <f>HYPERLINK("http://www.ncbi.nlm.nih.gov/protein/247300905","Rpp38")</f>
        <v>Rpp38</v>
      </c>
      <c r="E6485" t="str">
        <f>HYPERLINK("J:\Depot - mpkCCD Fractions\Main Web Page\Web Pages_old\proteomic_fractions_linear_files/Yang_linear_img/247300905.jpg","show blot")</f>
        <v>show blot</v>
      </c>
      <c r="G6485" t="s">
        <v>6263</v>
      </c>
      <c r="I6485" s="6">
        <v>4.9918935188693681</v>
      </c>
      <c r="K6485" s="8"/>
    </row>
    <row r="6486" spans="1:11" ht="15" x14ac:dyDescent="0.25">
      <c r="A6486" s="3" t="str">
        <f>HYPERLINK("proteomic_fractions_linear_files/Yang_linear_img/172072663.jpg", "172072663")</f>
        <v>172072663</v>
      </c>
      <c r="C6486" s="3" t="str">
        <f>HYPERLINK("http://www.ncbi.nlm.nih.gov/protein/172072663","Rpp40")</f>
        <v>Rpp40</v>
      </c>
      <c r="E6486" t="str">
        <f>HYPERLINK("J:\Depot - mpkCCD Fractions\Main Web Page\Web Pages_old\proteomic_fractions_linear_files/Yang_linear_img/172072663.jpg","show blot")</f>
        <v>show blot</v>
      </c>
      <c r="G6486" t="s">
        <v>6264</v>
      </c>
      <c r="I6486" s="6">
        <v>3.9918999131136541</v>
      </c>
      <c r="K6486" s="8"/>
    </row>
    <row r="6487" spans="1:11" ht="15" x14ac:dyDescent="0.25">
      <c r="A6487" s="3" t="str">
        <f>HYPERLINK("proteomic_fractions_linear_files/Yang_linear_img/21450083.jpg", "21450083")</f>
        <v>21450083</v>
      </c>
      <c r="C6487" s="3" t="str">
        <f>HYPERLINK("http://www.ncbi.nlm.nih.gov/protein/21450083","Rprd1a")</f>
        <v>Rprd1a</v>
      </c>
      <c r="E6487" t="str">
        <f>HYPERLINK("J:\Depot - mpkCCD Fractions\Main Web Page\Web Pages_old\proteomic_fractions_linear_files/Yang_linear_img/21450083.jpg","show blot")</f>
        <v>show blot</v>
      </c>
      <c r="G6487" t="s">
        <v>6265</v>
      </c>
      <c r="I6487" s="6">
        <v>4.1149246656879557</v>
      </c>
      <c r="K6487" s="8"/>
    </row>
    <row r="6488" spans="1:11" ht="15" x14ac:dyDescent="0.25">
      <c r="A6488" s="3" t="str">
        <f>HYPERLINK("proteomic_fractions_linear_files/Yang_linear_img/34328077.jpg", "34328077")</f>
        <v>34328077</v>
      </c>
      <c r="C6488" s="3" t="str">
        <f>HYPERLINK("http://www.ncbi.nlm.nih.gov/protein/34328077","Rprd1b")</f>
        <v>Rprd1b</v>
      </c>
      <c r="E6488" t="str">
        <f>HYPERLINK("J:\Depot - mpkCCD Fractions\Main Web Page\Web Pages_old\proteomic_fractions_linear_files/Yang_linear_img/34328077.jpg","show blot")</f>
        <v>show blot</v>
      </c>
      <c r="G6488" t="s">
        <v>6266</v>
      </c>
      <c r="I6488" s="6">
        <v>5.8154983699942635</v>
      </c>
      <c r="K6488" s="8"/>
    </row>
    <row r="6489" spans="1:11" ht="15" x14ac:dyDescent="0.25">
      <c r="A6489" s="3" t="str">
        <f>HYPERLINK("proteomic_fractions_linear_files/Yang_linear_img/124486841.jpg", "124486841")</f>
        <v>124486841</v>
      </c>
      <c r="C6489" s="3" t="str">
        <f>HYPERLINK("http://www.ncbi.nlm.nih.gov/protein/124486841","Rprd2")</f>
        <v>Rprd2</v>
      </c>
      <c r="E6489" t="str">
        <f>HYPERLINK("J:\Depot - mpkCCD Fractions\Main Web Page\Web Pages_old\proteomic_fractions_linear_files/Yang_linear_img/124486841.jpg","show blot")</f>
        <v>show blot</v>
      </c>
      <c r="G6489" t="s">
        <v>6267</v>
      </c>
      <c r="I6489" s="6">
        <v>3.0261490792345707</v>
      </c>
      <c r="K6489" s="8"/>
    </row>
    <row r="6490" spans="1:11" ht="15" x14ac:dyDescent="0.25">
      <c r="A6490" s="3" t="str">
        <f>HYPERLINK("proteomic_fractions_linear_files/Yang_linear_img/13399310.jpg", "13399310")</f>
        <v>13399310</v>
      </c>
      <c r="C6490" s="3" t="str">
        <f>HYPERLINK("http://www.ncbi.nlm.nih.gov/protein/13399310","Rps10")</f>
        <v>Rps10</v>
      </c>
      <c r="E6490" t="str">
        <f>HYPERLINK("J:\Depot - mpkCCD Fractions\Main Web Page\Web Pages_old\proteomic_fractions_linear_files/Yang_linear_img/13399310.jpg","show blot")</f>
        <v>show blot</v>
      </c>
      <c r="G6490" t="s">
        <v>6268</v>
      </c>
      <c r="I6490" s="6">
        <v>6.559689431456766</v>
      </c>
      <c r="K6490" s="8"/>
    </row>
    <row r="6491" spans="1:11" ht="15" x14ac:dyDescent="0.25">
      <c r="A6491" s="3" t="str">
        <f>HYPERLINK("proteomic_fractions_linear_files/Yang_linear_img/21426889.jpg", "21426889")</f>
        <v>21426889</v>
      </c>
      <c r="C6491" s="3" t="str">
        <f>HYPERLINK("http://www.ncbi.nlm.nih.gov/protein/21426889","Rps11")</f>
        <v>Rps11</v>
      </c>
      <c r="E6491" t="str">
        <f>HYPERLINK("J:\Depot - mpkCCD Fractions\Main Web Page\Web Pages_old\proteomic_fractions_linear_files/Yang_linear_img/21426889.jpg","show blot")</f>
        <v>show blot</v>
      </c>
      <c r="G6491" t="s">
        <v>6269</v>
      </c>
      <c r="I6491" s="6">
        <v>6.8922886986715337</v>
      </c>
      <c r="K6491" s="8"/>
    </row>
    <row r="6492" spans="1:11" ht="15" x14ac:dyDescent="0.25">
      <c r="A6492" s="3" t="str">
        <f>HYPERLINK("proteomic_fractions_linear_files/Yang_linear_img/40254577.jpg", "40254577")</f>
        <v>40254577</v>
      </c>
      <c r="C6492" s="3" t="str">
        <f>HYPERLINK("http://www.ncbi.nlm.nih.gov/protein/40254577","Rps12")</f>
        <v>Rps12</v>
      </c>
      <c r="E6492" t="str">
        <f>HYPERLINK("J:\Depot - mpkCCD Fractions\Main Web Page\Web Pages_old\proteomic_fractions_linear_files/Yang_linear_img/40254577.jpg","show blot")</f>
        <v>show blot</v>
      </c>
      <c r="G6492" t="s">
        <v>6270</v>
      </c>
      <c r="I6492" s="6">
        <v>6.8596824340950997</v>
      </c>
      <c r="K6492" s="8"/>
    </row>
    <row r="6493" spans="1:11" ht="15" x14ac:dyDescent="0.25">
      <c r="A6493" s="3" t="str">
        <f>HYPERLINK("proteomic_fractions_linear_files/Yang_linear_img/149258592.jpg", "149258592")</f>
        <v>149258592</v>
      </c>
      <c r="C6493" s="3" t="str">
        <f>HYPERLINK("http://www.ncbi.nlm.nih.gov/protein/149258592","Rps12l2")</f>
        <v>Rps12l2</v>
      </c>
      <c r="E6493" t="str">
        <f>HYPERLINK("J:\Depot - mpkCCD Fractions\Main Web Page\Web Pages_old\proteomic_fractions_linear_files/Yang_linear_img/149258592.jpg","show blot")</f>
        <v>show blot</v>
      </c>
      <c r="G6493" t="s">
        <v>2716</v>
      </c>
      <c r="I6493" s="6">
        <v>6.6099749177263005</v>
      </c>
      <c r="K6493" s="8"/>
    </row>
    <row r="6494" spans="1:11" ht="15" x14ac:dyDescent="0.25">
      <c r="A6494" s="3" t="str">
        <f>HYPERLINK("proteomic_fractions_linear_files/Yang_linear_img/149250091.jpg", "149250091")</f>
        <v>149250091</v>
      </c>
      <c r="C6494" s="3" t="str">
        <f>HYPERLINK("http://www.ncbi.nlm.nih.gov/protein/149250091","Rps12-ps10")</f>
        <v>Rps12-ps10</v>
      </c>
      <c r="E6494" t="str">
        <f>HYPERLINK("J:\Depot - mpkCCD Fractions\Main Web Page\Web Pages_old\proteomic_fractions_linear_files/Yang_linear_img/149250091.jpg","show blot")</f>
        <v>show blot</v>
      </c>
      <c r="G6494" t="s">
        <v>2716</v>
      </c>
      <c r="I6494" s="6">
        <v>6.8596824340950997</v>
      </c>
      <c r="K6494" s="8"/>
    </row>
    <row r="6495" spans="1:11" ht="15" x14ac:dyDescent="0.25">
      <c r="A6495" s="3" t="str">
        <f>HYPERLINK("proteomic_fractions_linear_files/Yang_linear_img/51772387.jpg", "51772387")</f>
        <v>51772387</v>
      </c>
      <c r="C6495" s="3" t="str">
        <f>HYPERLINK("http://www.ncbi.nlm.nih.gov/protein/51772387","Rps12-ps11")</f>
        <v>Rps12-ps11</v>
      </c>
      <c r="E6495" t="str">
        <f>HYPERLINK("J:\Depot - mpkCCD Fractions\Main Web Page\Web Pages_old\proteomic_fractions_linear_files/Yang_linear_img/51772387.jpg","show blot")</f>
        <v>show blot</v>
      </c>
      <c r="G6495" t="s">
        <v>2716</v>
      </c>
      <c r="I6495" s="6">
        <v>6.78195425651304</v>
      </c>
      <c r="K6495" s="8"/>
    </row>
    <row r="6496" spans="1:11" ht="15" x14ac:dyDescent="0.25">
      <c r="A6496" s="3" t="str">
        <f>HYPERLINK("proteomic_fractions_linear_files/Yang_linear_img/149272239.jpg", "149272239")</f>
        <v>149272239</v>
      </c>
      <c r="C6496" s="3" t="str">
        <f>HYPERLINK("http://www.ncbi.nlm.nih.gov/protein/149272239","Rps12-ps16")</f>
        <v>Rps12-ps16</v>
      </c>
      <c r="E6496" t="str">
        <f>HYPERLINK("J:\Depot - mpkCCD Fractions\Main Web Page\Web Pages_old\proteomic_fractions_linear_files/Yang_linear_img/149272239.jpg","show blot")</f>
        <v>show blot</v>
      </c>
      <c r="G6496" t="s">
        <v>6271</v>
      </c>
      <c r="I6496" s="6">
        <v>6.804084515396398</v>
      </c>
      <c r="K6496" s="8"/>
    </row>
    <row r="6497" spans="1:11" ht="15" x14ac:dyDescent="0.25">
      <c r="A6497" s="3" t="str">
        <f>HYPERLINK("proteomic_fractions_linear_files/Yang_linear_img/13386034.jpg", "13386034")</f>
        <v>13386034</v>
      </c>
      <c r="C6497" s="3" t="str">
        <f>HYPERLINK("http://www.ncbi.nlm.nih.gov/protein/13386034","Rps13")</f>
        <v>Rps13</v>
      </c>
      <c r="E6497" t="str">
        <f>HYPERLINK("J:\Depot - mpkCCD Fractions\Main Web Page\Web Pages_old\proteomic_fractions_linear_files/Yang_linear_img/13386034.jpg","show blot")</f>
        <v>show blot</v>
      </c>
      <c r="G6497" t="s">
        <v>6272</v>
      </c>
      <c r="I6497" s="6">
        <v>6.8331455056369803</v>
      </c>
      <c r="K6497" s="8"/>
    </row>
    <row r="6498" spans="1:11" ht="15" x14ac:dyDescent="0.25">
      <c r="A6498" s="3" t="str">
        <f>HYPERLINK("proteomic_fractions_linear_files/Yang_linear_img/31981100.jpg", "31981100")</f>
        <v>31981100</v>
      </c>
      <c r="C6498" s="3" t="str">
        <f>HYPERLINK("http://www.ncbi.nlm.nih.gov/protein/31981100","Rps14")</f>
        <v>Rps14</v>
      </c>
      <c r="E6498" t="str">
        <f>HYPERLINK("J:\Depot - mpkCCD Fractions\Main Web Page\Web Pages_old\proteomic_fractions_linear_files/Yang_linear_img/31981100.jpg","show blot")</f>
        <v>show blot</v>
      </c>
      <c r="G6498" t="s">
        <v>6273</v>
      </c>
      <c r="I6498" s="6">
        <v>6.9400343681504486</v>
      </c>
      <c r="K6498" s="8"/>
    </row>
    <row r="6499" spans="1:11" ht="15" x14ac:dyDescent="0.25">
      <c r="A6499" s="3" t="str">
        <f>HYPERLINK("proteomic_fractions_linear_files/Yang_linear_img/6677799.jpg", "6677799")</f>
        <v>6677799</v>
      </c>
      <c r="C6499" s="3" t="str">
        <f>HYPERLINK("http://www.ncbi.nlm.nih.gov/protein/6677799","Rps15")</f>
        <v>Rps15</v>
      </c>
      <c r="E6499" t="str">
        <f>HYPERLINK("J:\Depot - mpkCCD Fractions\Main Web Page\Web Pages_old\proteomic_fractions_linear_files/Yang_linear_img/6677799.jpg","show blot")</f>
        <v>show blot</v>
      </c>
      <c r="G6499" t="s">
        <v>6274</v>
      </c>
      <c r="I6499" s="6">
        <v>6.1245400623858695</v>
      </c>
      <c r="K6499" s="8"/>
    </row>
    <row r="6500" spans="1:11" ht="15" x14ac:dyDescent="0.25">
      <c r="A6500" s="3" t="str">
        <f>HYPERLINK("proteomic_fractions_linear_files/Yang_linear_img/24762230.jpg", "24762230")</f>
        <v>24762230</v>
      </c>
      <c r="C6500" s="3" t="str">
        <f>HYPERLINK("http://www.ncbi.nlm.nih.gov/protein/24762230","Rps15a")</f>
        <v>Rps15a</v>
      </c>
      <c r="E6500" t="str">
        <f>HYPERLINK("J:\Depot - mpkCCD Fractions\Main Web Page\Web Pages_old\proteomic_fractions_linear_files/Yang_linear_img/24762230.jpg","show blot")</f>
        <v>show blot</v>
      </c>
      <c r="G6500" t="s">
        <v>6275</v>
      </c>
      <c r="I6500" s="6">
        <v>6.9738281059205303</v>
      </c>
      <c r="K6500" s="8"/>
    </row>
    <row r="6501" spans="1:11" ht="15" x14ac:dyDescent="0.25">
      <c r="A6501" s="3" t="str">
        <f>HYPERLINK("proteomic_fractions_linear_files/Yang_linear_img/309265366.jpg", "309265366")</f>
        <v>309265366</v>
      </c>
      <c r="C6501" s="3" t="str">
        <f>HYPERLINK("http://www.ncbi.nlm.nih.gov/protein/309265366","Rps15a-ps5")</f>
        <v>Rps15a-ps5</v>
      </c>
      <c r="E6501" t="str">
        <f>HYPERLINK("J:\Depot - mpkCCD Fractions\Main Web Page\Web Pages_old\proteomic_fractions_linear_files/Yang_linear_img/309265366.jpg","show blot")</f>
        <v>show blot</v>
      </c>
      <c r="G6501" t="s">
        <v>6276</v>
      </c>
      <c r="I6501" s="6">
        <v>6.7780710224112273</v>
      </c>
      <c r="K6501" s="8"/>
    </row>
    <row r="6502" spans="1:11" ht="15" x14ac:dyDescent="0.25">
      <c r="A6502" s="3" t="str">
        <f>HYPERLINK("proteomic_fractions_linear_files/Yang_linear_img/158966704.jpg", "158966704")</f>
        <v>158966704</v>
      </c>
      <c r="C6502" s="3" t="str">
        <f>HYPERLINK("http://www.ncbi.nlm.nih.gov/protein/158966704","Rps16")</f>
        <v>Rps16</v>
      </c>
      <c r="E6502" t="str">
        <f>HYPERLINK("J:\Depot - mpkCCD Fractions\Main Web Page\Web Pages_old\proteomic_fractions_linear_files/Yang_linear_img/158966704.jpg","show blot")</f>
        <v>show blot</v>
      </c>
      <c r="G6502" t="s">
        <v>6277</v>
      </c>
      <c r="I6502" s="6">
        <v>7.2214877642390007</v>
      </c>
      <c r="K6502" s="8"/>
    </row>
    <row r="6503" spans="1:11" ht="15" x14ac:dyDescent="0.25">
      <c r="A6503" s="3" t="str">
        <f>HYPERLINK("proteomic_fractions_linear_files/Yang_linear_img/6677801.jpg", "6677801")</f>
        <v>6677801</v>
      </c>
      <c r="C6503" s="3" t="str">
        <f>HYPERLINK("http://www.ncbi.nlm.nih.gov/protein/6677801","Rps17")</f>
        <v>Rps17</v>
      </c>
      <c r="E6503" t="str">
        <f>HYPERLINK("J:\Depot - mpkCCD Fractions\Main Web Page\Web Pages_old\proteomic_fractions_linear_files/Yang_linear_img/6677801.jpg","show blot")</f>
        <v>show blot</v>
      </c>
      <c r="G6503" t="s">
        <v>6278</v>
      </c>
      <c r="I6503" s="6">
        <v>6.9735036980499778</v>
      </c>
      <c r="K6503" s="8"/>
    </row>
    <row r="6504" spans="1:11" ht="15" x14ac:dyDescent="0.25">
      <c r="A6504" s="3" t="str">
        <f>HYPERLINK("proteomic_fractions_linear_files/Yang_linear_img/6755368.jpg", "6755368")</f>
        <v>6755368</v>
      </c>
      <c r="C6504" s="3" t="str">
        <f>HYPERLINK("http://www.ncbi.nlm.nih.gov/protein/6755368","Rps18")</f>
        <v>Rps18</v>
      </c>
      <c r="E6504" t="str">
        <f>HYPERLINK("J:\Depot - mpkCCD Fractions\Main Web Page\Web Pages_old\proteomic_fractions_linear_files/Yang_linear_img/6755368.jpg","show blot")</f>
        <v>show blot</v>
      </c>
      <c r="G6504" t="s">
        <v>6279</v>
      </c>
      <c r="I6504" s="6">
        <v>7.1820347953493382</v>
      </c>
      <c r="K6504" s="8"/>
    </row>
    <row r="6505" spans="1:11" ht="15" x14ac:dyDescent="0.25">
      <c r="A6505" s="3" t="str">
        <f>HYPERLINK("proteomic_fractions_linear_files/Yang_linear_img/12963511.jpg", "12963511")</f>
        <v>12963511</v>
      </c>
      <c r="C6505" s="3" t="str">
        <f>HYPERLINK("http://www.ncbi.nlm.nih.gov/protein/12963511","Rps19")</f>
        <v>Rps19</v>
      </c>
      <c r="E6505" t="str">
        <f>HYPERLINK("J:\Depot - mpkCCD Fractions\Main Web Page\Web Pages_old\proteomic_fractions_linear_files/Yang_linear_img/12963511.jpg","show blot")</f>
        <v>show blot</v>
      </c>
      <c r="G6505" t="s">
        <v>6280</v>
      </c>
      <c r="I6505" s="6">
        <v>7.0176811372822856</v>
      </c>
      <c r="K6505" s="8"/>
    </row>
    <row r="6506" spans="1:11" ht="15" x14ac:dyDescent="0.25">
      <c r="A6506" s="3" t="str">
        <f>HYPERLINK("proteomic_fractions_linear_files/Yang_linear_img/30424711.jpg", "30424711")</f>
        <v>30424711</v>
      </c>
      <c r="C6506" s="3" t="str">
        <f>HYPERLINK("http://www.ncbi.nlm.nih.gov/protein/30424711","Rps19bp1")</f>
        <v>Rps19bp1</v>
      </c>
      <c r="E6506" t="str">
        <f>HYPERLINK("J:\Depot - mpkCCD Fractions\Main Web Page\Web Pages_old\proteomic_fractions_linear_files/Yang_linear_img/30424711.jpg","show blot")</f>
        <v>show blot</v>
      </c>
      <c r="G6506" t="s">
        <v>6281</v>
      </c>
      <c r="I6506" s="6">
        <v>4.2192592130359117</v>
      </c>
      <c r="K6506" s="8"/>
    </row>
    <row r="6507" spans="1:11" ht="15" x14ac:dyDescent="0.25">
      <c r="A6507" s="3" t="str">
        <f>HYPERLINK("proteomic_fractions_linear_files/Yang_linear_img/18087805.jpg", "18087805")</f>
        <v>18087805</v>
      </c>
      <c r="C6507" s="3" t="str">
        <f>HYPERLINK("http://www.ncbi.nlm.nih.gov/protein/18087805","Rps2")</f>
        <v>Rps2</v>
      </c>
      <c r="E6507" t="str">
        <f>HYPERLINK("J:\Depot - mpkCCD Fractions\Main Web Page\Web Pages_old\proteomic_fractions_linear_files/Yang_linear_img/18087805.jpg","show blot")</f>
        <v>show blot</v>
      </c>
      <c r="G6507" t="s">
        <v>6282</v>
      </c>
      <c r="I6507" s="6">
        <v>6.8531743441171322</v>
      </c>
      <c r="K6507" s="8"/>
    </row>
    <row r="6508" spans="1:11" ht="15" x14ac:dyDescent="0.25">
      <c r="A6508" s="3" t="str">
        <f>HYPERLINK("proteomic_fractions_linear_files/Yang_linear_img/13385652.jpg", "13385652")</f>
        <v>13385652</v>
      </c>
      <c r="C6508" s="3" t="str">
        <f>HYPERLINK("http://www.ncbi.nlm.nih.gov/protein/13385652","Rps20")</f>
        <v>Rps20</v>
      </c>
      <c r="E6508" t="str">
        <f>HYPERLINK("J:\Depot - mpkCCD Fractions\Main Web Page\Web Pages_old\proteomic_fractions_linear_files/Yang_linear_img/13385652.jpg","show blot")</f>
        <v>show blot</v>
      </c>
      <c r="G6508" t="s">
        <v>6283</v>
      </c>
      <c r="I6508" s="6">
        <v>6.93461010169578</v>
      </c>
      <c r="K6508" s="8"/>
    </row>
    <row r="6509" spans="1:11" ht="15" x14ac:dyDescent="0.25">
      <c r="A6509" s="3" t="str">
        <f>HYPERLINK("proteomic_fractions_linear_files/Yang_linear_img/21536222.jpg", "21536222")</f>
        <v>21536222</v>
      </c>
      <c r="C6509" s="3" t="str">
        <f>HYPERLINK("http://www.ncbi.nlm.nih.gov/protein/21536222","Rps21")</f>
        <v>Rps21</v>
      </c>
      <c r="E6509" t="str">
        <f>HYPERLINK("J:\Depot - mpkCCD Fractions\Main Web Page\Web Pages_old\proteomic_fractions_linear_files/Yang_linear_img/21536222.jpg","show blot")</f>
        <v>show blot</v>
      </c>
      <c r="G6509" t="s">
        <v>6284</v>
      </c>
      <c r="I6509" s="6">
        <v>6.2865022862997542</v>
      </c>
      <c r="K6509" s="8"/>
    </row>
    <row r="6510" spans="1:11" ht="15" x14ac:dyDescent="0.25">
      <c r="A6510" s="3" t="str">
        <f>HYPERLINK("proteomic_fractions_linear_files/Yang_linear_img/13195604.jpg", "13195604")</f>
        <v>13195604</v>
      </c>
      <c r="C6510" s="3" t="str">
        <f>HYPERLINK("http://www.ncbi.nlm.nih.gov/protein/13195604","Rps23")</f>
        <v>Rps23</v>
      </c>
      <c r="E6510" t="str">
        <f>HYPERLINK("J:\Depot - mpkCCD Fractions\Main Web Page\Web Pages_old\proteomic_fractions_linear_files/Yang_linear_img/13195604.jpg","show blot")</f>
        <v>show blot</v>
      </c>
      <c r="G6510" t="s">
        <v>6285</v>
      </c>
      <c r="I6510" s="6">
        <v>6.537601685338128</v>
      </c>
      <c r="K6510" s="8"/>
    </row>
    <row r="6511" spans="1:11" ht="15" x14ac:dyDescent="0.25">
      <c r="A6511" s="3" t="str">
        <f>HYPERLINK("proteomic_fractions_linear_files/Yang_linear_img/46519156.jpg", "46519156")</f>
        <v>46519156</v>
      </c>
      <c r="C6511" s="3" t="str">
        <f>HYPERLINK("http://www.ncbi.nlm.nih.gov/protein/46519156","Rps24")</f>
        <v>Rps24</v>
      </c>
      <c r="E6511" t="str">
        <f>HYPERLINK("J:\Depot - mpkCCD Fractions\Main Web Page\Web Pages_old\proteomic_fractions_linear_files/Yang_linear_img/46519156.jpg","show blot")</f>
        <v>show blot</v>
      </c>
      <c r="G6511" t="s">
        <v>6286</v>
      </c>
      <c r="I6511" s="6">
        <v>6.4644530272338514</v>
      </c>
      <c r="K6511" s="8"/>
    </row>
    <row r="6512" spans="1:11" ht="15" x14ac:dyDescent="0.25">
      <c r="A6512" s="3" t="str">
        <f>HYPERLINK("proteomic_fractions_linear_files/Yang_linear_img/46519160.jpg", "46519160")</f>
        <v>46519160</v>
      </c>
      <c r="C6512" s="3" t="str">
        <f>HYPERLINK("http://www.ncbi.nlm.nih.gov/protein/46519160","Rps24")</f>
        <v>Rps24</v>
      </c>
      <c r="E6512" t="str">
        <f>HYPERLINK("J:\Depot - mpkCCD Fractions\Main Web Page\Web Pages_old\proteomic_fractions_linear_files/Yang_linear_img/46519160.jpg","show blot")</f>
        <v>show blot</v>
      </c>
      <c r="G6512" t="s">
        <v>6287</v>
      </c>
      <c r="I6512" s="6">
        <v>6.4644530272338514</v>
      </c>
      <c r="K6512" s="8"/>
    </row>
    <row r="6513" spans="1:11" ht="15" x14ac:dyDescent="0.25">
      <c r="A6513" s="3" t="str">
        <f>HYPERLINK("proteomic_fractions_linear_files/Yang_linear_img/28372479.jpg", "28372479")</f>
        <v>28372479</v>
      </c>
      <c r="C6513" s="3" t="str">
        <f>HYPERLINK("http://www.ncbi.nlm.nih.gov/protein/28372479","Rps25")</f>
        <v>Rps25</v>
      </c>
      <c r="E6513" t="str">
        <f>HYPERLINK("J:\Depot - mpkCCD Fractions\Main Web Page\Web Pages_old\proteomic_fractions_linear_files/Yang_linear_img/28372479.jpg","show blot")</f>
        <v>show blot</v>
      </c>
      <c r="G6513" t="s">
        <v>6288</v>
      </c>
      <c r="I6513" s="6">
        <v>6.9461092378902096</v>
      </c>
      <c r="K6513" s="8"/>
    </row>
    <row r="6514" spans="1:11" ht="15" x14ac:dyDescent="0.25">
      <c r="A6514" s="3" t="str">
        <f>HYPERLINK("proteomic_fractions_linear_files/Yang_linear_img/255003793.jpg", "255003793")</f>
        <v>255003793</v>
      </c>
      <c r="C6514" s="3" t="str">
        <f>HYPERLINK("http://www.ncbi.nlm.nih.gov/protein/255003793","Rps26")</f>
        <v>Rps26</v>
      </c>
      <c r="E6514" t="str">
        <f>HYPERLINK("J:\Depot - mpkCCD Fractions\Main Web Page\Web Pages_old\proteomic_fractions_linear_files/Yang_linear_img/255003793.jpg","show blot")</f>
        <v>show blot</v>
      </c>
      <c r="G6514" t="s">
        <v>6289</v>
      </c>
      <c r="I6514" s="6">
        <v>6.9559996556971671</v>
      </c>
      <c r="K6514" s="8"/>
    </row>
    <row r="6515" spans="1:11" ht="15" x14ac:dyDescent="0.25">
      <c r="A6515" s="3" t="str">
        <f>HYPERLINK("proteomic_fractions_linear_files/Yang_linear_img/26024336;298231238.jpg", "26024336;298231238")</f>
        <v>26024336;298231238</v>
      </c>
      <c r="C6515" s="3" t="str">
        <f>HYPERLINK("http://www.ncbi.nlm.nih.gov/protein/26024336;298231238","Rps27")</f>
        <v>Rps27</v>
      </c>
      <c r="E6515" t="str">
        <f>HYPERLINK("J:\Depot - mpkCCD Fractions\Main Web Page\Web Pages_old\proteomic_fractions_linear_files/Yang_linear_img/26024336;298231238.jpg","show blot")</f>
        <v>show blot</v>
      </c>
      <c r="G6515" t="s">
        <v>6290</v>
      </c>
      <c r="I6515" s="6">
        <v>6.1970128215339084</v>
      </c>
      <c r="K6515" s="8"/>
    </row>
    <row r="6516" spans="1:11" ht="15" x14ac:dyDescent="0.25">
      <c r="A6516" s="3" t="str">
        <f>HYPERLINK("proteomic_fractions_linear_files/Yang_linear_img/13195690.jpg", "13195690")</f>
        <v>13195690</v>
      </c>
      <c r="C6516" s="3" t="str">
        <f>HYPERLINK("http://www.ncbi.nlm.nih.gov/protein/13195690","Rps27a")</f>
        <v>Rps27a</v>
      </c>
      <c r="E6516" t="str">
        <f>HYPERLINK("J:\Depot - mpkCCD Fractions\Main Web Page\Web Pages_old\proteomic_fractions_linear_files/Yang_linear_img/13195690.jpg","show blot")</f>
        <v>show blot</v>
      </c>
      <c r="G6516" t="s">
        <v>6291</v>
      </c>
      <c r="I6516" s="6">
        <v>7.4741054341259181</v>
      </c>
      <c r="K6516" s="8"/>
    </row>
    <row r="6517" spans="1:11" ht="15" x14ac:dyDescent="0.25">
      <c r="A6517" s="3" t="str">
        <f>HYPERLINK("proteomic_fractions_linear_files/Yang_linear_img/13385958.jpg", "13385958")</f>
        <v>13385958</v>
      </c>
      <c r="C6517" s="3" t="str">
        <f>HYPERLINK("http://www.ncbi.nlm.nih.gov/protein/13385958","Rps27l")</f>
        <v>Rps27l</v>
      </c>
      <c r="E6517" t="str">
        <f>HYPERLINK("J:\Depot - mpkCCD Fractions\Main Web Page\Web Pages_old\proteomic_fractions_linear_files/Yang_linear_img/13385958.jpg","show blot")</f>
        <v>show blot</v>
      </c>
      <c r="G6517" t="s">
        <v>6292</v>
      </c>
      <c r="I6517" s="6">
        <v>6.5712614105977396</v>
      </c>
      <c r="K6517" s="8"/>
    </row>
    <row r="6518" spans="1:11" ht="15" x14ac:dyDescent="0.25">
      <c r="A6518" s="3" t="str">
        <f>HYPERLINK("proteomic_fractions_linear_files/Yang_linear_img/298231238.jpg", "298231238")</f>
        <v>298231238</v>
      </c>
      <c r="C6518" s="3" t="str">
        <f>HYPERLINK("http://www.ncbi.nlm.nih.gov/protein/298231238","Rps27rt")</f>
        <v>Rps27rt</v>
      </c>
      <c r="E6518" t="str">
        <f>HYPERLINK("J:\Depot - mpkCCD Fractions\Main Web Page\Web Pages_old\proteomic_fractions_linear_files/Yang_linear_img/298231238.jpg","show blot")</f>
        <v>show blot</v>
      </c>
      <c r="G6518" t="s">
        <v>6293</v>
      </c>
      <c r="I6518" s="6">
        <v>6.4490441838525809</v>
      </c>
      <c r="K6518" s="8"/>
    </row>
    <row r="6519" spans="1:11" ht="15" x14ac:dyDescent="0.25">
      <c r="A6519" s="3" t="str">
        <f>HYPERLINK("proteomic_fractions_linear_files/Yang_linear_img/21426821.jpg", "21426821")</f>
        <v>21426821</v>
      </c>
      <c r="C6519" s="3" t="str">
        <f>HYPERLINK("http://www.ncbi.nlm.nih.gov/protein/21426821","Rps28")</f>
        <v>Rps28</v>
      </c>
      <c r="E6519" t="str">
        <f>HYPERLINK("J:\Depot - mpkCCD Fractions\Main Web Page\Web Pages_old\proteomic_fractions_linear_files/Yang_linear_img/21426821.jpg","show blot")</f>
        <v>show blot</v>
      </c>
      <c r="G6519" t="s">
        <v>6294</v>
      </c>
      <c r="I6519" s="6">
        <v>6.2722436495472849</v>
      </c>
      <c r="K6519" s="8"/>
    </row>
    <row r="6520" spans="1:11" ht="15" x14ac:dyDescent="0.25">
      <c r="A6520" s="3" t="str">
        <f>HYPERLINK("proteomic_fractions_linear_files/Yang_linear_img/6677803.jpg", "6677803")</f>
        <v>6677803</v>
      </c>
      <c r="C6520" s="3" t="str">
        <f>HYPERLINK("http://www.ncbi.nlm.nih.gov/protein/6677803","Rps29")</f>
        <v>Rps29</v>
      </c>
      <c r="E6520" t="str">
        <f>HYPERLINK("J:\Depot - mpkCCD Fractions\Main Web Page\Web Pages_old\proteomic_fractions_linear_files/Yang_linear_img/6677803.jpg","show blot")</f>
        <v>show blot</v>
      </c>
      <c r="G6520" t="s">
        <v>6295</v>
      </c>
      <c r="I6520" s="6">
        <v>6.1540285243000126</v>
      </c>
      <c r="K6520" s="8"/>
    </row>
    <row r="6521" spans="1:11" ht="15" x14ac:dyDescent="0.25">
      <c r="A6521" s="3" t="str">
        <f>HYPERLINK("proteomic_fractions_linear_files/Yang_linear_img/6755372.jpg", "6755372")</f>
        <v>6755372</v>
      </c>
      <c r="C6521" s="3" t="str">
        <f>HYPERLINK("http://www.ncbi.nlm.nih.gov/protein/6755372","Rps3")</f>
        <v>Rps3</v>
      </c>
      <c r="E6521" t="str">
        <f>HYPERLINK("J:\Depot - mpkCCD Fractions\Main Web Page\Web Pages_old\proteomic_fractions_linear_files/Yang_linear_img/6755372.jpg","show blot")</f>
        <v>show blot</v>
      </c>
      <c r="G6521" t="s">
        <v>6296</v>
      </c>
      <c r="I6521" s="6">
        <v>7.178950650559889</v>
      </c>
      <c r="K6521" s="8"/>
    </row>
    <row r="6522" spans="1:11" ht="15" x14ac:dyDescent="0.25">
      <c r="A6522" s="3" t="str">
        <f>HYPERLINK("proteomic_fractions_linear_files/Yang_linear_img/254553321.jpg", "254553321")</f>
        <v>254553321</v>
      </c>
      <c r="C6522" s="3" t="str">
        <f>HYPERLINK("http://www.ncbi.nlm.nih.gov/protein/254553321","Rps3a1")</f>
        <v>Rps3a1</v>
      </c>
      <c r="E6522" t="str">
        <f>HYPERLINK("J:\Depot - mpkCCD Fractions\Main Web Page\Web Pages_old\proteomic_fractions_linear_files/Yang_linear_img/254553321.jpg","show blot")</f>
        <v>show blot</v>
      </c>
      <c r="G6522" t="s">
        <v>6297</v>
      </c>
      <c r="I6522" s="6">
        <v>6.8966822522568778</v>
      </c>
      <c r="K6522" s="8"/>
    </row>
    <row r="6523" spans="1:11" ht="15" x14ac:dyDescent="0.25">
      <c r="A6523" s="3" t="str">
        <f>HYPERLINK("proteomic_fractions_linear_files/Yang_linear_img/6677805.jpg", "6677805")</f>
        <v>6677805</v>
      </c>
      <c r="C6523" s="3" t="str">
        <f>HYPERLINK("http://www.ncbi.nlm.nih.gov/protein/6677805","Rps4x")</f>
        <v>Rps4x</v>
      </c>
      <c r="E6523" t="str">
        <f>HYPERLINK("J:\Depot - mpkCCD Fractions\Main Web Page\Web Pages_old\proteomic_fractions_linear_files/Yang_linear_img/6677805.jpg","show blot")</f>
        <v>show blot</v>
      </c>
      <c r="G6523" t="s">
        <v>6298</v>
      </c>
      <c r="I6523" s="6">
        <v>6.8552480230946902</v>
      </c>
      <c r="K6523" s="8"/>
    </row>
    <row r="6524" spans="1:11" ht="15" x14ac:dyDescent="0.25">
      <c r="A6524" s="3" t="str">
        <f>HYPERLINK("proteomic_fractions_linear_files/Yang_linear_img/254675270.jpg", "254675270")</f>
        <v>254675270</v>
      </c>
      <c r="C6524" s="3" t="str">
        <f>HYPERLINK("http://www.ncbi.nlm.nih.gov/protein/254675270","Rps5")</f>
        <v>Rps5</v>
      </c>
      <c r="E6524" t="str">
        <f>HYPERLINK("J:\Depot - mpkCCD Fractions\Main Web Page\Web Pages_old\proteomic_fractions_linear_files/Yang_linear_img/254675270.jpg","show blot")</f>
        <v>show blot</v>
      </c>
      <c r="G6524" t="s">
        <v>6299</v>
      </c>
      <c r="I6524" s="6">
        <v>6.6199564074794379</v>
      </c>
      <c r="K6524" s="8"/>
    </row>
    <row r="6525" spans="1:11" ht="15" x14ac:dyDescent="0.25">
      <c r="A6525" s="3" t="str">
        <f>HYPERLINK("proteomic_fractions_linear_files/Yang_linear_img/158636007.jpg", "158636007")</f>
        <v>158636007</v>
      </c>
      <c r="C6525" s="3" t="str">
        <f>HYPERLINK("http://www.ncbi.nlm.nih.gov/protein/158636007","Rps6ka1")</f>
        <v>Rps6ka1</v>
      </c>
      <c r="E6525" t="str">
        <f>HYPERLINK("J:\Depot - mpkCCD Fractions\Main Web Page\Web Pages_old\proteomic_fractions_linear_files/Yang_linear_img/158636007.jpg","show blot")</f>
        <v>show blot</v>
      </c>
      <c r="G6525" t="s">
        <v>6300</v>
      </c>
      <c r="I6525" s="6">
        <v>4.9138481683990651</v>
      </c>
      <c r="K6525" s="8"/>
    </row>
    <row r="6526" spans="1:11" ht="15" x14ac:dyDescent="0.25">
      <c r="A6526" s="3" t="str">
        <f>HYPERLINK("proteomic_fractions_linear_files/Yang_linear_img/6755374.jpg", "6755374")</f>
        <v>6755374</v>
      </c>
      <c r="C6526" s="3" t="str">
        <f>HYPERLINK("http://www.ncbi.nlm.nih.gov/protein/6755374","Rps6ka2")</f>
        <v>Rps6ka2</v>
      </c>
      <c r="E6526" t="str">
        <f>HYPERLINK("J:\Depot - mpkCCD Fractions\Main Web Page\Web Pages_old\proteomic_fractions_linear_files/Yang_linear_img/6755374.jpg","show blot")</f>
        <v>show blot</v>
      </c>
      <c r="G6526" t="s">
        <v>6301</v>
      </c>
      <c r="I6526" s="6">
        <v>4.7075013429458785</v>
      </c>
      <c r="K6526" s="8"/>
    </row>
    <row r="6527" spans="1:11" ht="15" x14ac:dyDescent="0.25">
      <c r="A6527" s="3" t="str">
        <f>HYPERLINK("proteomic_fractions_linear_files/Yang_linear_img/22507357.jpg", "22507357")</f>
        <v>22507357</v>
      </c>
      <c r="C6527" s="3" t="str">
        <f>HYPERLINK("http://www.ncbi.nlm.nih.gov/protein/22507357","Rps6ka3")</f>
        <v>Rps6ka3</v>
      </c>
      <c r="E6527" t="str">
        <f>HYPERLINK("J:\Depot - mpkCCD Fractions\Main Web Page\Web Pages_old\proteomic_fractions_linear_files/Yang_linear_img/22507357.jpg","show blot")</f>
        <v>show blot</v>
      </c>
      <c r="G6527" t="s">
        <v>6302</v>
      </c>
      <c r="I6527" s="6">
        <v>5.0717709588416895</v>
      </c>
      <c r="K6527" s="8"/>
    </row>
    <row r="6528" spans="1:11" ht="15" x14ac:dyDescent="0.25">
      <c r="A6528" s="3" t="str">
        <f>HYPERLINK("proteomic_fractions_linear_files/Yang_linear_img/9910454.jpg", "9910454")</f>
        <v>9910454</v>
      </c>
      <c r="C6528" s="3" t="str">
        <f>HYPERLINK("http://www.ncbi.nlm.nih.gov/protein/9910454","Rps6ka4")</f>
        <v>Rps6ka4</v>
      </c>
      <c r="E6528" t="str">
        <f>HYPERLINK("J:\Depot - mpkCCD Fractions\Main Web Page\Web Pages_old\proteomic_fractions_linear_files/Yang_linear_img/9910454.jpg","show blot")</f>
        <v>show blot</v>
      </c>
      <c r="G6528" t="s">
        <v>6303</v>
      </c>
      <c r="I6528" s="6">
        <v>4.4173606353551786</v>
      </c>
      <c r="K6528" s="8"/>
    </row>
    <row r="6529" spans="1:11" ht="15" x14ac:dyDescent="0.25">
      <c r="A6529" s="3" t="str">
        <f>HYPERLINK("proteomic_fractions_linear_files/Yang_linear_img/23956386.jpg", "23956386")</f>
        <v>23956386</v>
      </c>
      <c r="C6529" s="3" t="str">
        <f>HYPERLINK("http://www.ncbi.nlm.nih.gov/protein/23956386","Rps6ka5")</f>
        <v>Rps6ka5</v>
      </c>
      <c r="E6529" t="str">
        <f>HYPERLINK("J:\Depot - mpkCCD Fractions\Main Web Page\Web Pages_old\proteomic_fractions_linear_files/Yang_linear_img/23956386.jpg","show blot")</f>
        <v>show blot</v>
      </c>
      <c r="G6529" t="s">
        <v>6304</v>
      </c>
      <c r="I6529" s="6">
        <v>4.2826250415962726</v>
      </c>
      <c r="K6529" s="8"/>
    </row>
    <row r="6530" spans="1:11" ht="15" x14ac:dyDescent="0.25">
      <c r="A6530" s="3" t="str">
        <f>HYPERLINK("proteomic_fractions_linear_files/Yang_linear_img/67625733.jpg", "67625733")</f>
        <v>67625733</v>
      </c>
      <c r="C6530" s="3" t="str">
        <f>HYPERLINK("http://www.ncbi.nlm.nih.gov/protein/67625733","Rps6ka6")</f>
        <v>Rps6ka6</v>
      </c>
      <c r="E6530" t="str">
        <f>HYPERLINK("J:\Depot - mpkCCD Fractions\Main Web Page\Web Pages_old\proteomic_fractions_linear_files/Yang_linear_img/67625733.jpg","show blot")</f>
        <v>show blot</v>
      </c>
      <c r="G6530" t="s">
        <v>6305</v>
      </c>
      <c r="I6530" s="6">
        <v>3.7291368133000913</v>
      </c>
      <c r="K6530" s="8"/>
    </row>
    <row r="6531" spans="1:11" ht="15" x14ac:dyDescent="0.25">
      <c r="A6531" s="3" t="str">
        <f>HYPERLINK("proteomic_fractions_linear_files/Yang_linear_img/166999987.jpg", "166999987")</f>
        <v>166999987</v>
      </c>
      <c r="C6531" s="3" t="str">
        <f>HYPERLINK("http://www.ncbi.nlm.nih.gov/protein/166999987","Rps6kb1")</f>
        <v>Rps6kb1</v>
      </c>
      <c r="E6531" t="str">
        <f>HYPERLINK("J:\Depot - mpkCCD Fractions\Main Web Page\Web Pages_old\proteomic_fractions_linear_files/Yang_linear_img/166999987.jpg","show blot")</f>
        <v>show blot</v>
      </c>
      <c r="G6531" t="s">
        <v>6306</v>
      </c>
      <c r="I6531" s="6">
        <v>3.8393162613570992</v>
      </c>
      <c r="K6531" s="8"/>
    </row>
    <row r="6532" spans="1:11" ht="15" x14ac:dyDescent="0.25">
      <c r="A6532" s="3" t="str">
        <f>HYPERLINK("proteomic_fractions_linear_files/Yang_linear_img/29789225.jpg", "29789225")</f>
        <v>29789225</v>
      </c>
      <c r="C6532" s="3" t="str">
        <f>HYPERLINK("http://www.ncbi.nlm.nih.gov/protein/29789225","Rps6kb1")</f>
        <v>Rps6kb1</v>
      </c>
      <c r="E6532" t="str">
        <f>HYPERLINK("J:\Depot - mpkCCD Fractions\Main Web Page\Web Pages_old\proteomic_fractions_linear_files/Yang_linear_img/29789225.jpg","show blot")</f>
        <v>show blot</v>
      </c>
      <c r="G6532" t="s">
        <v>6307</v>
      </c>
      <c r="I6532" s="6">
        <v>3.8393162613570992</v>
      </c>
      <c r="K6532" s="8"/>
    </row>
    <row r="6533" spans="1:11" ht="15" x14ac:dyDescent="0.25">
      <c r="A6533" s="3" t="str">
        <f>HYPERLINK("proteomic_fractions_linear_files/Yang_linear_img/10946894.jpg", "10946894")</f>
        <v>10946894</v>
      </c>
      <c r="C6533" s="3" t="str">
        <f>HYPERLINK("http://www.ncbi.nlm.nih.gov/protein/10946894","Rps6kb2")</f>
        <v>Rps6kb2</v>
      </c>
      <c r="E6533" t="str">
        <f>HYPERLINK("J:\Depot - mpkCCD Fractions\Main Web Page\Web Pages_old\proteomic_fractions_linear_files/Yang_linear_img/10946894.jpg","show blot")</f>
        <v>show blot</v>
      </c>
      <c r="G6533" t="s">
        <v>6308</v>
      </c>
      <c r="I6533" s="6">
        <v>4.604132226307037</v>
      </c>
      <c r="K6533" s="8"/>
    </row>
    <row r="6534" spans="1:11" ht="15" x14ac:dyDescent="0.25">
      <c r="A6534" s="3" t="str">
        <f>HYPERLINK("proteomic_fractions_linear_files/Yang_linear_img/94367038.jpg", "94367038")</f>
        <v>94367038</v>
      </c>
      <c r="C6534" s="3" t="str">
        <f>HYPERLINK("http://www.ncbi.nlm.nih.gov/protein/94367038","Rps6-ps4")</f>
        <v>Rps6-ps4</v>
      </c>
      <c r="E6534" t="str">
        <f>HYPERLINK("J:\Depot - mpkCCD Fractions\Main Web Page\Web Pages_old\proteomic_fractions_linear_files/Yang_linear_img/94367038.jpg","show blot")</f>
        <v>show blot</v>
      </c>
      <c r="G6534" t="s">
        <v>6309</v>
      </c>
      <c r="I6534" s="6">
        <v>6.6573239776406981</v>
      </c>
      <c r="K6534" s="8"/>
    </row>
    <row r="6535" spans="1:11" ht="15" x14ac:dyDescent="0.25">
      <c r="A6535" s="3" t="str">
        <f>HYPERLINK("proteomic_fractions_linear_files/Yang_linear_img/6755376.jpg", "6755376")</f>
        <v>6755376</v>
      </c>
      <c r="C6535" s="3" t="str">
        <f>HYPERLINK("http://www.ncbi.nlm.nih.gov/protein/6755376","Rps7")</f>
        <v>Rps7</v>
      </c>
      <c r="E6535" t="str">
        <f>HYPERLINK("J:\Depot - mpkCCD Fractions\Main Web Page\Web Pages_old\proteomic_fractions_linear_files/Yang_linear_img/6755376.jpg","show blot")</f>
        <v>show blot</v>
      </c>
      <c r="G6535" t="s">
        <v>6310</v>
      </c>
      <c r="I6535" s="6">
        <v>6.6314821352665847</v>
      </c>
      <c r="K6535" s="8"/>
    </row>
    <row r="6536" spans="1:11" ht="15" x14ac:dyDescent="0.25">
      <c r="A6536" s="3" t="str">
        <f>HYPERLINK("proteomic_fractions_linear_files/Yang_linear_img/33504483.jpg", "33504483")</f>
        <v>33504483</v>
      </c>
      <c r="C6536" s="3" t="str">
        <f>HYPERLINK("http://www.ncbi.nlm.nih.gov/protein/33504483","Rps9")</f>
        <v>Rps9</v>
      </c>
      <c r="E6536" t="str">
        <f>HYPERLINK("J:\Depot - mpkCCD Fractions\Main Web Page\Web Pages_old\proteomic_fractions_linear_files/Yang_linear_img/33504483.jpg","show blot")</f>
        <v>show blot</v>
      </c>
      <c r="G6536" t="s">
        <v>6311</v>
      </c>
      <c r="I6536" s="6">
        <v>7.3489359455597834</v>
      </c>
      <c r="K6536" s="8"/>
    </row>
    <row r="6537" spans="1:11" ht="15" x14ac:dyDescent="0.25">
      <c r="A6537" s="3" t="str">
        <f>HYPERLINK("proteomic_fractions_linear_files/Yang_linear_img/154146249.jpg", "154146249")</f>
        <v>154146249</v>
      </c>
      <c r="C6537" s="3" t="str">
        <f>HYPERLINK("http://www.ncbi.nlm.nih.gov/protein/154146249","Rptor")</f>
        <v>Rptor</v>
      </c>
      <c r="E6537" t="str">
        <f>HYPERLINK("J:\Depot - mpkCCD Fractions\Main Web Page\Web Pages_old\proteomic_fractions_linear_files/Yang_linear_img/154146249.jpg","show blot")</f>
        <v>show blot</v>
      </c>
      <c r="G6537" t="s">
        <v>6312</v>
      </c>
      <c r="I6537" s="6">
        <v>3.2910213508038115</v>
      </c>
      <c r="K6537" s="8"/>
    </row>
    <row r="6538" spans="1:11" ht="15" x14ac:dyDescent="0.25">
      <c r="A6538" s="3" t="str">
        <f>HYPERLINK("proteomic_fractions_linear_files/Yang_linear_img/27734094.jpg", "27734094")</f>
        <v>27734094</v>
      </c>
      <c r="C6538" s="3" t="str">
        <f>HYPERLINK("http://www.ncbi.nlm.nih.gov/protein/27734094","Rpusd2")</f>
        <v>Rpusd2</v>
      </c>
      <c r="E6538" t="str">
        <f>HYPERLINK("J:\Depot - mpkCCD Fractions\Main Web Page\Web Pages_old\proteomic_fractions_linear_files/Yang_linear_img/27734094.jpg","show blot")</f>
        <v>show blot</v>
      </c>
      <c r="G6538" t="s">
        <v>6313</v>
      </c>
      <c r="I6538" s="6">
        <v>3.9156015565859161</v>
      </c>
      <c r="K6538" s="8"/>
    </row>
    <row r="6539" spans="1:11" ht="15" x14ac:dyDescent="0.25">
      <c r="A6539" s="3" t="str">
        <f>HYPERLINK("proteomic_fractions_linear_files/Yang_linear_img/10946722.jpg", "10946722")</f>
        <v>10946722</v>
      </c>
      <c r="C6539" s="3" t="str">
        <f>HYPERLINK("http://www.ncbi.nlm.nih.gov/protein/10946722","Rqcd1")</f>
        <v>Rqcd1</v>
      </c>
      <c r="E6539" t="str">
        <f>HYPERLINK("J:\Depot - mpkCCD Fractions\Main Web Page\Web Pages_old\proteomic_fractions_linear_files/Yang_linear_img/10946722.jpg","show blot")</f>
        <v>show blot</v>
      </c>
      <c r="G6539" t="s">
        <v>6314</v>
      </c>
      <c r="I6539" s="6">
        <v>5.0568836964957065</v>
      </c>
      <c r="K6539" s="8"/>
    </row>
    <row r="6540" spans="1:11" ht="15" x14ac:dyDescent="0.25">
      <c r="A6540" s="3" t="str">
        <f>HYPERLINK("proteomic_fractions_linear_files/Yang_linear_img/31541819.jpg", "31541819")</f>
        <v>31541819</v>
      </c>
      <c r="C6540" s="3" t="str">
        <f>HYPERLINK("http://www.ncbi.nlm.nih.gov/protein/31541819","Rraga")</f>
        <v>Rraga</v>
      </c>
      <c r="E6540" t="str">
        <f>HYPERLINK("J:\Depot - mpkCCD Fractions\Main Web Page\Web Pages_old\proteomic_fractions_linear_files/Yang_linear_img/31541819.jpg","show blot")</f>
        <v>show blot</v>
      </c>
      <c r="G6540" t="s">
        <v>6315</v>
      </c>
      <c r="I6540" s="6">
        <v>5.0333974489498763</v>
      </c>
      <c r="K6540" s="8"/>
    </row>
    <row r="6541" spans="1:11" ht="15" x14ac:dyDescent="0.25">
      <c r="A6541" s="3" t="str">
        <f>HYPERLINK("proteomic_fractions_linear_files/Yang_linear_img/51921311.jpg", "51921311")</f>
        <v>51921311</v>
      </c>
      <c r="C6541" s="3" t="str">
        <f>HYPERLINK("http://www.ncbi.nlm.nih.gov/protein/51921311","Rragb")</f>
        <v>Rragb</v>
      </c>
      <c r="E6541" t="str">
        <f>HYPERLINK("J:\Depot - mpkCCD Fractions\Main Web Page\Web Pages_old\proteomic_fractions_linear_files/Yang_linear_img/51921311.jpg","show blot")</f>
        <v>show blot</v>
      </c>
      <c r="G6541" t="s">
        <v>6316</v>
      </c>
      <c r="I6541" s="6">
        <v>4.9504855991178189</v>
      </c>
      <c r="K6541" s="8"/>
    </row>
    <row r="6542" spans="1:11" ht="15" x14ac:dyDescent="0.25">
      <c r="A6542" s="3" t="str">
        <f>HYPERLINK("proteomic_fractions_linear_files/Yang_linear_img/114145487.jpg", "114145487")</f>
        <v>114145487</v>
      </c>
      <c r="C6542" s="3" t="str">
        <f>HYPERLINK("http://www.ncbi.nlm.nih.gov/protein/114145487","Rragc")</f>
        <v>Rragc</v>
      </c>
      <c r="E6542" t="str">
        <f>HYPERLINK("J:\Depot - mpkCCD Fractions\Main Web Page\Web Pages_old\proteomic_fractions_linear_files/Yang_linear_img/114145487.jpg","show blot")</f>
        <v>show blot</v>
      </c>
      <c r="G6542" t="s">
        <v>6317</v>
      </c>
      <c r="I6542" s="6">
        <v>5.4079641214001768</v>
      </c>
      <c r="K6542" s="8"/>
    </row>
    <row r="6543" spans="1:11" ht="15" x14ac:dyDescent="0.25">
      <c r="A6543" s="3" t="str">
        <f>HYPERLINK("proteomic_fractions_linear_files/Yang_linear_img/120444910.jpg", "120444910")</f>
        <v>120444910</v>
      </c>
      <c r="C6543" s="3" t="str">
        <f>HYPERLINK("http://www.ncbi.nlm.nih.gov/protein/120444910","Rragd")</f>
        <v>Rragd</v>
      </c>
      <c r="E6543" t="str">
        <f>HYPERLINK("J:\Depot - mpkCCD Fractions\Main Web Page\Web Pages_old\proteomic_fractions_linear_files/Yang_linear_img/120444910.jpg","show blot")</f>
        <v>show blot</v>
      </c>
      <c r="G6543" t="s">
        <v>6318</v>
      </c>
      <c r="I6543" s="6">
        <v>5.2745855259250698</v>
      </c>
      <c r="K6543" s="8"/>
    </row>
    <row r="6544" spans="1:11" ht="15" x14ac:dyDescent="0.25">
      <c r="A6544" s="3" t="str">
        <f>HYPERLINK("proteomic_fractions_linear_files/Yang_linear_img/6677819.jpg", "6677819")</f>
        <v>6677819</v>
      </c>
      <c r="C6544" s="3" t="str">
        <f>HYPERLINK("http://www.ncbi.nlm.nih.gov/protein/6677819","Rras")</f>
        <v>Rras</v>
      </c>
      <c r="E6544" t="str">
        <f>HYPERLINK("J:\Depot - mpkCCD Fractions\Main Web Page\Web Pages_old\proteomic_fractions_linear_files/Yang_linear_img/6677819.jpg","show blot")</f>
        <v>show blot</v>
      </c>
      <c r="G6544" t="s">
        <v>6319</v>
      </c>
      <c r="I6544" s="6">
        <v>5.0022472590818614</v>
      </c>
      <c r="K6544" s="8"/>
    </row>
    <row r="6545" spans="1:11" ht="15" x14ac:dyDescent="0.25">
      <c r="A6545" s="3" t="str">
        <f>HYPERLINK("proteomic_fractions_linear_files/Yang_linear_img/165972315.jpg", "165972315")</f>
        <v>165972315</v>
      </c>
      <c r="C6545" s="3" t="str">
        <f>HYPERLINK("http://www.ncbi.nlm.nih.gov/protein/165972315","Rras2")</f>
        <v>Rras2</v>
      </c>
      <c r="E6545" t="str">
        <f>HYPERLINK("J:\Depot - mpkCCD Fractions\Main Web Page\Web Pages_old\proteomic_fractions_linear_files/Yang_linear_img/165972315.jpg","show blot")</f>
        <v>show blot</v>
      </c>
      <c r="G6545" t="s">
        <v>6320</v>
      </c>
      <c r="I6545" s="6">
        <v>5.6245907712092142</v>
      </c>
      <c r="K6545" s="8"/>
    </row>
    <row r="6546" spans="1:11" ht="15" x14ac:dyDescent="0.25">
      <c r="A6546" s="3" t="str">
        <f>HYPERLINK("proteomic_fractions_linear_files/Yang_linear_img/19482168.jpg", "19482168")</f>
        <v>19482168</v>
      </c>
      <c r="C6546" s="3" t="str">
        <f>HYPERLINK("http://www.ncbi.nlm.nih.gov/protein/19482168","Rrbp1")</f>
        <v>Rrbp1</v>
      </c>
      <c r="E6546" t="str">
        <f>HYPERLINK("J:\Depot - mpkCCD Fractions\Main Web Page\Web Pages_old\proteomic_fractions_linear_files/Yang_linear_img/19482168.jpg","show blot")</f>
        <v>show blot</v>
      </c>
      <c r="G6546" t="s">
        <v>6321</v>
      </c>
      <c r="I6546" s="6">
        <v>4.9565983027222833</v>
      </c>
      <c r="K6546" s="8"/>
    </row>
    <row r="6547" spans="1:11" ht="15" x14ac:dyDescent="0.25">
      <c r="A6547" s="3" t="str">
        <f>HYPERLINK("proteomic_fractions_linear_files/Yang_linear_img/124486712.jpg", "124486712")</f>
        <v>124486712</v>
      </c>
      <c r="C6547" s="3" t="str">
        <f>HYPERLINK("http://www.ncbi.nlm.nih.gov/protein/124486712","Rrbp1")</f>
        <v>Rrbp1</v>
      </c>
      <c r="E6547" t="str">
        <f>HYPERLINK("J:\Depot - mpkCCD Fractions\Main Web Page\Web Pages_old\proteomic_fractions_linear_files/Yang_linear_img/124486712.jpg","show blot")</f>
        <v>show blot</v>
      </c>
      <c r="G6547" t="s">
        <v>6322</v>
      </c>
      <c r="I6547" s="6">
        <v>4.9565983027222833</v>
      </c>
      <c r="K6547" s="8"/>
    </row>
    <row r="6548" spans="1:11" ht="15" x14ac:dyDescent="0.25">
      <c r="A6548" s="3" t="str">
        <f>HYPERLINK("proteomic_fractions_linear_files/Yang_linear_img/295424113.jpg", "295424113")</f>
        <v>295424113</v>
      </c>
      <c r="C6548" s="3" t="str">
        <f>HYPERLINK("http://www.ncbi.nlm.nih.gov/protein/295424113","Rreb1")</f>
        <v>Rreb1</v>
      </c>
      <c r="E6548" t="str">
        <f>HYPERLINK("J:\Depot - mpkCCD Fractions\Main Web Page\Web Pages_old\proteomic_fractions_linear_files/Yang_linear_img/295424113.jpg","show blot")</f>
        <v>show blot</v>
      </c>
      <c r="G6548" t="s">
        <v>6323</v>
      </c>
      <c r="I6548" s="6">
        <v>2.4497097555713698</v>
      </c>
      <c r="K6548" s="8"/>
    </row>
    <row r="6549" spans="1:11" ht="15" x14ac:dyDescent="0.25">
      <c r="A6549" s="3" t="str">
        <f>HYPERLINK("proteomic_fractions_linear_files/Yang_linear_img/295424118.jpg", "295424118")</f>
        <v>295424118</v>
      </c>
      <c r="C6549" s="3" t="str">
        <f>HYPERLINK("http://www.ncbi.nlm.nih.gov/protein/295424118","Rreb1")</f>
        <v>Rreb1</v>
      </c>
      <c r="E6549" t="str">
        <f>HYPERLINK("J:\Depot - mpkCCD Fractions\Main Web Page\Web Pages_old\proteomic_fractions_linear_files/Yang_linear_img/295424118.jpg","show blot")</f>
        <v>show blot</v>
      </c>
      <c r="G6549" t="s">
        <v>6324</v>
      </c>
      <c r="I6549" s="6">
        <v>2.4497097555713698</v>
      </c>
      <c r="K6549" s="8"/>
    </row>
    <row r="6550" spans="1:11" ht="15" x14ac:dyDescent="0.25">
      <c r="A6550" s="3" t="str">
        <f>HYPERLINK("proteomic_fractions_linear_files/Yang_linear_img/31982026.jpg", "31982026")</f>
        <v>31982026</v>
      </c>
      <c r="C6550" s="3" t="str">
        <f>HYPERLINK("http://www.ncbi.nlm.nih.gov/protein/31982026","Rrm1")</f>
        <v>Rrm1</v>
      </c>
      <c r="E6550" t="str">
        <f>HYPERLINK("J:\Depot - mpkCCD Fractions\Main Web Page\Web Pages_old\proteomic_fractions_linear_files/Yang_linear_img/31982026.jpg","show blot")</f>
        <v>show blot</v>
      </c>
      <c r="G6550" t="s">
        <v>6325</v>
      </c>
      <c r="I6550" s="6">
        <v>5.4177869208547174</v>
      </c>
      <c r="K6550" s="8"/>
    </row>
    <row r="6551" spans="1:11" ht="15" x14ac:dyDescent="0.25">
      <c r="A6551" s="3" t="str">
        <f>HYPERLINK("proteomic_fractions_linear_files/Yang_linear_img/7106399.jpg", "7106399")</f>
        <v>7106399</v>
      </c>
      <c r="C6551" s="3" t="str">
        <f>HYPERLINK("http://www.ncbi.nlm.nih.gov/protein/7106399","Rrm2")</f>
        <v>Rrm2</v>
      </c>
      <c r="E6551" t="str">
        <f>HYPERLINK("J:\Depot - mpkCCD Fractions\Main Web Page\Web Pages_old\proteomic_fractions_linear_files/Yang_linear_img/7106399.jpg","show blot")</f>
        <v>show blot</v>
      </c>
      <c r="G6551" t="s">
        <v>6326</v>
      </c>
      <c r="I6551" s="6">
        <v>5.4412629695452326</v>
      </c>
      <c r="K6551" s="8"/>
    </row>
    <row r="6552" spans="1:11" ht="15" x14ac:dyDescent="0.25">
      <c r="A6552" s="3" t="str">
        <f>HYPERLINK("proteomic_fractions_linear_files/Yang_linear_img/41054952.jpg", "41054952")</f>
        <v>41054952</v>
      </c>
      <c r="C6552" s="3" t="str">
        <f>HYPERLINK("http://www.ncbi.nlm.nih.gov/protein/41054952","Rrm2b")</f>
        <v>Rrm2b</v>
      </c>
      <c r="E6552" t="str">
        <f>HYPERLINK("J:\Depot - mpkCCD Fractions\Main Web Page\Web Pages_old\proteomic_fractions_linear_files/Yang_linear_img/41054952.jpg","show blot")</f>
        <v>show blot</v>
      </c>
      <c r="G6552" t="s">
        <v>6327</v>
      </c>
      <c r="I6552" s="6">
        <v>4.131613228658038</v>
      </c>
      <c r="K6552" s="8"/>
    </row>
    <row r="6553" spans="1:11" ht="15" x14ac:dyDescent="0.25">
      <c r="A6553" s="3" t="str">
        <f>HYPERLINK("proteomic_fractions_linear_files/Yang_linear_img/117676367.jpg", "117676367")</f>
        <v>117676367</v>
      </c>
      <c r="C6553" s="3" t="str">
        <f>HYPERLINK("http://www.ncbi.nlm.nih.gov/protein/117676367","Rrp1")</f>
        <v>Rrp1</v>
      </c>
      <c r="E6553" t="str">
        <f>HYPERLINK("J:\Depot - mpkCCD Fractions\Main Web Page\Web Pages_old\proteomic_fractions_linear_files/Yang_linear_img/117676367.jpg","show blot")</f>
        <v>show blot</v>
      </c>
      <c r="G6553" t="s">
        <v>6328</v>
      </c>
      <c r="I6553" s="6">
        <v>2.349129236185056</v>
      </c>
      <c r="K6553" s="8"/>
    </row>
    <row r="6554" spans="1:11" ht="15" x14ac:dyDescent="0.25">
      <c r="A6554" s="3" t="str">
        <f>HYPERLINK("proteomic_fractions_linear_files/Yang_linear_img/40789092.jpg", "40789092")</f>
        <v>40789092</v>
      </c>
      <c r="C6554" s="3" t="str">
        <f>HYPERLINK("http://www.ncbi.nlm.nih.gov/protein/40789092","Rrp12")</f>
        <v>Rrp12</v>
      </c>
      <c r="E6554" t="str">
        <f>HYPERLINK("J:\Depot - mpkCCD Fractions\Main Web Page\Web Pages_old\proteomic_fractions_linear_files/Yang_linear_img/40789092.jpg","show blot")</f>
        <v>show blot</v>
      </c>
      <c r="G6554" t="s">
        <v>6329</v>
      </c>
      <c r="I6554" s="6">
        <v>3.2695967920932145</v>
      </c>
      <c r="K6554" s="8"/>
    </row>
    <row r="6555" spans="1:11" ht="15" x14ac:dyDescent="0.25">
      <c r="A6555" s="3" t="str">
        <f>HYPERLINK("proteomic_fractions_linear_files/Yang_linear_img/21704248.jpg", "21704248")</f>
        <v>21704248</v>
      </c>
      <c r="C6555" s="3" t="str">
        <f>HYPERLINK("http://www.ncbi.nlm.nih.gov/protein/21704248","Rrp9")</f>
        <v>Rrp9</v>
      </c>
      <c r="E6555" t="str">
        <f>HYPERLINK("J:\Depot - mpkCCD Fractions\Main Web Page\Web Pages_old\proteomic_fractions_linear_files/Yang_linear_img/21704248.jpg","show blot")</f>
        <v>show blot</v>
      </c>
      <c r="G6555" t="s">
        <v>6330</v>
      </c>
      <c r="I6555" s="6">
        <v>3.1847184053410533</v>
      </c>
      <c r="K6555" s="8"/>
    </row>
    <row r="6556" spans="1:11" ht="15" x14ac:dyDescent="0.25">
      <c r="A6556" s="3" t="str">
        <f>HYPERLINK("proteomic_fractions_linear_files/Yang_linear_img/227908779.jpg", "227908779")</f>
        <v>227908779</v>
      </c>
      <c r="C6556" s="3" t="str">
        <f>HYPERLINK("http://www.ncbi.nlm.nih.gov/protein/227908779","Rrs1")</f>
        <v>Rrs1</v>
      </c>
      <c r="E6556" t="str">
        <f>HYPERLINK("J:\Depot - mpkCCD Fractions\Main Web Page\Web Pages_old\proteomic_fractions_linear_files/Yang_linear_img/227908779.jpg","show blot")</f>
        <v>show blot</v>
      </c>
      <c r="G6556" t="s">
        <v>6331</v>
      </c>
      <c r="I6556" s="6">
        <v>3.5193396451503962</v>
      </c>
      <c r="K6556" s="8"/>
    </row>
    <row r="6557" spans="1:11" ht="15" x14ac:dyDescent="0.25">
      <c r="A6557" s="3" t="str">
        <f>HYPERLINK("proteomic_fractions_linear_files/Yang_linear_img/67906201.jpg", "67906201")</f>
        <v>67906201</v>
      </c>
      <c r="C6557" s="3" t="str">
        <f>HYPERLINK("http://www.ncbi.nlm.nih.gov/protein/67906201","Rsbn1")</f>
        <v>Rsbn1</v>
      </c>
      <c r="E6557" t="str">
        <f>HYPERLINK("J:\Depot - mpkCCD Fractions\Main Web Page\Web Pages_old\proteomic_fractions_linear_files/Yang_linear_img/67906201.jpg","show blot")</f>
        <v>show blot</v>
      </c>
      <c r="G6557" t="s">
        <v>6332</v>
      </c>
      <c r="I6557" s="6">
        <v>3.5943826170032427</v>
      </c>
      <c r="K6557" s="8"/>
    </row>
    <row r="6558" spans="1:11" ht="15" x14ac:dyDescent="0.25">
      <c r="A6558" s="3" t="str">
        <f>HYPERLINK("proteomic_fractions_linear_files/Yang_linear_img/124430547.jpg", "124430547")</f>
        <v>124430547</v>
      </c>
      <c r="C6558" s="3" t="str">
        <f>HYPERLINK("http://www.ncbi.nlm.nih.gov/protein/124430547","Rsbn1l")</f>
        <v>Rsbn1l</v>
      </c>
      <c r="E6558" t="str">
        <f>HYPERLINK("J:\Depot - mpkCCD Fractions\Main Web Page\Web Pages_old\proteomic_fractions_linear_files/Yang_linear_img/124430547.jpg","show blot")</f>
        <v>show blot</v>
      </c>
      <c r="G6558" t="s">
        <v>6333</v>
      </c>
      <c r="I6558" s="6">
        <v>2.0873635779146458</v>
      </c>
      <c r="K6558" s="8"/>
    </row>
    <row r="6559" spans="1:11" ht="15" x14ac:dyDescent="0.25">
      <c r="A6559" s="3" t="str">
        <f>HYPERLINK("proteomic_fractions_linear_files/Yang_linear_img/30794470.jpg", "30794470")</f>
        <v>30794470</v>
      </c>
      <c r="C6559" s="3" t="str">
        <f>HYPERLINK("http://www.ncbi.nlm.nih.gov/protein/30794470","Rsl1d1")</f>
        <v>Rsl1d1</v>
      </c>
      <c r="E6559" t="str">
        <f>HYPERLINK("J:\Depot - mpkCCD Fractions\Main Web Page\Web Pages_old\proteomic_fractions_linear_files/Yang_linear_img/30794470.jpg","show blot")</f>
        <v>show blot</v>
      </c>
      <c r="G6559" t="s">
        <v>6334</v>
      </c>
      <c r="I6559" s="6">
        <v>5.3803633774104958</v>
      </c>
      <c r="K6559" s="8"/>
    </row>
    <row r="6560" spans="1:11" ht="15" x14ac:dyDescent="0.25">
      <c r="A6560" s="3" t="str">
        <f>HYPERLINK("proteomic_fractions_linear_files/Yang_linear_img/13385292.jpg", "13385292")</f>
        <v>13385292</v>
      </c>
      <c r="C6560" s="3" t="str">
        <f>HYPERLINK("http://www.ncbi.nlm.nih.gov/protein/13385292","Rsrc1")</f>
        <v>Rsrc1</v>
      </c>
      <c r="E6560" t="str">
        <f>HYPERLINK("J:\Depot - mpkCCD Fractions\Main Web Page\Web Pages_old\proteomic_fractions_linear_files/Yang_linear_img/13385292.jpg","show blot")</f>
        <v>show blot</v>
      </c>
      <c r="G6560" t="s">
        <v>6335</v>
      </c>
      <c r="I6560" s="6">
        <v>3.5595181741734092</v>
      </c>
      <c r="K6560" s="8"/>
    </row>
    <row r="6561" spans="1:11" ht="15" x14ac:dyDescent="0.25">
      <c r="A6561" s="3" t="str">
        <f>HYPERLINK("proteomic_fractions_linear_files/Yang_linear_img/53988374.jpg", "53988374")</f>
        <v>53988374</v>
      </c>
      <c r="C6561" s="3" t="str">
        <f>HYPERLINK("http://www.ncbi.nlm.nih.gov/protein/53988374","Rsrc2")</f>
        <v>Rsrc2</v>
      </c>
      <c r="E6561" t="str">
        <f>HYPERLINK("J:\Depot - mpkCCD Fractions\Main Web Page\Web Pages_old\proteomic_fractions_linear_files/Yang_linear_img/53988374.jpg","show blot")</f>
        <v>show blot</v>
      </c>
      <c r="G6561" t="s">
        <v>6336</v>
      </c>
      <c r="I6561" s="6">
        <v>4.4860845414162691</v>
      </c>
      <c r="K6561" s="8"/>
    </row>
    <row r="6562" spans="1:11" ht="15" x14ac:dyDescent="0.25">
      <c r="A6562" s="3" t="str">
        <f>HYPERLINK("proteomic_fractions_linear_files/Yang_linear_img/53988372.jpg", "53988372")</f>
        <v>53988372</v>
      </c>
      <c r="C6562" s="3" t="str">
        <f>HYPERLINK("http://www.ncbi.nlm.nih.gov/protein/53988372","Rsrc2")</f>
        <v>Rsrc2</v>
      </c>
      <c r="E6562" t="str">
        <f>HYPERLINK("J:\Depot - mpkCCD Fractions\Main Web Page\Web Pages_old\proteomic_fractions_linear_files/Yang_linear_img/53988372.jpg","show blot")</f>
        <v>show blot</v>
      </c>
      <c r="G6562" t="s">
        <v>6337</v>
      </c>
      <c r="I6562" s="6">
        <v>4.4860845414162691</v>
      </c>
      <c r="K6562" s="8"/>
    </row>
    <row r="6563" spans="1:11" ht="15" x14ac:dyDescent="0.25">
      <c r="A6563" s="3" t="str">
        <f>HYPERLINK("proteomic_fractions_linear_files/Yang_linear_img/53988376.jpg", "53988376")</f>
        <v>53988376</v>
      </c>
      <c r="C6563" s="3" t="str">
        <f>HYPERLINK("http://www.ncbi.nlm.nih.gov/protein/53988376","Rsrc2")</f>
        <v>Rsrc2</v>
      </c>
      <c r="E6563" t="str">
        <f>HYPERLINK("J:\Depot - mpkCCD Fractions\Main Web Page\Web Pages_old\proteomic_fractions_linear_files/Yang_linear_img/53988376.jpg","show blot")</f>
        <v>show blot</v>
      </c>
      <c r="G6563" t="s">
        <v>6338</v>
      </c>
      <c r="I6563" s="6">
        <v>4.4860845414162691</v>
      </c>
      <c r="K6563" s="8"/>
    </row>
    <row r="6564" spans="1:11" ht="15" x14ac:dyDescent="0.25">
      <c r="A6564" s="3" t="str">
        <f>HYPERLINK("proteomic_fractions_linear_files/Yang_linear_img/31982028.jpg", "31982028")</f>
        <v>31982028</v>
      </c>
      <c r="C6564" s="3" t="str">
        <f>HYPERLINK("http://www.ncbi.nlm.nih.gov/protein/31982028","Rsu1")</f>
        <v>Rsu1</v>
      </c>
      <c r="E6564" t="str">
        <f>HYPERLINK("J:\Depot - mpkCCD Fractions\Main Web Page\Web Pages_old\proteomic_fractions_linear_files/Yang_linear_img/31982028.jpg","show blot")</f>
        <v>show blot</v>
      </c>
      <c r="G6564" t="s">
        <v>6339</v>
      </c>
      <c r="I6564" s="6">
        <v>5.4200159514110409</v>
      </c>
      <c r="K6564" s="8"/>
    </row>
    <row r="6565" spans="1:11" ht="15" x14ac:dyDescent="0.25">
      <c r="A6565" s="3" t="str">
        <f>HYPERLINK("proteomic_fractions_linear_files/Yang_linear_img/254587958.jpg", "254587958")</f>
        <v>254587958</v>
      </c>
      <c r="C6565" s="3" t="str">
        <f>HYPERLINK("http://www.ncbi.nlm.nih.gov/protein/254587958","Rtca")</f>
        <v>Rtca</v>
      </c>
      <c r="E6565" t="str">
        <f>HYPERLINK("J:\Depot - mpkCCD Fractions\Main Web Page\Web Pages_old\proteomic_fractions_linear_files/Yang_linear_img/254587958.jpg","show blot")</f>
        <v>show blot</v>
      </c>
      <c r="G6565" t="s">
        <v>6340</v>
      </c>
      <c r="I6565" s="6">
        <v>5.190542078561279</v>
      </c>
      <c r="K6565" s="8"/>
    </row>
    <row r="6566" spans="1:11" ht="15" x14ac:dyDescent="0.25">
      <c r="A6566" s="3" t="str">
        <f>HYPERLINK("proteomic_fractions_linear_files/Yang_linear_img/21703842.jpg", "21703842")</f>
        <v>21703842</v>
      </c>
      <c r="C6566" s="3" t="str">
        <f>HYPERLINK("http://www.ncbi.nlm.nih.gov/protein/21703842","Rtcb")</f>
        <v>Rtcb</v>
      </c>
      <c r="E6566" t="str">
        <f>HYPERLINK("J:\Depot - mpkCCD Fractions\Main Web Page\Web Pages_old\proteomic_fractions_linear_files/Yang_linear_img/21703842.jpg","show blot")</f>
        <v>show blot</v>
      </c>
      <c r="G6566" t="s">
        <v>6341</v>
      </c>
      <c r="I6566" s="6">
        <v>6.1524042125954104</v>
      </c>
      <c r="K6566" s="8"/>
    </row>
    <row r="6567" spans="1:11" ht="15" x14ac:dyDescent="0.25">
      <c r="A6567" s="3" t="str">
        <f>HYPERLINK("proteomic_fractions_linear_files/Yang_linear_img/195976788.jpg", "195976788")</f>
        <v>195976788</v>
      </c>
      <c r="C6567" s="3" t="str">
        <f>HYPERLINK("http://www.ncbi.nlm.nih.gov/protein/195976788","Rtf1")</f>
        <v>Rtf1</v>
      </c>
      <c r="E6567" t="str">
        <f>HYPERLINK("J:\Depot - mpkCCD Fractions\Main Web Page\Web Pages_old\proteomic_fractions_linear_files/Yang_linear_img/195976788.jpg","show blot")</f>
        <v>show blot</v>
      </c>
      <c r="G6567" t="s">
        <v>6342</v>
      </c>
      <c r="I6567" s="6">
        <v>4.1331009040709326</v>
      </c>
      <c r="K6567" s="8"/>
    </row>
    <row r="6568" spans="1:11" ht="15" x14ac:dyDescent="0.25">
      <c r="A6568" s="3" t="str">
        <f>HYPERLINK("proteomic_fractions_linear_files/Yang_linear_img/30794468.jpg", "30794468")</f>
        <v>30794468</v>
      </c>
      <c r="C6568" s="3" t="str">
        <f>HYPERLINK("http://www.ncbi.nlm.nih.gov/protein/30794468","Rtfdc1")</f>
        <v>Rtfdc1</v>
      </c>
      <c r="E6568" t="str">
        <f>HYPERLINK("J:\Depot - mpkCCD Fractions\Main Web Page\Web Pages_old\proteomic_fractions_linear_files/Yang_linear_img/30794468.jpg","show blot")</f>
        <v>show blot</v>
      </c>
      <c r="G6568" t="s">
        <v>6343</v>
      </c>
      <c r="I6568" s="6">
        <v>4.2417570483190001</v>
      </c>
      <c r="K6568" s="8"/>
    </row>
    <row r="6569" spans="1:11" ht="15" x14ac:dyDescent="0.25">
      <c r="A6569" s="3" t="str">
        <f>HYPERLINK("proteomic_fractions_linear_files/Yang_linear_img/557129040.jpg", "557129040")</f>
        <v>557129040</v>
      </c>
      <c r="C6569" s="3" t="str">
        <f>HYPERLINK("http://www.ncbi.nlm.nih.gov/protein/557129040","Rtn1")</f>
        <v>Rtn1</v>
      </c>
      <c r="E6569" t="str">
        <f>HYPERLINK("J:\Depot - mpkCCD Fractions\Main Web Page\Web Pages_old\proteomic_fractions_linear_files/Yang_linear_img/557129040.jpg","show blot")</f>
        <v>show blot</v>
      </c>
      <c r="G6569" t="s">
        <v>6344</v>
      </c>
      <c r="I6569" s="6">
        <v>5.2873817210802327</v>
      </c>
      <c r="K6569" s="8"/>
    </row>
    <row r="6570" spans="1:11" ht="15" x14ac:dyDescent="0.25">
      <c r="A6570" s="3" t="str">
        <f>HYPERLINK("proteomic_fractions_linear_files/Yang_linear_img/31982561.jpg", "31982561")</f>
        <v>31982561</v>
      </c>
      <c r="C6570" s="3" t="str">
        <f>HYPERLINK("http://www.ncbi.nlm.nih.gov/protein/31982561","Rtn1")</f>
        <v>Rtn1</v>
      </c>
      <c r="E6570" t="str">
        <f>HYPERLINK("J:\Depot - mpkCCD Fractions\Main Web Page\Web Pages_old\proteomic_fractions_linear_files/Yang_linear_img/31982561.jpg","show blot")</f>
        <v>show blot</v>
      </c>
      <c r="G6570" t="s">
        <v>6345</v>
      </c>
      <c r="I6570" s="6">
        <v>5.2873817210802327</v>
      </c>
      <c r="K6570" s="8"/>
    </row>
    <row r="6571" spans="1:11" ht="15" x14ac:dyDescent="0.25">
      <c r="A6571" s="3" t="str">
        <f>HYPERLINK("proteomic_fractions_linear_files/Yang_linear_img/56090141.jpg", "56090141")</f>
        <v>56090141</v>
      </c>
      <c r="C6571" s="3" t="str">
        <f>HYPERLINK("http://www.ncbi.nlm.nih.gov/protein/56090141","Rtn1")</f>
        <v>Rtn1</v>
      </c>
      <c r="E6571" t="str">
        <f>HYPERLINK("J:\Depot - mpkCCD Fractions\Main Web Page\Web Pages_old\proteomic_fractions_linear_files/Yang_linear_img/56090141.jpg","show blot")</f>
        <v>show blot</v>
      </c>
      <c r="G6571" t="s">
        <v>6346</v>
      </c>
      <c r="I6571" s="6">
        <v>5.2873817210802327</v>
      </c>
      <c r="K6571" s="8"/>
    </row>
    <row r="6572" spans="1:11" ht="15" x14ac:dyDescent="0.25">
      <c r="A6572" s="3" t="str">
        <f>HYPERLINK("proteomic_fractions_linear_files/Yang_linear_img/16716353.jpg", "16716353")</f>
        <v>16716353</v>
      </c>
      <c r="C6572" s="3" t="str">
        <f>HYPERLINK("http://www.ncbi.nlm.nih.gov/protein/16716353","Rtn3")</f>
        <v>Rtn3</v>
      </c>
      <c r="E6572" t="str">
        <f>HYPERLINK("J:\Depot - mpkCCD Fractions\Main Web Page\Web Pages_old\proteomic_fractions_linear_files/Yang_linear_img/16716353.jpg","show blot")</f>
        <v>show blot</v>
      </c>
      <c r="G6572" t="s">
        <v>6347</v>
      </c>
      <c r="I6572" s="6">
        <v>6.42043800410225</v>
      </c>
      <c r="K6572" s="8"/>
    </row>
    <row r="6573" spans="1:11" ht="15" x14ac:dyDescent="0.25">
      <c r="A6573" s="3" t="str">
        <f>HYPERLINK("proteomic_fractions_linear_files/Yang_linear_img/407339783.jpg", "407339783")</f>
        <v>407339783</v>
      </c>
      <c r="C6573" s="3" t="str">
        <f>HYPERLINK("http://www.ncbi.nlm.nih.gov/protein/407339783","Rtn3")</f>
        <v>Rtn3</v>
      </c>
      <c r="E6573" t="str">
        <f>HYPERLINK("J:\Depot - mpkCCD Fractions\Main Web Page\Web Pages_old\proteomic_fractions_linear_files/Yang_linear_img/407339783.jpg","show blot")</f>
        <v>show blot</v>
      </c>
      <c r="G6573" t="s">
        <v>6348</v>
      </c>
      <c r="I6573" s="6">
        <v>6.42043800410225</v>
      </c>
      <c r="K6573" s="8"/>
    </row>
    <row r="6574" spans="1:11" ht="15" x14ac:dyDescent="0.25">
      <c r="A6574" s="3" t="str">
        <f>HYPERLINK("proteomic_fractions_linear_files/Yang_linear_img/407339785.jpg", "407339785")</f>
        <v>407339785</v>
      </c>
      <c r="C6574" s="3" t="str">
        <f>HYPERLINK("http://www.ncbi.nlm.nih.gov/protein/407339785","Rtn3")</f>
        <v>Rtn3</v>
      </c>
      <c r="E6574" t="str">
        <f>HYPERLINK("J:\Depot - mpkCCD Fractions\Main Web Page\Web Pages_old\proteomic_fractions_linear_files/Yang_linear_img/407339785.jpg","show blot")</f>
        <v>show blot</v>
      </c>
      <c r="G6574" t="s">
        <v>6349</v>
      </c>
      <c r="I6574" s="6">
        <v>6.42043800410225</v>
      </c>
      <c r="K6574" s="8"/>
    </row>
    <row r="6575" spans="1:11" ht="15" x14ac:dyDescent="0.25">
      <c r="A6575" s="3" t="str">
        <f>HYPERLINK("proteomic_fractions_linear_files/Yang_linear_img/51511741.jpg", "51511741")</f>
        <v>51511741</v>
      </c>
      <c r="C6575" s="3" t="str">
        <f>HYPERLINK("http://www.ncbi.nlm.nih.gov/protein/51511741","Rtn3")</f>
        <v>Rtn3</v>
      </c>
      <c r="E6575" t="str">
        <f>HYPERLINK("J:\Depot - mpkCCD Fractions\Main Web Page\Web Pages_old\proteomic_fractions_linear_files/Yang_linear_img/51511741.jpg","show blot")</f>
        <v>show blot</v>
      </c>
      <c r="G6575" t="s">
        <v>6350</v>
      </c>
      <c r="I6575" s="6">
        <v>6.42043800410225</v>
      </c>
      <c r="K6575" s="8"/>
    </row>
    <row r="6576" spans="1:11" ht="15" x14ac:dyDescent="0.25">
      <c r="A6576" s="3" t="str">
        <f>HYPERLINK("proteomic_fractions_linear_files/Yang_linear_img/54607016.jpg", "54607016")</f>
        <v>54607016</v>
      </c>
      <c r="C6576" s="3" t="str">
        <f>HYPERLINK("http://www.ncbi.nlm.nih.gov/protein/54607016","Rtn3")</f>
        <v>Rtn3</v>
      </c>
      <c r="E6576" t="str">
        <f>HYPERLINK("J:\Depot - mpkCCD Fractions\Main Web Page\Web Pages_old\proteomic_fractions_linear_files/Yang_linear_img/54607016.jpg","show blot")</f>
        <v>show blot</v>
      </c>
      <c r="G6576" t="s">
        <v>6351</v>
      </c>
      <c r="I6576" s="6">
        <v>6.42043800410225</v>
      </c>
      <c r="K6576" s="8"/>
    </row>
    <row r="6577" spans="1:11" ht="15" x14ac:dyDescent="0.25">
      <c r="A6577" s="3" t="str">
        <f>HYPERLINK("proteomic_fractions_linear_files/Yang_linear_img/13195648.jpg", "13195648")</f>
        <v>13195648</v>
      </c>
      <c r="C6577" s="3" t="str">
        <f>HYPERLINK("http://www.ncbi.nlm.nih.gov/protein/13195648","Rtn4")</f>
        <v>Rtn4</v>
      </c>
      <c r="E6577" t="str">
        <f>HYPERLINK("J:\Depot - mpkCCD Fractions\Main Web Page\Web Pages_old\proteomic_fractions_linear_files/Yang_linear_img/13195648.jpg","show blot")</f>
        <v>show blot</v>
      </c>
      <c r="G6577" t="s">
        <v>6352</v>
      </c>
      <c r="I6577" s="6">
        <v>6.4097128340672667</v>
      </c>
      <c r="K6577" s="8"/>
    </row>
    <row r="6578" spans="1:11" ht="15" x14ac:dyDescent="0.25">
      <c r="A6578" s="3" t="str">
        <f>HYPERLINK("proteomic_fractions_linear_files/Yang_linear_img/34610233.jpg", "34610233")</f>
        <v>34610233</v>
      </c>
      <c r="C6578" s="3" t="str">
        <f>HYPERLINK("http://www.ncbi.nlm.nih.gov/protein/34610233","Rtn4")</f>
        <v>Rtn4</v>
      </c>
      <c r="E6578" t="str">
        <f>HYPERLINK("J:\Depot - mpkCCD Fractions\Main Web Page\Web Pages_old\proteomic_fractions_linear_files/Yang_linear_img/34610233.jpg","show blot")</f>
        <v>show blot</v>
      </c>
      <c r="G6578" t="s">
        <v>6353</v>
      </c>
      <c r="I6578" s="6">
        <v>6.4097128340672667</v>
      </c>
      <c r="K6578" s="8"/>
    </row>
    <row r="6579" spans="1:11" ht="15" x14ac:dyDescent="0.25">
      <c r="A6579" s="3" t="str">
        <f>HYPERLINK("proteomic_fractions_linear_files/Yang_linear_img/34610235.jpg", "34610235")</f>
        <v>34610235</v>
      </c>
      <c r="C6579" s="3" t="str">
        <f>HYPERLINK("http://www.ncbi.nlm.nih.gov/protein/34610235","Rtn4")</f>
        <v>Rtn4</v>
      </c>
      <c r="E6579" t="str">
        <f>HYPERLINK("J:\Depot - mpkCCD Fractions\Main Web Page\Web Pages_old\proteomic_fractions_linear_files/Yang_linear_img/34610235.jpg","show blot")</f>
        <v>show blot</v>
      </c>
      <c r="G6579" t="s">
        <v>6354</v>
      </c>
      <c r="I6579" s="6">
        <v>6.4097128340672667</v>
      </c>
      <c r="K6579" s="8"/>
    </row>
    <row r="6580" spans="1:11" ht="15" x14ac:dyDescent="0.25">
      <c r="A6580" s="3" t="str">
        <f>HYPERLINK("proteomic_fractions_linear_files/Yang_linear_img/34610237.jpg", "34610237")</f>
        <v>34610237</v>
      </c>
      <c r="C6580" s="3" t="str">
        <f>HYPERLINK("http://www.ncbi.nlm.nih.gov/protein/34610237","Rtn4")</f>
        <v>Rtn4</v>
      </c>
      <c r="E6580" t="str">
        <f>HYPERLINK("J:\Depot - mpkCCD Fractions\Main Web Page\Web Pages_old\proteomic_fractions_linear_files/Yang_linear_img/34610237.jpg","show blot")</f>
        <v>show blot</v>
      </c>
      <c r="G6580" t="s">
        <v>6355</v>
      </c>
      <c r="I6580" s="6">
        <v>6.4097128340672667</v>
      </c>
      <c r="K6580" s="8"/>
    </row>
    <row r="6581" spans="1:11" ht="15" x14ac:dyDescent="0.25">
      <c r="A6581" s="3" t="str">
        <f>HYPERLINK("proteomic_fractions_linear_files/Yang_linear_img/34610241.jpg", "34610241")</f>
        <v>34610241</v>
      </c>
      <c r="C6581" s="3" t="str">
        <f>HYPERLINK("http://www.ncbi.nlm.nih.gov/protein/34610241","Rtn4")</f>
        <v>Rtn4</v>
      </c>
      <c r="E6581" t="str">
        <f>HYPERLINK("J:\Depot - mpkCCD Fractions\Main Web Page\Web Pages_old\proteomic_fractions_linear_files/Yang_linear_img/34610241.jpg","show blot")</f>
        <v>show blot</v>
      </c>
      <c r="G6581" t="s">
        <v>6356</v>
      </c>
      <c r="I6581" s="6">
        <v>6.4097128340672667</v>
      </c>
      <c r="K6581" s="8"/>
    </row>
    <row r="6582" spans="1:11" ht="15" x14ac:dyDescent="0.25">
      <c r="A6582" s="3" t="str">
        <f>HYPERLINK("proteomic_fractions_linear_files/Yang_linear_img/31543608.jpg", "31543608")</f>
        <v>31543608</v>
      </c>
      <c r="C6582" s="3" t="str">
        <f>HYPERLINK("http://www.ncbi.nlm.nih.gov/protein/31543608","Rtn4ip1")</f>
        <v>Rtn4ip1</v>
      </c>
      <c r="E6582" t="str">
        <f>HYPERLINK("J:\Depot - mpkCCD Fractions\Main Web Page\Web Pages_old\proteomic_fractions_linear_files/Yang_linear_img/31543608.jpg","show blot")</f>
        <v>show blot</v>
      </c>
      <c r="G6582" t="s">
        <v>6357</v>
      </c>
      <c r="I6582" s="6">
        <v>3.9571942374134514</v>
      </c>
      <c r="K6582" s="8"/>
    </row>
    <row r="6583" spans="1:11" ht="15" x14ac:dyDescent="0.25">
      <c r="A6583" s="3" t="str">
        <f>HYPERLINK("proteomic_fractions_linear_files/Yang_linear_img/37704389.jpg", "37704389")</f>
        <v>37704389</v>
      </c>
      <c r="C6583" s="3" t="str">
        <f>HYPERLINK("http://www.ncbi.nlm.nih.gov/protein/37704389","Rttn")</f>
        <v>Rttn</v>
      </c>
      <c r="E6583" t="str">
        <f>HYPERLINK("J:\Depot - mpkCCD Fractions\Main Web Page\Web Pages_old\proteomic_fractions_linear_files/Yang_linear_img/37704389.jpg","show blot")</f>
        <v>show blot</v>
      </c>
      <c r="G6583" t="s">
        <v>6358</v>
      </c>
      <c r="I6583" s="6">
        <v>4.8008853545039711</v>
      </c>
      <c r="K6583" s="8"/>
    </row>
    <row r="6584" spans="1:11" ht="15" x14ac:dyDescent="0.25">
      <c r="A6584" s="3" t="str">
        <f>HYPERLINK("proteomic_fractions_linear_files/Yang_linear_img/27369788.jpg", "27369788")</f>
        <v>27369788</v>
      </c>
      <c r="C6584" s="3" t="str">
        <f>HYPERLINK("http://www.ncbi.nlm.nih.gov/protein/27369788","Rufy1")</f>
        <v>Rufy1</v>
      </c>
      <c r="E6584" t="str">
        <f>HYPERLINK("J:\Depot - mpkCCD Fractions\Main Web Page\Web Pages_old\proteomic_fractions_linear_files/Yang_linear_img/27369788.jpg","show blot")</f>
        <v>show blot</v>
      </c>
      <c r="G6584" t="s">
        <v>6359</v>
      </c>
      <c r="I6584" s="6">
        <v>2.8272054549509686</v>
      </c>
      <c r="K6584" s="8"/>
    </row>
    <row r="6585" spans="1:11" ht="15" x14ac:dyDescent="0.25">
      <c r="A6585" s="3" t="str">
        <f>HYPERLINK("proteomic_fractions_linear_files/Yang_linear_img/119637825.jpg", "119637825")</f>
        <v>119637825</v>
      </c>
      <c r="C6585" s="3" t="str">
        <f>HYPERLINK("http://www.ncbi.nlm.nih.gov/protein/119637825","Rufy2")</f>
        <v>Rufy2</v>
      </c>
      <c r="E6585" t="str">
        <f>HYPERLINK("J:\Depot - mpkCCD Fractions\Main Web Page\Web Pages_old\proteomic_fractions_linear_files/Yang_linear_img/119637825.jpg","show blot")</f>
        <v>show blot</v>
      </c>
      <c r="G6585" t="s">
        <v>6360</v>
      </c>
      <c r="I6585" s="6">
        <v>3.6061044882364661</v>
      </c>
      <c r="K6585" s="8"/>
    </row>
    <row r="6586" spans="1:11" ht="15" x14ac:dyDescent="0.25">
      <c r="A6586" s="3" t="str">
        <f>HYPERLINK("proteomic_fractions_linear_files/Yang_linear_img/21312036.jpg", "21312036")</f>
        <v>21312036</v>
      </c>
      <c r="C6586" s="3" t="str">
        <f>HYPERLINK("http://www.ncbi.nlm.nih.gov/protein/21312036","Rufy3")</f>
        <v>Rufy3</v>
      </c>
      <c r="E6586" t="str">
        <f>HYPERLINK("J:\Depot - mpkCCD Fractions\Main Web Page\Web Pages_old\proteomic_fractions_linear_files/Yang_linear_img/21312036.jpg","show blot")</f>
        <v>show blot</v>
      </c>
      <c r="G6586" t="s">
        <v>6361</v>
      </c>
      <c r="I6586" s="6">
        <v>3.8776189299083006</v>
      </c>
      <c r="K6586" s="8"/>
    </row>
    <row r="6587" spans="1:11" ht="15" x14ac:dyDescent="0.25">
      <c r="A6587" s="3" t="str">
        <f>HYPERLINK("proteomic_fractions_linear_files/Yang_linear_img/139947575.jpg", "139947575")</f>
        <v>139947575</v>
      </c>
      <c r="C6587" s="3" t="str">
        <f>HYPERLINK("http://www.ncbi.nlm.nih.gov/protein/139947575","Rusc1")</f>
        <v>Rusc1</v>
      </c>
      <c r="E6587" t="str">
        <f>HYPERLINK("J:\Depot - mpkCCD Fractions\Main Web Page\Web Pages_old\proteomic_fractions_linear_files/Yang_linear_img/139947575.jpg","show blot")</f>
        <v>show blot</v>
      </c>
      <c r="G6587" t="s">
        <v>6362</v>
      </c>
      <c r="I6587" s="6">
        <v>1.5147786682482882</v>
      </c>
      <c r="K6587" s="8"/>
    </row>
    <row r="6588" spans="1:11" ht="15" x14ac:dyDescent="0.25">
      <c r="A6588" s="3" t="str">
        <f>HYPERLINK("proteomic_fractions_linear_files/Yang_linear_img/139948764.jpg", "139948764")</f>
        <v>139948764</v>
      </c>
      <c r="C6588" s="3" t="str">
        <f>HYPERLINK("http://www.ncbi.nlm.nih.gov/protein/139948764","Rusc1")</f>
        <v>Rusc1</v>
      </c>
      <c r="E6588" t="str">
        <f>HYPERLINK("J:\Depot - mpkCCD Fractions\Main Web Page\Web Pages_old\proteomic_fractions_linear_files/Yang_linear_img/139948764.jpg","show blot")</f>
        <v>show blot</v>
      </c>
      <c r="G6588" t="s">
        <v>6363</v>
      </c>
      <c r="I6588" s="6">
        <v>1.5147786682482882</v>
      </c>
      <c r="K6588" s="8"/>
    </row>
    <row r="6589" spans="1:11" ht="15" x14ac:dyDescent="0.25">
      <c r="A6589" s="3" t="str">
        <f>HYPERLINK("proteomic_fractions_linear_files/Yang_linear_img/139949087.jpg", "139949087")</f>
        <v>139949087</v>
      </c>
      <c r="C6589" s="3" t="str">
        <f>HYPERLINK("http://www.ncbi.nlm.nih.gov/protein/139949087","Rusc1")</f>
        <v>Rusc1</v>
      </c>
      <c r="E6589" t="str">
        <f>HYPERLINK("J:\Depot - mpkCCD Fractions\Main Web Page\Web Pages_old\proteomic_fractions_linear_files/Yang_linear_img/139949087.jpg","show blot")</f>
        <v>show blot</v>
      </c>
      <c r="G6589" t="s">
        <v>6364</v>
      </c>
      <c r="I6589" s="6">
        <v>1.5147786682482882</v>
      </c>
      <c r="K6589" s="8"/>
    </row>
    <row r="6590" spans="1:11" ht="15" x14ac:dyDescent="0.25">
      <c r="A6590" s="3" t="str">
        <f>HYPERLINK("proteomic_fractions_linear_files/Yang_linear_img/9790083.jpg", "9790083")</f>
        <v>9790083</v>
      </c>
      <c r="C6590" s="3" t="str">
        <f>HYPERLINK("http://www.ncbi.nlm.nih.gov/protein/9790083","Ruvbl1")</f>
        <v>Ruvbl1</v>
      </c>
      <c r="E6590" t="str">
        <f>HYPERLINK("J:\Depot - mpkCCD Fractions\Main Web Page\Web Pages_old\proteomic_fractions_linear_files/Yang_linear_img/9790083.jpg","show blot")</f>
        <v>show blot</v>
      </c>
      <c r="G6590" t="s">
        <v>6365</v>
      </c>
      <c r="I6590" s="6">
        <v>6.0402708048595359</v>
      </c>
      <c r="K6590" s="8"/>
    </row>
    <row r="6591" spans="1:11" ht="15" x14ac:dyDescent="0.25">
      <c r="A6591" s="3" t="str">
        <f>HYPERLINK("proteomic_fractions_linear_files/Yang_linear_img/6755382.jpg", "6755382")</f>
        <v>6755382</v>
      </c>
      <c r="C6591" s="3" t="str">
        <f>HYPERLINK("http://www.ncbi.nlm.nih.gov/protein/6755382","Ruvbl2")</f>
        <v>Ruvbl2</v>
      </c>
      <c r="E6591" t="str">
        <f>HYPERLINK("J:\Depot - mpkCCD Fractions\Main Web Page\Web Pages_old\proteomic_fractions_linear_files/Yang_linear_img/6755382.jpg","show blot")</f>
        <v>show blot</v>
      </c>
      <c r="G6591" t="s">
        <v>6366</v>
      </c>
      <c r="I6591" s="6">
        <v>6.2260007110633602</v>
      </c>
      <c r="K6591" s="8"/>
    </row>
    <row r="6592" spans="1:11" ht="15" x14ac:dyDescent="0.25">
      <c r="A6592" s="3" t="str">
        <f>HYPERLINK("proteomic_fractions_linear_files/Yang_linear_img/21735427.jpg", "21735427")</f>
        <v>21735427</v>
      </c>
      <c r="C6592" s="3" t="str">
        <f>HYPERLINK("http://www.ncbi.nlm.nih.gov/protein/21735427","Rwdd1")</f>
        <v>Rwdd1</v>
      </c>
      <c r="E6592" t="str">
        <f>HYPERLINK("J:\Depot - mpkCCD Fractions\Main Web Page\Web Pages_old\proteomic_fractions_linear_files/Yang_linear_img/21735427.jpg","show blot")</f>
        <v>show blot</v>
      </c>
      <c r="G6592" t="s">
        <v>6367</v>
      </c>
      <c r="I6592" s="6">
        <v>5.1545109223738805</v>
      </c>
      <c r="K6592" s="8"/>
    </row>
    <row r="6593" spans="1:11" ht="15" x14ac:dyDescent="0.25">
      <c r="A6593" s="3" t="str">
        <f>HYPERLINK("proteomic_fractions_linear_files/Yang_linear_img/45356139.jpg", "45356139")</f>
        <v>45356139</v>
      </c>
      <c r="C6593" s="3" t="str">
        <f>HYPERLINK("http://www.ncbi.nlm.nih.gov/protein/45356139","Rwdd4a")</f>
        <v>Rwdd4a</v>
      </c>
      <c r="E6593" t="str">
        <f>HYPERLINK("J:\Depot - mpkCCD Fractions\Main Web Page\Web Pages_old\proteomic_fractions_linear_files/Yang_linear_img/45356139.jpg","show blot")</f>
        <v>show blot</v>
      </c>
      <c r="G6593" t="s">
        <v>6368</v>
      </c>
      <c r="I6593" s="6">
        <v>4.0336144745674822</v>
      </c>
      <c r="K6593" s="8"/>
    </row>
    <row r="6594" spans="1:11" ht="15" x14ac:dyDescent="0.25">
      <c r="A6594" s="3" t="str">
        <f>HYPERLINK("proteomic_fractions_linear_files/Yang_linear_img/38348308.jpg", "38348308")</f>
        <v>38348308</v>
      </c>
      <c r="C6594" s="3" t="str">
        <f>HYPERLINK("http://www.ncbi.nlm.nih.gov/protein/38348308","Rybp")</f>
        <v>Rybp</v>
      </c>
      <c r="E6594" t="str">
        <f>HYPERLINK("J:\Depot - mpkCCD Fractions\Main Web Page\Web Pages_old\proteomic_fractions_linear_files/Yang_linear_img/38348308.jpg","show blot")</f>
        <v>show blot</v>
      </c>
      <c r="G6594" t="s">
        <v>6369</v>
      </c>
      <c r="I6594" s="6">
        <v>2.3054569886514784</v>
      </c>
      <c r="K6594" s="8"/>
    </row>
    <row r="6595" spans="1:11" ht="15" x14ac:dyDescent="0.25">
      <c r="A6595" s="3" t="str">
        <f>HYPERLINK("proteomic_fractions_linear_files/Yang_linear_img/6755386.jpg", "6755386")</f>
        <v>6755386</v>
      </c>
      <c r="C6595" s="3" t="str">
        <f>HYPERLINK("http://www.ncbi.nlm.nih.gov/protein/6755386","S100a1")</f>
        <v>S100a1</v>
      </c>
      <c r="E6595" t="str">
        <f>HYPERLINK("J:\Depot - mpkCCD Fractions\Main Web Page\Web Pages_old\proteomic_fractions_linear_files/Yang_linear_img/6755386.jpg","show blot")</f>
        <v>show blot</v>
      </c>
      <c r="G6595" t="s">
        <v>6370</v>
      </c>
      <c r="I6595" s="6">
        <v>3.7916301755099644</v>
      </c>
      <c r="K6595" s="8"/>
    </row>
    <row r="6596" spans="1:11" ht="15" x14ac:dyDescent="0.25">
      <c r="A6596" s="3" t="str">
        <f>HYPERLINK("proteomic_fractions_linear_files/Yang_linear_img/6677833.jpg", "6677833")</f>
        <v>6677833</v>
      </c>
      <c r="C6596" s="3" t="str">
        <f>HYPERLINK("http://www.ncbi.nlm.nih.gov/protein/6677833","S100a10")</f>
        <v>S100a10</v>
      </c>
      <c r="E6596" t="str">
        <f>HYPERLINK("J:\Depot - mpkCCD Fractions\Main Web Page\Web Pages_old\proteomic_fractions_linear_files/Yang_linear_img/6677833.jpg","show blot")</f>
        <v>show blot</v>
      </c>
      <c r="G6596" t="s">
        <v>6371</v>
      </c>
      <c r="I6596" s="6">
        <v>5.5132343869628837</v>
      </c>
      <c r="K6596" s="8"/>
    </row>
    <row r="6597" spans="1:11" ht="15" x14ac:dyDescent="0.25">
      <c r="A6597" s="3" t="str">
        <f>HYPERLINK("proteomic_fractions_linear_files/Yang_linear_img/21886811.jpg", "21886811")</f>
        <v>21886811</v>
      </c>
      <c r="C6597" s="3" t="str">
        <f>HYPERLINK("http://www.ncbi.nlm.nih.gov/protein/21886811","S100a11")</f>
        <v>S100a11</v>
      </c>
      <c r="E6597" t="str">
        <f>HYPERLINK("J:\Depot - mpkCCD Fractions\Main Web Page\Web Pages_old\proteomic_fractions_linear_files/Yang_linear_img/21886811.jpg","show blot")</f>
        <v>show blot</v>
      </c>
      <c r="G6597" t="s">
        <v>6372</v>
      </c>
      <c r="I6597" s="6">
        <v>6.1486554281976806</v>
      </c>
      <c r="K6597" s="8"/>
    </row>
    <row r="6598" spans="1:11" ht="15" x14ac:dyDescent="0.25">
      <c r="A6598" s="3" t="str">
        <f>HYPERLINK("proteomic_fractions_linear_files/Yang_linear_img/347582617.jpg", "347582617")</f>
        <v>347582617</v>
      </c>
      <c r="C6598" s="3" t="str">
        <f>HYPERLINK("http://www.ncbi.nlm.nih.gov/protein/347582617","S100a13")</f>
        <v>S100a13</v>
      </c>
      <c r="E6598" t="str">
        <f>HYPERLINK("J:\Depot - mpkCCD Fractions\Main Web Page\Web Pages_old\proteomic_fractions_linear_files/Yang_linear_img/347582617.jpg","show blot")</f>
        <v>show blot</v>
      </c>
      <c r="G6598" t="s">
        <v>6373</v>
      </c>
      <c r="I6598" s="6">
        <v>5.1423362300428597</v>
      </c>
      <c r="K6598" s="8"/>
    </row>
    <row r="6599" spans="1:11" ht="15" x14ac:dyDescent="0.25">
      <c r="A6599" s="3" t="str">
        <f>HYPERLINK("proteomic_fractions_linear_files/Yang_linear_img/254587910.jpg", "254587910")</f>
        <v>254587910</v>
      </c>
      <c r="C6599" s="3" t="str">
        <f>HYPERLINK("http://www.ncbi.nlm.nih.gov/protein/254587910","S100a14")</f>
        <v>S100a14</v>
      </c>
      <c r="E6599" t="str">
        <f>HYPERLINK("J:\Depot - mpkCCD Fractions\Main Web Page\Web Pages_old\proteomic_fractions_linear_files/Yang_linear_img/254587910.jpg","show blot")</f>
        <v>show blot</v>
      </c>
      <c r="G6599" t="s">
        <v>6374</v>
      </c>
      <c r="I6599" s="6">
        <v>6.3519418547373787</v>
      </c>
      <c r="K6599" s="8"/>
    </row>
    <row r="6600" spans="1:11" ht="15" x14ac:dyDescent="0.25">
      <c r="A6600" s="3" t="str">
        <f>HYPERLINK("proteomic_fractions_linear_files/Yang_linear_img/254587908;254587904.jpg", "254587908;254587904")</f>
        <v>254587908;254587904</v>
      </c>
      <c r="C6600" s="3" t="str">
        <f>HYPERLINK("http://www.ncbi.nlm.nih.gov/protein/254587908;254587904","S100a14")</f>
        <v>S100a14</v>
      </c>
      <c r="E6600" t="str">
        <f>HYPERLINK("J:\Depot - mpkCCD Fractions\Main Web Page\Web Pages_old\proteomic_fractions_linear_files/Yang_linear_img/254587908;254587904.jpg","show blot")</f>
        <v>show blot</v>
      </c>
      <c r="G6600" t="s">
        <v>6375</v>
      </c>
      <c r="I6600" s="6">
        <v>6.3519418547373787</v>
      </c>
      <c r="K6600" s="8"/>
    </row>
    <row r="6601" spans="1:11" ht="15" x14ac:dyDescent="0.25">
      <c r="A6601" s="3" t="str">
        <f>HYPERLINK("proteomic_fractions_linear_files/Yang_linear_img/21312760.jpg", "21312760")</f>
        <v>21312760</v>
      </c>
      <c r="C6601" s="3" t="str">
        <f>HYPERLINK("http://www.ncbi.nlm.nih.gov/protein/21312760","S100a16")</f>
        <v>S100a16</v>
      </c>
      <c r="E6601" t="str">
        <f>HYPERLINK("J:\Depot - mpkCCD Fractions\Main Web Page\Web Pages_old\proteomic_fractions_linear_files/Yang_linear_img/21312760.jpg","show blot")</f>
        <v>show blot</v>
      </c>
      <c r="G6601" t="s">
        <v>6376</v>
      </c>
      <c r="I6601" s="6">
        <v>5.8446296221876741</v>
      </c>
      <c r="K6601" s="8"/>
    </row>
    <row r="6602" spans="1:11" ht="15" x14ac:dyDescent="0.25">
      <c r="A6602" s="3" t="str">
        <f>HYPERLINK("proteomic_fractions_linear_files/Yang_linear_img/33859624.jpg", "33859624")</f>
        <v>33859624</v>
      </c>
      <c r="C6602" s="3" t="str">
        <f>HYPERLINK("http://www.ncbi.nlm.nih.gov/protein/33859624","S100a4")</f>
        <v>S100a4</v>
      </c>
      <c r="E6602" t="str">
        <f>HYPERLINK("J:\Depot - mpkCCD Fractions\Main Web Page\Web Pages_old\proteomic_fractions_linear_files/Yang_linear_img/33859624.jpg","show blot")</f>
        <v>show blot</v>
      </c>
      <c r="G6602" t="s">
        <v>6377</v>
      </c>
      <c r="I6602" s="6">
        <v>2.001445240874181</v>
      </c>
      <c r="K6602" s="8"/>
    </row>
    <row r="6603" spans="1:11" ht="15" x14ac:dyDescent="0.25">
      <c r="A6603" s="3" t="str">
        <f>HYPERLINK("proteomic_fractions_linear_files/Yang_linear_img/6755392.jpg", "6755392")</f>
        <v>6755392</v>
      </c>
      <c r="C6603" s="3" t="str">
        <f>HYPERLINK("http://www.ncbi.nlm.nih.gov/protein/6755392","S100a6")</f>
        <v>S100a6</v>
      </c>
      <c r="E6603" t="str">
        <f>HYPERLINK("J:\Depot - mpkCCD Fractions\Main Web Page\Web Pages_old\proteomic_fractions_linear_files/Yang_linear_img/6755392.jpg","show blot")</f>
        <v>show blot</v>
      </c>
      <c r="G6603" t="s">
        <v>6378</v>
      </c>
      <c r="I6603" s="6">
        <v>6.6328211868483189</v>
      </c>
      <c r="K6603" s="8"/>
    </row>
    <row r="6604" spans="1:11" ht="15" x14ac:dyDescent="0.25">
      <c r="A6604" s="3" t="str">
        <f>HYPERLINK("proteomic_fractions_linear_files/Yang_linear_img/198278397.jpg", "198278397")</f>
        <v>198278397</v>
      </c>
      <c r="C6604" s="3" t="str">
        <f>HYPERLINK("http://www.ncbi.nlm.nih.gov/protein/198278397","Saal1")</f>
        <v>Saal1</v>
      </c>
      <c r="E6604" t="str">
        <f>HYPERLINK("J:\Depot - mpkCCD Fractions\Main Web Page\Web Pages_old\proteomic_fractions_linear_files/Yang_linear_img/198278397.jpg","show blot")</f>
        <v>show blot</v>
      </c>
      <c r="G6604" t="s">
        <v>6379</v>
      </c>
      <c r="I6604" s="6">
        <v>4.1864315793336626</v>
      </c>
      <c r="K6604" s="8"/>
    </row>
    <row r="6605" spans="1:11" ht="15" x14ac:dyDescent="0.25">
      <c r="A6605" s="3" t="str">
        <f>HYPERLINK("proteomic_fractions_linear_files/Yang_linear_img/13507622.jpg", "13507622")</f>
        <v>13507622</v>
      </c>
      <c r="C6605" s="3" t="str">
        <f>HYPERLINK("http://www.ncbi.nlm.nih.gov/protein/13507622","Sacm1l")</f>
        <v>Sacm1l</v>
      </c>
      <c r="E6605" t="str">
        <f>HYPERLINK("J:\Depot - mpkCCD Fractions\Main Web Page\Web Pages_old\proteomic_fractions_linear_files/Yang_linear_img/13507622.jpg","show blot")</f>
        <v>show blot</v>
      </c>
      <c r="G6605" t="s">
        <v>6380</v>
      </c>
      <c r="I6605" s="6">
        <v>4.9216151705766142</v>
      </c>
      <c r="K6605" s="8"/>
    </row>
    <row r="6606" spans="1:11" ht="15" x14ac:dyDescent="0.25">
      <c r="A6606" s="3" t="str">
        <f>HYPERLINK("proteomic_fractions_linear_files/Yang_linear_img/9790247.jpg", "9790247")</f>
        <v>9790247</v>
      </c>
      <c r="C6606" s="3" t="str">
        <f>HYPERLINK("http://www.ncbi.nlm.nih.gov/protein/9790247","Sae1")</f>
        <v>Sae1</v>
      </c>
      <c r="E6606" t="str">
        <f>HYPERLINK("J:\Depot - mpkCCD Fractions\Main Web Page\Web Pages_old\proteomic_fractions_linear_files/Yang_linear_img/9790247.jpg","show blot")</f>
        <v>show blot</v>
      </c>
      <c r="G6606" t="s">
        <v>6381</v>
      </c>
      <c r="I6606" s="6">
        <v>5.4993626338912538</v>
      </c>
      <c r="K6606" s="8"/>
    </row>
    <row r="6607" spans="1:11" ht="15" x14ac:dyDescent="0.25">
      <c r="A6607" s="3" t="str">
        <f>HYPERLINK("proteomic_fractions_linear_files/Yang_linear_img/254028159.jpg", "254028159")</f>
        <v>254028159</v>
      </c>
      <c r="C6607" s="3" t="str">
        <f>HYPERLINK("http://www.ncbi.nlm.nih.gov/protein/254028159","Safb")</f>
        <v>Safb</v>
      </c>
      <c r="E6607" t="str">
        <f>HYPERLINK("J:\Depot - mpkCCD Fractions\Main Web Page\Web Pages_old\proteomic_fractions_linear_files/Yang_linear_img/254028159.jpg","show blot")</f>
        <v>show blot</v>
      </c>
      <c r="G6607" t="s">
        <v>6382</v>
      </c>
      <c r="I6607" s="6">
        <v>4.7586197578356293</v>
      </c>
      <c r="K6607" s="8"/>
    </row>
    <row r="6608" spans="1:11" ht="15" x14ac:dyDescent="0.25">
      <c r="A6608" s="3" t="str">
        <f>HYPERLINK("proteomic_fractions_linear_files/Yang_linear_img/153945866.jpg", "153945866")</f>
        <v>153945866</v>
      </c>
      <c r="C6608" s="3" t="str">
        <f>HYPERLINK("http://www.ncbi.nlm.nih.gov/protein/153945866","Safb2")</f>
        <v>Safb2</v>
      </c>
      <c r="E6608" t="str">
        <f>HYPERLINK("J:\Depot - mpkCCD Fractions\Main Web Page\Web Pages_old\proteomic_fractions_linear_files/Yang_linear_img/153945866.jpg","show blot")</f>
        <v>show blot</v>
      </c>
      <c r="G6608" t="s">
        <v>6383</v>
      </c>
      <c r="I6608" s="6">
        <v>4.7450108645933842</v>
      </c>
      <c r="K6608" s="8"/>
    </row>
    <row r="6609" spans="1:11" ht="15" x14ac:dyDescent="0.25">
      <c r="A6609" s="3" t="str">
        <f>HYPERLINK("proteomic_fractions_linear_files/Yang_linear_img/159032064.jpg", "159032064")</f>
        <v>159032064</v>
      </c>
      <c r="C6609" s="3" t="str">
        <f>HYPERLINK("http://www.ncbi.nlm.nih.gov/protein/159032064","Sall1")</f>
        <v>Sall1</v>
      </c>
      <c r="E6609" t="str">
        <f>HYPERLINK("J:\Depot - mpkCCD Fractions\Main Web Page\Web Pages_old\proteomic_fractions_linear_files/Yang_linear_img/159032064.jpg","show blot")</f>
        <v>show blot</v>
      </c>
      <c r="G6609" t="s">
        <v>6384</v>
      </c>
      <c r="I6609" s="6">
        <v>4.5647322362084584</v>
      </c>
      <c r="K6609" s="8"/>
    </row>
    <row r="6610" spans="1:11" ht="15" x14ac:dyDescent="0.25">
      <c r="A6610" s="3" t="str">
        <f>HYPERLINK("proteomic_fractions_linear_files/Yang_linear_img/28893263.jpg", "28893263")</f>
        <v>28893263</v>
      </c>
      <c r="C6610" s="3" t="str">
        <f>HYPERLINK("http://www.ncbi.nlm.nih.gov/protein/28893263","Samd12")</f>
        <v>Samd12</v>
      </c>
      <c r="E6610" t="str">
        <f>HYPERLINK("J:\Depot - mpkCCD Fractions\Main Web Page\Web Pages_old\proteomic_fractions_linear_files/Yang_linear_img/28893263.jpg","show blot")</f>
        <v>show blot</v>
      </c>
      <c r="G6610" t="s">
        <v>6385</v>
      </c>
      <c r="I6610" s="6">
        <v>3.8359120664991235</v>
      </c>
      <c r="K6610" s="8"/>
    </row>
    <row r="6611" spans="1:11" ht="15" x14ac:dyDescent="0.25">
      <c r="A6611" s="3" t="str">
        <f>HYPERLINK("proteomic_fractions_linear_files/Yang_linear_img/226958514.jpg", "226958514")</f>
        <v>226958514</v>
      </c>
      <c r="C6611" s="3" t="str">
        <f>HYPERLINK("http://www.ncbi.nlm.nih.gov/protein/226958514","Samd9l")</f>
        <v>Samd9l</v>
      </c>
      <c r="E6611" t="str">
        <f>HYPERLINK("J:\Depot - mpkCCD Fractions\Main Web Page\Web Pages_old\proteomic_fractions_linear_files/Yang_linear_img/226958514.jpg","show blot")</f>
        <v>show blot</v>
      </c>
      <c r="G6611" t="s">
        <v>6386</v>
      </c>
      <c r="I6611" s="6">
        <v>5.3848785053700832</v>
      </c>
      <c r="K6611" s="8"/>
    </row>
    <row r="6612" spans="1:11" ht="15" x14ac:dyDescent="0.25">
      <c r="A6612" s="3" t="str">
        <f>HYPERLINK("proteomic_fractions_linear_files/Yang_linear_img/213418055.jpg", "213418055")</f>
        <v>213418055</v>
      </c>
      <c r="C6612" s="3" t="str">
        <f>HYPERLINK("http://www.ncbi.nlm.nih.gov/protein/213418055","Samhd1")</f>
        <v>Samhd1</v>
      </c>
      <c r="E6612" t="str">
        <f>HYPERLINK("J:\Depot - mpkCCD Fractions\Main Web Page\Web Pages_old\proteomic_fractions_linear_files/Yang_linear_img/213418055.jpg","show blot")</f>
        <v>show blot</v>
      </c>
      <c r="G6612" t="s">
        <v>6387</v>
      </c>
      <c r="I6612" s="6">
        <v>5.4581822827436293</v>
      </c>
      <c r="K6612" s="8"/>
    </row>
    <row r="6613" spans="1:11" ht="15" x14ac:dyDescent="0.25">
      <c r="A6613" s="3" t="str">
        <f>HYPERLINK("proteomic_fractions_linear_files/Yang_linear_img/213418079.jpg", "213418079")</f>
        <v>213418079</v>
      </c>
      <c r="C6613" s="3" t="str">
        <f>HYPERLINK("http://www.ncbi.nlm.nih.gov/protein/213418079","Samhd1")</f>
        <v>Samhd1</v>
      </c>
      <c r="E6613" t="str">
        <f>HYPERLINK("J:\Depot - mpkCCD Fractions\Main Web Page\Web Pages_old\proteomic_fractions_linear_files/Yang_linear_img/213418079.jpg","show blot")</f>
        <v>show blot</v>
      </c>
      <c r="G6613" t="s">
        <v>6388</v>
      </c>
      <c r="I6613" s="6">
        <v>5.4581822827436293</v>
      </c>
      <c r="K6613" s="8"/>
    </row>
    <row r="6614" spans="1:11" ht="15" x14ac:dyDescent="0.25">
      <c r="A6614" s="3" t="str">
        <f>HYPERLINK("proteomic_fractions_linear_files/Yang_linear_img/30519943.jpg", "30519943")</f>
        <v>30519943</v>
      </c>
      <c r="C6614" s="3" t="str">
        <f>HYPERLINK("http://www.ncbi.nlm.nih.gov/protein/30519943","Samm50")</f>
        <v>Samm50</v>
      </c>
      <c r="E6614" t="str">
        <f>HYPERLINK("J:\Depot - mpkCCD Fractions\Main Web Page\Web Pages_old\proteomic_fractions_linear_files/Yang_linear_img/30519943.jpg","show blot")</f>
        <v>show blot</v>
      </c>
      <c r="G6614" t="s">
        <v>6389</v>
      </c>
      <c r="I6614" s="6">
        <v>5.3586514827519025</v>
      </c>
      <c r="K6614" s="8"/>
    </row>
    <row r="6615" spans="1:11" ht="15" x14ac:dyDescent="0.25">
      <c r="A6615" s="3" t="str">
        <f>HYPERLINK("proteomic_fractions_linear_files/Yang_linear_img/31560336.jpg", "31560336")</f>
        <v>31560336</v>
      </c>
      <c r="C6615" s="3" t="str">
        <f>HYPERLINK("http://www.ncbi.nlm.nih.gov/protein/31560336","Sap30bp")</f>
        <v>Sap30bp</v>
      </c>
      <c r="E6615" t="str">
        <f>HYPERLINK("J:\Depot - mpkCCD Fractions\Main Web Page\Web Pages_old\proteomic_fractions_linear_files/Yang_linear_img/31560336.jpg","show blot")</f>
        <v>show blot</v>
      </c>
      <c r="G6615" t="s">
        <v>6390</v>
      </c>
      <c r="I6615" s="6">
        <v>4.5363681289087481</v>
      </c>
      <c r="K6615" s="8"/>
    </row>
    <row r="6616" spans="1:11" ht="15" x14ac:dyDescent="0.25">
      <c r="A6616" s="3" t="str">
        <f>HYPERLINK("proteomic_fractions_linear_files/Yang_linear_img/21703344.jpg", "21703344")</f>
        <v>21703344</v>
      </c>
      <c r="C6616" s="3" t="str">
        <f>HYPERLINK("http://www.ncbi.nlm.nih.gov/protein/21703344","Sar1a")</f>
        <v>Sar1a</v>
      </c>
      <c r="E6616" t="str">
        <f>HYPERLINK("J:\Depot - mpkCCD Fractions\Main Web Page\Web Pages_old\proteomic_fractions_linear_files/Yang_linear_img/21703344.jpg","show blot")</f>
        <v>show blot</v>
      </c>
      <c r="G6616" t="s">
        <v>6391</v>
      </c>
      <c r="I6616" s="6">
        <v>5.914452471888068</v>
      </c>
      <c r="K6616" s="8"/>
    </row>
    <row r="6617" spans="1:11" ht="15" x14ac:dyDescent="0.25">
      <c r="A6617" s="3" t="str">
        <f>HYPERLINK("proteomic_fractions_linear_files/Yang_linear_img/21313476.jpg", "21313476")</f>
        <v>21313476</v>
      </c>
      <c r="C6617" s="3" t="str">
        <f>HYPERLINK("http://www.ncbi.nlm.nih.gov/protein/21313476","Sar1b")</f>
        <v>Sar1b</v>
      </c>
      <c r="E6617" t="str">
        <f>HYPERLINK("J:\Depot - mpkCCD Fractions\Main Web Page\Web Pages_old\proteomic_fractions_linear_files/Yang_linear_img/21313476.jpg","show blot")</f>
        <v>show blot</v>
      </c>
      <c r="G6617" t="s">
        <v>6392</v>
      </c>
      <c r="I6617" s="6">
        <v>5.8479372114816517</v>
      </c>
      <c r="K6617" s="8"/>
    </row>
    <row r="6618" spans="1:11" ht="15" x14ac:dyDescent="0.25">
      <c r="A6618" s="3" t="str">
        <f>HYPERLINK("proteomic_fractions_linear_files/Yang_linear_img/20149748.jpg", "20149748")</f>
        <v>20149748</v>
      </c>
      <c r="C6618" s="3" t="str">
        <f>HYPERLINK("http://www.ncbi.nlm.nih.gov/protein/20149748","Sardh")</f>
        <v>Sardh</v>
      </c>
      <c r="E6618" t="str">
        <f>HYPERLINK("J:\Depot - mpkCCD Fractions\Main Web Page\Web Pages_old\proteomic_fractions_linear_files/Yang_linear_img/20149748.jpg","show blot")</f>
        <v>show blot</v>
      </c>
      <c r="G6618" t="s">
        <v>6393</v>
      </c>
      <c r="I6618" s="6">
        <v>3.5651047997272132</v>
      </c>
      <c r="K6618" s="8"/>
    </row>
    <row r="6619" spans="1:11" ht="15" x14ac:dyDescent="0.25">
      <c r="A6619" s="3" t="str">
        <f>HYPERLINK("proteomic_fractions_linear_files/Yang_linear_img/13384730.jpg", "13384730")</f>
        <v>13384730</v>
      </c>
      <c r="C6619" s="3" t="str">
        <f>HYPERLINK("http://www.ncbi.nlm.nih.gov/protein/13384730","Sarnp")</f>
        <v>Sarnp</v>
      </c>
      <c r="E6619" t="str">
        <f>HYPERLINK("J:\Depot - mpkCCD Fractions\Main Web Page\Web Pages_old\proteomic_fractions_linear_files/Yang_linear_img/13384730.jpg","show blot")</f>
        <v>show blot</v>
      </c>
      <c r="G6619" t="s">
        <v>6394</v>
      </c>
      <c r="I6619" s="6">
        <v>5.6290985386809229</v>
      </c>
      <c r="K6619" s="8"/>
    </row>
    <row r="6620" spans="1:11" ht="15" x14ac:dyDescent="0.25">
      <c r="A6620" s="3" t="str">
        <f>HYPERLINK("proteomic_fractions_linear_files/Yang_linear_img/326381098.jpg", "326381098")</f>
        <v>326381098</v>
      </c>
      <c r="C6620" s="3" t="str">
        <f>HYPERLINK("http://www.ncbi.nlm.nih.gov/protein/326381098","Sars")</f>
        <v>Sars</v>
      </c>
      <c r="E6620" t="str">
        <f>HYPERLINK("J:\Depot - mpkCCD Fractions\Main Web Page\Web Pages_old\proteomic_fractions_linear_files/Yang_linear_img/326381098.jpg","show blot")</f>
        <v>show blot</v>
      </c>
      <c r="G6620" t="s">
        <v>6395</v>
      </c>
      <c r="I6620" s="6">
        <v>6.0514102867715946</v>
      </c>
      <c r="K6620" s="8"/>
    </row>
    <row r="6621" spans="1:11" ht="15" x14ac:dyDescent="0.25">
      <c r="A6621" s="3" t="str">
        <f>HYPERLINK("proteomic_fractions_linear_files/Yang_linear_img/33468931.jpg", "33468931")</f>
        <v>33468931</v>
      </c>
      <c r="C6621" s="3" t="str">
        <f>HYPERLINK("http://www.ncbi.nlm.nih.gov/protein/33468931","Sars")</f>
        <v>Sars</v>
      </c>
      <c r="E6621" t="str">
        <f>HYPERLINK("J:\Depot - mpkCCD Fractions\Main Web Page\Web Pages_old\proteomic_fractions_linear_files/Yang_linear_img/33468931.jpg","show blot")</f>
        <v>show blot</v>
      </c>
      <c r="G6621" t="s">
        <v>6396</v>
      </c>
      <c r="I6621" s="6">
        <v>6.0514102867715946</v>
      </c>
      <c r="K6621" s="8"/>
    </row>
    <row r="6622" spans="1:11" ht="15" x14ac:dyDescent="0.25">
      <c r="A6622" s="3" t="str">
        <f>HYPERLINK("proteomic_fractions_linear_files/Yang_linear_img/228008415.jpg", "228008415")</f>
        <v>228008415</v>
      </c>
      <c r="C6622" s="3" t="str">
        <f>HYPERLINK("http://www.ncbi.nlm.nih.gov/protein/228008415","Sars2")</f>
        <v>Sars2</v>
      </c>
      <c r="E6622" t="str">
        <f>HYPERLINK("J:\Depot - mpkCCD Fractions\Main Web Page\Web Pages_old\proteomic_fractions_linear_files/Yang_linear_img/228008415.jpg","show blot")</f>
        <v>show blot</v>
      </c>
      <c r="G6622" t="s">
        <v>6397</v>
      </c>
      <c r="I6622" s="6">
        <v>3.7569787272692463</v>
      </c>
      <c r="K6622" s="8"/>
    </row>
    <row r="6623" spans="1:11" ht="15" x14ac:dyDescent="0.25">
      <c r="A6623" s="3" t="str">
        <f>HYPERLINK("proteomic_fractions_linear_files/Yang_linear_img/124244096.jpg", "124244096")</f>
        <v>124244096</v>
      </c>
      <c r="C6623" s="3" t="str">
        <f>HYPERLINK("http://www.ncbi.nlm.nih.gov/protein/124244096","Sart1")</f>
        <v>Sart1</v>
      </c>
      <c r="E6623" t="str">
        <f>HYPERLINK("J:\Depot - mpkCCD Fractions\Main Web Page\Web Pages_old\proteomic_fractions_linear_files/Yang_linear_img/124244096.jpg","show blot")</f>
        <v>show blot</v>
      </c>
      <c r="G6623" t="s">
        <v>6398</v>
      </c>
      <c r="I6623" s="6">
        <v>4.7865955302470651</v>
      </c>
      <c r="K6623" s="8"/>
    </row>
    <row r="6624" spans="1:11" ht="15" x14ac:dyDescent="0.25">
      <c r="A6624" s="3" t="str">
        <f>HYPERLINK("proteomic_fractions_linear_files/Yang_linear_img/8394239.jpg", "8394239")</f>
        <v>8394239</v>
      </c>
      <c r="C6624" s="3" t="str">
        <f>HYPERLINK("http://www.ncbi.nlm.nih.gov/protein/8394239","Sart3")</f>
        <v>Sart3</v>
      </c>
      <c r="E6624" t="str">
        <f>HYPERLINK("J:\Depot - mpkCCD Fractions\Main Web Page\Web Pages_old\proteomic_fractions_linear_files/Yang_linear_img/8394239.jpg","show blot")</f>
        <v>show blot</v>
      </c>
      <c r="G6624" t="s">
        <v>6399</v>
      </c>
      <c r="I6624" s="6">
        <v>5.6944438810624867</v>
      </c>
      <c r="K6624" s="8"/>
    </row>
    <row r="6625" spans="1:11" ht="15" x14ac:dyDescent="0.25">
      <c r="A6625" s="3" t="str">
        <f>HYPERLINK("proteomic_fractions_linear_files/Yang_linear_img/124249210.jpg", "124249210")</f>
        <v>124249210</v>
      </c>
      <c r="C6625" s="3" t="str">
        <f>HYPERLINK("http://www.ncbi.nlm.nih.gov/protein/124249210","Sat2")</f>
        <v>Sat2</v>
      </c>
      <c r="E6625" t="str">
        <f>HYPERLINK("J:\Depot - mpkCCD Fractions\Main Web Page\Web Pages_old\proteomic_fractions_linear_files/Yang_linear_img/124249210.jpg","show blot")</f>
        <v>show blot</v>
      </c>
      <c r="G6625" t="s">
        <v>6400</v>
      </c>
      <c r="I6625" s="6">
        <v>4.6070683706025806</v>
      </c>
      <c r="K6625" s="8"/>
    </row>
    <row r="6626" spans="1:11" ht="15" x14ac:dyDescent="0.25">
      <c r="A6626" s="3" t="str">
        <f>HYPERLINK("proteomic_fractions_linear_files/Yang_linear_img/218751888.jpg", "218751888")</f>
        <v>218751888</v>
      </c>
      <c r="C6626" s="3" t="str">
        <f>HYPERLINK("http://www.ncbi.nlm.nih.gov/protein/218751888","Saysd1")</f>
        <v>Saysd1</v>
      </c>
      <c r="E6626" t="str">
        <f>HYPERLINK("J:\Depot - mpkCCD Fractions\Main Web Page\Web Pages_old\proteomic_fractions_linear_files/Yang_linear_img/218751888.jpg","show blot")</f>
        <v>show blot</v>
      </c>
      <c r="G6626" t="s">
        <v>6401</v>
      </c>
      <c r="I6626" s="6">
        <v>2.6723651252777296</v>
      </c>
      <c r="K6626" s="8"/>
    </row>
    <row r="6627" spans="1:11" ht="15" x14ac:dyDescent="0.25">
      <c r="A6627" s="3" t="str">
        <f>HYPERLINK("proteomic_fractions_linear_files/Yang_linear_img/23956138.jpg", "23956138")</f>
        <v>23956138</v>
      </c>
      <c r="C6627" s="3" t="str">
        <f>HYPERLINK("http://www.ncbi.nlm.nih.gov/protein/23956138","Sbds")</f>
        <v>Sbds</v>
      </c>
      <c r="E6627" t="str">
        <f>HYPERLINK("J:\Depot - mpkCCD Fractions\Main Web Page\Web Pages_old\proteomic_fractions_linear_files/Yang_linear_img/23956138.jpg","show blot")</f>
        <v>show blot</v>
      </c>
      <c r="G6627" t="s">
        <v>6402</v>
      </c>
      <c r="I6627" s="6">
        <v>5.9992470195109906</v>
      </c>
      <c r="K6627" s="8"/>
    </row>
    <row r="6628" spans="1:11" ht="15" x14ac:dyDescent="0.25">
      <c r="A6628" s="3" t="str">
        <f>HYPERLINK("proteomic_fractions_linear_files/Yang_linear_img/124487087.jpg", "124487087")</f>
        <v>124487087</v>
      </c>
      <c r="C6628" s="3" t="str">
        <f>HYPERLINK("http://www.ncbi.nlm.nih.gov/protein/124487087","Sbno1")</f>
        <v>Sbno1</v>
      </c>
      <c r="E6628" t="str">
        <f>HYPERLINK("J:\Depot - mpkCCD Fractions\Main Web Page\Web Pages_old\proteomic_fractions_linear_files/Yang_linear_img/124487087.jpg","show blot")</f>
        <v>show blot</v>
      </c>
      <c r="G6628" t="s">
        <v>6403</v>
      </c>
      <c r="I6628" s="6">
        <v>4.1392815017014488</v>
      </c>
      <c r="K6628" s="8"/>
    </row>
    <row r="6629" spans="1:11" ht="15" x14ac:dyDescent="0.25">
      <c r="A6629" s="3" t="str">
        <f>HYPERLINK("proteomic_fractions_linear_files/Yang_linear_img/34556193.jpg", "34556193")</f>
        <v>34556193</v>
      </c>
      <c r="C6629" s="3" t="str">
        <f>HYPERLINK("http://www.ncbi.nlm.nih.gov/protein/34556193","Sbno2")</f>
        <v>Sbno2</v>
      </c>
      <c r="E6629" t="str">
        <f>HYPERLINK("J:\Depot - mpkCCD Fractions\Main Web Page\Web Pages_old\proteomic_fractions_linear_files/Yang_linear_img/34556193.jpg","show blot")</f>
        <v>show blot</v>
      </c>
      <c r="G6629" t="s">
        <v>6404</v>
      </c>
      <c r="I6629" s="6">
        <v>3.8166038703431262</v>
      </c>
      <c r="K6629" s="8"/>
    </row>
    <row r="6630" spans="1:11" ht="15" x14ac:dyDescent="0.25">
      <c r="A6630" s="3" t="str">
        <f>HYPERLINK("proteomic_fractions_linear_files/Yang_linear_img/13384836.jpg", "13384836")</f>
        <v>13384836</v>
      </c>
      <c r="C6630" s="3" t="str">
        <f>HYPERLINK("http://www.ncbi.nlm.nih.gov/protein/13384836","Sc4mol")</f>
        <v>Sc4mol</v>
      </c>
      <c r="E6630" t="str">
        <f>HYPERLINK("J:\Depot - mpkCCD Fractions\Main Web Page\Web Pages_old\proteomic_fractions_linear_files/Yang_linear_img/13384836.jpg","show blot")</f>
        <v>show blot</v>
      </c>
      <c r="G6630" t="s">
        <v>6405</v>
      </c>
      <c r="I6630" s="6">
        <v>2.8811802291420343</v>
      </c>
      <c r="K6630" s="8"/>
    </row>
    <row r="6631" spans="1:11" ht="15" x14ac:dyDescent="0.25">
      <c r="A6631" s="3" t="str">
        <f>HYPERLINK("proteomic_fractions_linear_files/Yang_linear_img/56605682.jpg", "56605682")</f>
        <v>56605682</v>
      </c>
      <c r="C6631" s="3" t="str">
        <f>HYPERLINK("http://www.ncbi.nlm.nih.gov/protein/56605682","Scaf1")</f>
        <v>Scaf1</v>
      </c>
      <c r="E6631" t="str">
        <f>HYPERLINK("J:\Depot - mpkCCD Fractions\Main Web Page\Web Pages_old\proteomic_fractions_linear_files/Yang_linear_img/56605682.jpg","show blot")</f>
        <v>show blot</v>
      </c>
      <c r="G6631" t="s">
        <v>6406</v>
      </c>
      <c r="I6631" s="6">
        <v>0.82858295194869824</v>
      </c>
      <c r="K6631" s="8"/>
    </row>
    <row r="6632" spans="1:11" ht="15" x14ac:dyDescent="0.25">
      <c r="A6632" s="3" t="str">
        <f>HYPERLINK("proteomic_fractions_linear_files/Yang_linear_img/109150409.jpg", "109150409")</f>
        <v>109150409</v>
      </c>
      <c r="C6632" s="3" t="str">
        <f>HYPERLINK("http://www.ncbi.nlm.nih.gov/protein/109150409","Scaf4")</f>
        <v>Scaf4</v>
      </c>
      <c r="E6632" t="str">
        <f>HYPERLINK("J:\Depot - mpkCCD Fractions\Main Web Page\Web Pages_old\proteomic_fractions_linear_files/Yang_linear_img/109150409.jpg","show blot")</f>
        <v>show blot</v>
      </c>
      <c r="G6632" t="s">
        <v>6407</v>
      </c>
      <c r="I6632" s="6">
        <v>3.4590423124128713</v>
      </c>
      <c r="K6632" s="8"/>
    </row>
    <row r="6633" spans="1:11" ht="15" x14ac:dyDescent="0.25">
      <c r="A6633" s="3" t="str">
        <f>HYPERLINK("proteomic_fractions_linear_files/Yang_linear_img/30527367.jpg", "30527367")</f>
        <v>30527367</v>
      </c>
      <c r="C6633" s="3" t="str">
        <f>HYPERLINK("http://www.ncbi.nlm.nih.gov/protein/30527367","Scaf8")</f>
        <v>Scaf8</v>
      </c>
      <c r="E6633" t="str">
        <f>HYPERLINK("J:\Depot - mpkCCD Fractions\Main Web Page\Web Pages_old\proteomic_fractions_linear_files/Yang_linear_img/30527367.jpg","show blot")</f>
        <v>show blot</v>
      </c>
      <c r="G6633" t="s">
        <v>6408</v>
      </c>
      <c r="I6633" s="6">
        <v>3.4366014433646259</v>
      </c>
      <c r="K6633" s="8"/>
    </row>
    <row r="6634" spans="1:11" ht="15" x14ac:dyDescent="0.25">
      <c r="A6634" s="3" t="str">
        <f>HYPERLINK("proteomic_fractions_linear_files/Yang_linear_img/58037395.jpg", "58037395")</f>
        <v>58037395</v>
      </c>
      <c r="C6634" s="3" t="str">
        <f>HYPERLINK("http://www.ncbi.nlm.nih.gov/protein/58037395","Scamp1")</f>
        <v>Scamp1</v>
      </c>
      <c r="E6634" t="str">
        <f>HYPERLINK("J:\Depot - mpkCCD Fractions\Main Web Page\Web Pages_old\proteomic_fractions_linear_files/Yang_linear_img/58037395.jpg","show blot")</f>
        <v>show blot</v>
      </c>
      <c r="G6634" t="s">
        <v>6409</v>
      </c>
      <c r="I6634" s="6">
        <v>4.8117256593658935</v>
      </c>
      <c r="K6634" s="8"/>
    </row>
    <row r="6635" spans="1:11" ht="15" x14ac:dyDescent="0.25">
      <c r="A6635" s="3" t="str">
        <f>HYPERLINK("proteomic_fractions_linear_files/Yang_linear_img/12331398.jpg", "12331398")</f>
        <v>12331398</v>
      </c>
      <c r="C6635" s="3" t="str">
        <f>HYPERLINK("http://www.ncbi.nlm.nih.gov/protein/12331398","Scamp2")</f>
        <v>Scamp2</v>
      </c>
      <c r="E6635" t="str">
        <f>HYPERLINK("J:\Depot - mpkCCD Fractions\Main Web Page\Web Pages_old\proteomic_fractions_linear_files/Yang_linear_img/12331398.jpg","show blot")</f>
        <v>show blot</v>
      </c>
      <c r="G6635" t="s">
        <v>6410</v>
      </c>
      <c r="I6635" s="6">
        <v>4.6772040794209886</v>
      </c>
      <c r="K6635" s="8"/>
    </row>
    <row r="6636" spans="1:11" ht="15" x14ac:dyDescent="0.25">
      <c r="A6636" s="3" t="str">
        <f>HYPERLINK("proteomic_fractions_linear_files/Yang_linear_img/118601011.jpg", "118601011")</f>
        <v>118601011</v>
      </c>
      <c r="C6636" s="3" t="str">
        <f>HYPERLINK("http://www.ncbi.nlm.nih.gov/protein/118601011","Scamp3")</f>
        <v>Scamp3</v>
      </c>
      <c r="E6636" t="str">
        <f>HYPERLINK("J:\Depot - mpkCCD Fractions\Main Web Page\Web Pages_old\proteomic_fractions_linear_files/Yang_linear_img/118601011.jpg","show blot")</f>
        <v>show blot</v>
      </c>
      <c r="G6636" t="s">
        <v>6411</v>
      </c>
      <c r="I6636" s="6">
        <v>5.2531301446823546</v>
      </c>
      <c r="K6636" s="8"/>
    </row>
    <row r="6637" spans="1:11" ht="15" x14ac:dyDescent="0.25">
      <c r="A6637" s="3" t="str">
        <f>HYPERLINK("proteomic_fractions_linear_files/Yang_linear_img/9625033.jpg", "9625033")</f>
        <v>9625033</v>
      </c>
      <c r="C6637" s="3" t="str">
        <f>HYPERLINK("http://www.ncbi.nlm.nih.gov/protein/9625033","Scamp4")</f>
        <v>Scamp4</v>
      </c>
      <c r="E6637" t="str">
        <f>HYPERLINK("J:\Depot - mpkCCD Fractions\Main Web Page\Web Pages_old\proteomic_fractions_linear_files/Yang_linear_img/9625033.jpg","show blot")</f>
        <v>show blot</v>
      </c>
      <c r="G6637" t="s">
        <v>6412</v>
      </c>
      <c r="I6637" s="6">
        <v>4.247680951094857</v>
      </c>
      <c r="K6637" s="8"/>
    </row>
    <row r="6638" spans="1:11" ht="15" x14ac:dyDescent="0.25">
      <c r="A6638" s="3" t="str">
        <f>HYPERLINK("proteomic_fractions_linear_files/Yang_linear_img/9937988.jpg", "9937988")</f>
        <v>9937988</v>
      </c>
      <c r="C6638" s="3" t="str">
        <f>HYPERLINK("http://www.ncbi.nlm.nih.gov/protein/9937988","Scamp5")</f>
        <v>Scamp5</v>
      </c>
      <c r="E6638" t="str">
        <f>HYPERLINK("J:\Depot - mpkCCD Fractions\Main Web Page\Web Pages_old\proteomic_fractions_linear_files/Yang_linear_img/9937988.jpg","show blot")</f>
        <v>show blot</v>
      </c>
      <c r="G6638" t="s">
        <v>6413</v>
      </c>
      <c r="I6638" s="6">
        <v>4.4201985524748251</v>
      </c>
      <c r="K6638" s="8"/>
    </row>
    <row r="6639" spans="1:11" ht="15" x14ac:dyDescent="0.25">
      <c r="A6639" s="3" t="str">
        <f>HYPERLINK("proteomic_fractions_linear_files/Yang_linear_img/124486797.jpg", "124486797")</f>
        <v>124486797</v>
      </c>
      <c r="C6639" s="3" t="str">
        <f>HYPERLINK("http://www.ncbi.nlm.nih.gov/protein/124486797","Scaper")</f>
        <v>Scaper</v>
      </c>
      <c r="E6639" t="str">
        <f>HYPERLINK("J:\Depot - mpkCCD Fractions\Main Web Page\Web Pages_old\proteomic_fractions_linear_files/Yang_linear_img/124486797.jpg","show blot")</f>
        <v>show blot</v>
      </c>
      <c r="G6639" t="s">
        <v>6414</v>
      </c>
      <c r="I6639" s="6">
        <v>3.8591211888709198</v>
      </c>
      <c r="K6639" s="8"/>
    </row>
    <row r="6640" spans="1:11" ht="15" x14ac:dyDescent="0.25">
      <c r="A6640" s="3" t="str">
        <f>HYPERLINK("proteomic_fractions_linear_files/Yang_linear_img/14389423.jpg", "14389423")</f>
        <v>14389423</v>
      </c>
      <c r="C6640" s="3" t="str">
        <f>HYPERLINK("http://www.ncbi.nlm.nih.gov/protein/14389423","Scarb1")</f>
        <v>Scarb1</v>
      </c>
      <c r="E6640" t="str">
        <f>HYPERLINK("J:\Depot - mpkCCD Fractions\Main Web Page\Web Pages_old\proteomic_fractions_linear_files/Yang_linear_img/14389423.jpg","show blot")</f>
        <v>show blot</v>
      </c>
      <c r="G6640" t="s">
        <v>6415</v>
      </c>
      <c r="I6640" s="6">
        <v>3.734016851036928</v>
      </c>
      <c r="K6640" s="8"/>
    </row>
    <row r="6641" spans="1:11" ht="15" x14ac:dyDescent="0.25">
      <c r="A6641" s="3" t="str">
        <f>HYPERLINK("proteomic_fractions_linear_files/Yang_linear_img/326537322.jpg", "326537322")</f>
        <v>326537322</v>
      </c>
      <c r="C6641" s="3" t="str">
        <f>HYPERLINK("http://www.ncbi.nlm.nih.gov/protein/326537322","Scarb1")</f>
        <v>Scarb1</v>
      </c>
      <c r="E6641" t="str">
        <f>HYPERLINK("J:\Depot - mpkCCD Fractions\Main Web Page\Web Pages_old\proteomic_fractions_linear_files/Yang_linear_img/326537322.jpg","show blot")</f>
        <v>show blot</v>
      </c>
      <c r="G6641" t="s">
        <v>6416</v>
      </c>
      <c r="I6641" s="6">
        <v>3.734016851036928</v>
      </c>
      <c r="K6641" s="8"/>
    </row>
    <row r="6642" spans="1:11" ht="15" x14ac:dyDescent="0.25">
      <c r="A6642" s="3" t="str">
        <f>HYPERLINK("proteomic_fractions_linear_files/Yang_linear_img/326537324.jpg", "326537324")</f>
        <v>326537324</v>
      </c>
      <c r="C6642" s="3" t="str">
        <f>HYPERLINK("http://www.ncbi.nlm.nih.gov/protein/326537324","Scarb1")</f>
        <v>Scarb1</v>
      </c>
      <c r="E6642" t="str">
        <f>HYPERLINK("J:\Depot - mpkCCD Fractions\Main Web Page\Web Pages_old\proteomic_fractions_linear_files/Yang_linear_img/326537324.jpg","show blot")</f>
        <v>show blot</v>
      </c>
      <c r="G6642" t="s">
        <v>6417</v>
      </c>
      <c r="I6642" s="6">
        <v>3.734016851036928</v>
      </c>
      <c r="K6642" s="8"/>
    </row>
    <row r="6643" spans="1:11" ht="15" x14ac:dyDescent="0.25">
      <c r="A6643" s="3" t="str">
        <f>HYPERLINK("proteomic_fractions_linear_files/Yang_linear_img/6680878.jpg", "6680878")</f>
        <v>6680878</v>
      </c>
      <c r="C6643" s="3" t="str">
        <f>HYPERLINK("http://www.ncbi.nlm.nih.gov/protein/6680878","Scarb2")</f>
        <v>Scarb2</v>
      </c>
      <c r="E6643" t="str">
        <f>HYPERLINK("J:\Depot - mpkCCD Fractions\Main Web Page\Web Pages_old\proteomic_fractions_linear_files/Yang_linear_img/6680878.jpg","show blot")</f>
        <v>show blot</v>
      </c>
      <c r="G6643" t="s">
        <v>6418</v>
      </c>
      <c r="I6643" s="6">
        <v>5.3152745854659909</v>
      </c>
      <c r="K6643" s="8"/>
    </row>
    <row r="6644" spans="1:11" ht="15" x14ac:dyDescent="0.25">
      <c r="A6644" s="3" t="str">
        <f>HYPERLINK("proteomic_fractions_linear_files/Yang_linear_img/30520019.jpg", "30520019")</f>
        <v>30520019</v>
      </c>
      <c r="C6644" s="3" t="str">
        <f>HYPERLINK("http://www.ncbi.nlm.nih.gov/protein/30520019","Sccpdh")</f>
        <v>Sccpdh</v>
      </c>
      <c r="E6644" t="str">
        <f>HYPERLINK("J:\Depot - mpkCCD Fractions\Main Web Page\Web Pages_old\proteomic_fractions_linear_files/Yang_linear_img/30520019.jpg","show blot")</f>
        <v>show blot</v>
      </c>
      <c r="G6644" t="s">
        <v>6419</v>
      </c>
      <c r="I6644" s="6">
        <v>3.436593767762782</v>
      </c>
      <c r="K6644" s="8"/>
    </row>
    <row r="6645" spans="1:11" ht="15" x14ac:dyDescent="0.25">
      <c r="A6645" s="3" t="str">
        <f>HYPERLINK("proteomic_fractions_linear_files/Yang_linear_img/70909345.jpg", "70909345")</f>
        <v>70909345</v>
      </c>
      <c r="C6645" s="3" t="str">
        <f>HYPERLINK("http://www.ncbi.nlm.nih.gov/protein/70909345","Scel")</f>
        <v>Scel</v>
      </c>
      <c r="E6645" t="str">
        <f>HYPERLINK("J:\Depot - mpkCCD Fractions\Main Web Page\Web Pages_old\proteomic_fractions_linear_files/Yang_linear_img/70909345.jpg","show blot")</f>
        <v>show blot</v>
      </c>
      <c r="G6645" t="s">
        <v>6420</v>
      </c>
      <c r="I6645" s="6">
        <v>4.2714429714046229</v>
      </c>
      <c r="K6645" s="8"/>
    </row>
    <row r="6646" spans="1:11" ht="15" x14ac:dyDescent="0.25">
      <c r="A6646" s="3" t="str">
        <f>HYPERLINK("proteomic_fractions_linear_files/Yang_linear_img/58037481.jpg", "58037481")</f>
        <v>58037481</v>
      </c>
      <c r="C6646" s="3" t="str">
        <f>HYPERLINK("http://www.ncbi.nlm.nih.gov/protein/58037481","Scfd1")</f>
        <v>Scfd1</v>
      </c>
      <c r="E6646" t="str">
        <f>HYPERLINK("J:\Depot - mpkCCD Fractions\Main Web Page\Web Pages_old\proteomic_fractions_linear_files/Yang_linear_img/58037481.jpg","show blot")</f>
        <v>show blot</v>
      </c>
      <c r="G6646" t="s">
        <v>6421</v>
      </c>
      <c r="I6646" s="6">
        <v>5.3400993612340315</v>
      </c>
      <c r="K6646" s="8"/>
    </row>
    <row r="6647" spans="1:11" ht="15" x14ac:dyDescent="0.25">
      <c r="A6647" s="3" t="str">
        <f>HYPERLINK("proteomic_fractions_linear_files/Yang_linear_img/167900448.jpg", "167900448")</f>
        <v>167900448</v>
      </c>
      <c r="C6647" s="3" t="str">
        <f>HYPERLINK("http://www.ncbi.nlm.nih.gov/protein/167900448","Scfd2")</f>
        <v>Scfd2</v>
      </c>
      <c r="E6647" t="str">
        <f>HYPERLINK("J:\Depot - mpkCCD Fractions\Main Web Page\Web Pages_old\proteomic_fractions_linear_files/Yang_linear_img/167900448.jpg","show blot")</f>
        <v>show blot</v>
      </c>
      <c r="G6647" t="s">
        <v>6422</v>
      </c>
      <c r="I6647" s="6">
        <v>3.4584990377473757</v>
      </c>
      <c r="K6647" s="8"/>
    </row>
    <row r="6648" spans="1:11" ht="15" x14ac:dyDescent="0.25">
      <c r="A6648" s="3" t="str">
        <f>HYPERLINK("proteomic_fractions_linear_files/Yang_linear_img/21703798.jpg", "21703798")</f>
        <v>21703798</v>
      </c>
      <c r="C6648" s="3" t="str">
        <f>HYPERLINK("http://www.ncbi.nlm.nih.gov/protein/21703798","Scgn")</f>
        <v>Scgn</v>
      </c>
      <c r="E6648" t="str">
        <f>HYPERLINK("J:\Depot - mpkCCD Fractions\Main Web Page\Web Pages_old\proteomic_fractions_linear_files/Yang_linear_img/21703798.jpg","show blot")</f>
        <v>show blot</v>
      </c>
      <c r="G6648" t="s">
        <v>6423</v>
      </c>
      <c r="I6648" s="6">
        <v>3.9133935276688541</v>
      </c>
      <c r="K6648" s="8"/>
    </row>
    <row r="6649" spans="1:11" ht="15" x14ac:dyDescent="0.25">
      <c r="A6649" s="3" t="str">
        <f>HYPERLINK("proteomic_fractions_linear_files/Yang_linear_img/226246550.jpg", "226246550")</f>
        <v>226246550</v>
      </c>
      <c r="C6649" s="3" t="str">
        <f>HYPERLINK("http://www.ncbi.nlm.nih.gov/protein/226246550","Scin")</f>
        <v>Scin</v>
      </c>
      <c r="E6649" t="str">
        <f>HYPERLINK("J:\Depot - mpkCCD Fractions\Main Web Page\Web Pages_old\proteomic_fractions_linear_files/Yang_linear_img/226246550.jpg","show blot")</f>
        <v>show blot</v>
      </c>
      <c r="G6649" t="s">
        <v>6424</v>
      </c>
      <c r="I6649" s="6">
        <v>6.5831478982506235</v>
      </c>
      <c r="K6649" s="8"/>
    </row>
    <row r="6650" spans="1:11" ht="15" x14ac:dyDescent="0.25">
      <c r="A6650" s="3" t="str">
        <f>HYPERLINK("proteomic_fractions_linear_files/Yang_linear_img/226246552.jpg", "226246552")</f>
        <v>226246552</v>
      </c>
      <c r="C6650" s="3" t="str">
        <f>HYPERLINK("http://www.ncbi.nlm.nih.gov/protein/226246552","Scin")</f>
        <v>Scin</v>
      </c>
      <c r="E6650" t="str">
        <f>HYPERLINK("J:\Depot - mpkCCD Fractions\Main Web Page\Web Pages_old\proteomic_fractions_linear_files/Yang_linear_img/226246552.jpg","show blot")</f>
        <v>show blot</v>
      </c>
      <c r="G6650" t="s">
        <v>6425</v>
      </c>
      <c r="I6650" s="6">
        <v>6.5831478982506235</v>
      </c>
      <c r="K6650" s="8"/>
    </row>
    <row r="6651" spans="1:11" ht="15" x14ac:dyDescent="0.25">
      <c r="A6651" s="3" t="str">
        <f>HYPERLINK("proteomic_fractions_linear_files/Yang_linear_img/27804323.jpg", "27804323")</f>
        <v>27804323</v>
      </c>
      <c r="C6651" s="3" t="str">
        <f>HYPERLINK("http://www.ncbi.nlm.nih.gov/protein/27804323","Scly")</f>
        <v>Scly</v>
      </c>
      <c r="E6651" t="str">
        <f>HYPERLINK("J:\Depot - mpkCCD Fractions\Main Web Page\Web Pages_old\proteomic_fractions_linear_files/Yang_linear_img/27804323.jpg","show blot")</f>
        <v>show blot</v>
      </c>
      <c r="G6651" t="s">
        <v>6426</v>
      </c>
      <c r="I6651" s="6">
        <v>5.4462049543454416</v>
      </c>
      <c r="K6651" s="8"/>
    </row>
    <row r="6652" spans="1:11" ht="15" x14ac:dyDescent="0.25">
      <c r="A6652" s="3" t="str">
        <f>HYPERLINK("proteomic_fractions_linear_files/Yang_linear_img/133987591.jpg", "133987591")</f>
        <v>133987591</v>
      </c>
      <c r="C6652" s="3" t="str">
        <f>HYPERLINK("http://www.ncbi.nlm.nih.gov/protein/133987591","Scn11a")</f>
        <v>Scn11a</v>
      </c>
      <c r="E6652" t="str">
        <f>HYPERLINK("J:\Depot - mpkCCD Fractions\Main Web Page\Web Pages_old\proteomic_fractions_linear_files/Yang_linear_img/133987591.jpg","show blot")</f>
        <v>show blot</v>
      </c>
      <c r="G6652" t="s">
        <v>6427</v>
      </c>
      <c r="I6652" s="6">
        <v>2.5311621810100133</v>
      </c>
      <c r="K6652" s="8"/>
    </row>
    <row r="6653" spans="1:11" ht="15" x14ac:dyDescent="0.25">
      <c r="A6653" s="3" t="str">
        <f>HYPERLINK("proteomic_fractions_linear_files/Yang_linear_img/90991710.jpg", "90991710")</f>
        <v>90991710</v>
      </c>
      <c r="C6653" s="3" t="str">
        <f>HYPERLINK("http://www.ncbi.nlm.nih.gov/protein/90991710","Sco1")</f>
        <v>Sco1</v>
      </c>
      <c r="E6653" t="str">
        <f>HYPERLINK("J:\Depot - mpkCCD Fractions\Main Web Page\Web Pages_old\proteomic_fractions_linear_files/Yang_linear_img/90991710.jpg","show blot")</f>
        <v>show blot</v>
      </c>
      <c r="G6653" t="s">
        <v>6428</v>
      </c>
      <c r="I6653" s="6">
        <v>2.2876229258380216</v>
      </c>
      <c r="K6653" s="8"/>
    </row>
    <row r="6654" spans="1:11" ht="15" x14ac:dyDescent="0.25">
      <c r="A6654" s="3" t="str">
        <f>HYPERLINK("proteomic_fractions_linear_files/Yang_linear_img/162329549.jpg", "162329549")</f>
        <v>162329549</v>
      </c>
      <c r="C6654" s="3" t="str">
        <f>HYPERLINK("http://www.ncbi.nlm.nih.gov/protein/162329549","Sco2")</f>
        <v>Sco2</v>
      </c>
      <c r="E6654" t="str">
        <f>HYPERLINK("J:\Depot - mpkCCD Fractions\Main Web Page\Web Pages_old\proteomic_fractions_linear_files/Yang_linear_img/162329549.jpg","show blot")</f>
        <v>show blot</v>
      </c>
      <c r="G6654" t="s">
        <v>6429</v>
      </c>
      <c r="I6654" s="6">
        <v>4.3957678678209628</v>
      </c>
      <c r="K6654" s="8"/>
    </row>
    <row r="6655" spans="1:11" ht="15" x14ac:dyDescent="0.25">
      <c r="A6655" s="3" t="str">
        <f>HYPERLINK("proteomic_fractions_linear_files/Yang_linear_img/85362711.jpg", "85362711")</f>
        <v>85362711</v>
      </c>
      <c r="C6655" s="3" t="str">
        <f>HYPERLINK("http://www.ncbi.nlm.nih.gov/protein/85362711","Scoc")</f>
        <v>Scoc</v>
      </c>
      <c r="E6655" t="str">
        <f>HYPERLINK("J:\Depot - mpkCCD Fractions\Main Web Page\Web Pages_old\proteomic_fractions_linear_files/Yang_linear_img/85362711.jpg","show blot")</f>
        <v>show blot</v>
      </c>
      <c r="G6655" t="s">
        <v>6430</v>
      </c>
      <c r="I6655" s="6">
        <v>3.368600489172044</v>
      </c>
      <c r="K6655" s="8"/>
    </row>
    <row r="6656" spans="1:11" ht="15" x14ac:dyDescent="0.25">
      <c r="A6656" s="3" t="str">
        <f>HYPERLINK("proteomic_fractions_linear_files/Yang_linear_img/9790207.jpg", "9790207")</f>
        <v>9790207</v>
      </c>
      <c r="C6656" s="3" t="str">
        <f>HYPERLINK("http://www.ncbi.nlm.nih.gov/protein/9790207","Scoc")</f>
        <v>Scoc</v>
      </c>
      <c r="E6656" t="str">
        <f>HYPERLINK("J:\Depot - mpkCCD Fractions\Main Web Page\Web Pages_old\proteomic_fractions_linear_files/Yang_linear_img/9790207.jpg","show blot")</f>
        <v>show blot</v>
      </c>
      <c r="G6656" t="s">
        <v>6431</v>
      </c>
      <c r="I6656" s="6">
        <v>3.368600489172044</v>
      </c>
      <c r="K6656" s="8"/>
    </row>
    <row r="6657" spans="1:11" ht="15" x14ac:dyDescent="0.25">
      <c r="A6657" s="3" t="str">
        <f>HYPERLINK("proteomic_fractions_linear_files/Yang_linear_img/45476581.jpg", "45476581")</f>
        <v>45476581</v>
      </c>
      <c r="C6657" s="3" t="str">
        <f>HYPERLINK("http://www.ncbi.nlm.nih.gov/protein/45476581","Scp2")</f>
        <v>Scp2</v>
      </c>
      <c r="E6657" t="str">
        <f>HYPERLINK("J:\Depot - mpkCCD Fractions\Main Web Page\Web Pages_old\proteomic_fractions_linear_files/Yang_linear_img/45476581.jpg","show blot")</f>
        <v>show blot</v>
      </c>
      <c r="G6657" t="s">
        <v>6432</v>
      </c>
      <c r="I6657" s="6">
        <v>5.5872519413773611</v>
      </c>
      <c r="K6657" s="8"/>
    </row>
    <row r="6658" spans="1:11" ht="15" x14ac:dyDescent="0.25">
      <c r="A6658" s="3" t="str">
        <f>HYPERLINK("proteomic_fractions_linear_files/Yang_linear_img/253970508.jpg", "253970508")</f>
        <v>253970508</v>
      </c>
      <c r="C6658" s="3" t="str">
        <f>HYPERLINK("http://www.ncbi.nlm.nih.gov/protein/253970508","Scpep1")</f>
        <v>Scpep1</v>
      </c>
      <c r="E6658" t="str">
        <f>HYPERLINK("J:\Depot - mpkCCD Fractions\Main Web Page\Web Pages_old\proteomic_fractions_linear_files/Yang_linear_img/253970508.jpg","show blot")</f>
        <v>show blot</v>
      </c>
      <c r="G6658" t="s">
        <v>6433</v>
      </c>
      <c r="I6658" s="6">
        <v>5.4147480268233164</v>
      </c>
      <c r="K6658" s="8"/>
    </row>
    <row r="6659" spans="1:11" ht="15" x14ac:dyDescent="0.25">
      <c r="A6659" s="3" t="str">
        <f>HYPERLINK("proteomic_fractions_linear_files/Yang_linear_img/20373163.jpg", "20373163")</f>
        <v>20373163</v>
      </c>
      <c r="C6659" s="3" t="str">
        <f>HYPERLINK("http://www.ncbi.nlm.nih.gov/protein/20373163","Scrib")</f>
        <v>Scrib</v>
      </c>
      <c r="E6659" t="str">
        <f>HYPERLINK("J:\Depot - mpkCCD Fractions\Main Web Page\Web Pages_old\proteomic_fractions_linear_files/Yang_linear_img/20373163.jpg","show blot")</f>
        <v>show blot</v>
      </c>
      <c r="G6659" t="s">
        <v>6434</v>
      </c>
      <c r="I6659" s="6">
        <v>4.4951275126778318</v>
      </c>
      <c r="K6659" s="8"/>
    </row>
    <row r="6660" spans="1:11" ht="15" x14ac:dyDescent="0.25">
      <c r="A6660" s="3" t="str">
        <f>HYPERLINK("proteomic_fractions_linear_files/Yang_linear_img/22122499.jpg", "22122499")</f>
        <v>22122499</v>
      </c>
      <c r="C6660" s="3" t="str">
        <f>HYPERLINK("http://www.ncbi.nlm.nih.gov/protein/22122499","Scrn2")</f>
        <v>Scrn2</v>
      </c>
      <c r="E6660" t="str">
        <f>HYPERLINK("J:\Depot - mpkCCD Fractions\Main Web Page\Web Pages_old\proteomic_fractions_linear_files/Yang_linear_img/22122499.jpg","show blot")</f>
        <v>show blot</v>
      </c>
      <c r="G6660" t="s">
        <v>6435</v>
      </c>
      <c r="I6660" s="6">
        <v>5.6132993458773877</v>
      </c>
      <c r="K6660" s="8"/>
    </row>
    <row r="6661" spans="1:11" ht="15" x14ac:dyDescent="0.25">
      <c r="A6661" s="3" t="str">
        <f>HYPERLINK("proteomic_fractions_linear_files/Yang_linear_img/12963867.jpg", "12963867")</f>
        <v>12963867</v>
      </c>
      <c r="C6661" s="3" t="str">
        <f>HYPERLINK("http://www.ncbi.nlm.nih.gov/protein/12963867","Scyl1")</f>
        <v>Scyl1</v>
      </c>
      <c r="E6661" t="str">
        <f>HYPERLINK("J:\Depot - mpkCCD Fractions\Main Web Page\Web Pages_old\proteomic_fractions_linear_files/Yang_linear_img/12963867.jpg","show blot")</f>
        <v>show blot</v>
      </c>
      <c r="G6661" t="s">
        <v>6436</v>
      </c>
      <c r="I6661" s="6">
        <v>4.4175988051403756</v>
      </c>
      <c r="K6661" s="8"/>
    </row>
    <row r="6662" spans="1:11" ht="15" x14ac:dyDescent="0.25">
      <c r="A6662" s="3" t="str">
        <f>HYPERLINK("proteomic_fractions_linear_files/Yang_linear_img/37574121.jpg", "37574121")</f>
        <v>37574121</v>
      </c>
      <c r="C6662" s="3" t="str">
        <f>HYPERLINK("http://www.ncbi.nlm.nih.gov/protein/37574121","Scyl2")</f>
        <v>Scyl2</v>
      </c>
      <c r="E6662" t="str">
        <f>HYPERLINK("J:\Depot - mpkCCD Fractions\Main Web Page\Web Pages_old\proteomic_fractions_linear_files/Yang_linear_img/37574121.jpg","show blot")</f>
        <v>show blot</v>
      </c>
      <c r="G6662" t="s">
        <v>6437</v>
      </c>
      <c r="I6662" s="6">
        <v>4.5038307175514323</v>
      </c>
      <c r="K6662" s="8"/>
    </row>
    <row r="6663" spans="1:11" ht="15" x14ac:dyDescent="0.25">
      <c r="A6663" s="3" t="str">
        <f>HYPERLINK("proteomic_fractions_linear_files/Yang_linear_img/21311917.jpg", "21311917")</f>
        <v>21311917</v>
      </c>
      <c r="C6663" s="3" t="str">
        <f>HYPERLINK("http://www.ncbi.nlm.nih.gov/protein/21311917","Scyl3")</f>
        <v>Scyl3</v>
      </c>
      <c r="E6663" t="str">
        <f>HYPERLINK("J:\Depot - mpkCCD Fractions\Main Web Page\Web Pages_old\proteomic_fractions_linear_files/Yang_linear_img/21311917.jpg","show blot")</f>
        <v>show blot</v>
      </c>
      <c r="G6663" t="s">
        <v>6438</v>
      </c>
      <c r="I6663" s="6">
        <v>2.608771352239295</v>
      </c>
      <c r="K6663" s="8"/>
    </row>
    <row r="6664" spans="1:11" ht="15" x14ac:dyDescent="0.25">
      <c r="A6664" s="3" t="str">
        <f>HYPERLINK("proteomic_fractions_linear_files/Yang_linear_img/27370042.jpg", "27370042")</f>
        <v>27370042</v>
      </c>
      <c r="C6664" s="3" t="str">
        <f>HYPERLINK("http://www.ncbi.nlm.nih.gov/protein/27370042","Sdad1")</f>
        <v>Sdad1</v>
      </c>
      <c r="E6664" t="str">
        <f>HYPERLINK("J:\Depot - mpkCCD Fractions\Main Web Page\Web Pages_old\proteomic_fractions_linear_files/Yang_linear_img/27370042.jpg","show blot")</f>
        <v>show blot</v>
      </c>
      <c r="G6664" t="s">
        <v>6439</v>
      </c>
      <c r="I6664" s="6">
        <v>3.2924364786589675</v>
      </c>
      <c r="K6664" s="8"/>
    </row>
    <row r="6665" spans="1:11" ht="15" x14ac:dyDescent="0.25">
      <c r="A6665" s="3" t="str">
        <f>HYPERLINK("proteomic_fractions_linear_files/Yang_linear_img/6755438.jpg", "6755438")</f>
        <v>6755438</v>
      </c>
      <c r="C6665" s="3" t="str">
        <f>HYPERLINK("http://www.ncbi.nlm.nih.gov/protein/6755438","Sdc1")</f>
        <v>Sdc1</v>
      </c>
      <c r="E6665" t="str">
        <f>HYPERLINK("J:\Depot - mpkCCD Fractions\Main Web Page\Web Pages_old\proteomic_fractions_linear_files/Yang_linear_img/6755438.jpg","show blot")</f>
        <v>show blot</v>
      </c>
      <c r="G6665" t="s">
        <v>6440</v>
      </c>
      <c r="I6665" s="6">
        <v>4.1194730323421433</v>
      </c>
      <c r="K6665" s="8"/>
    </row>
    <row r="6666" spans="1:11" ht="15" x14ac:dyDescent="0.25">
      <c r="A6666" s="3" t="str">
        <f>HYPERLINK("proteomic_fractions_linear_files/Yang_linear_img/6755442.jpg", "6755442")</f>
        <v>6755442</v>
      </c>
      <c r="C6666" s="3" t="str">
        <f>HYPERLINK("http://www.ncbi.nlm.nih.gov/protein/6755442","Sdc4")</f>
        <v>Sdc4</v>
      </c>
      <c r="E6666" t="str">
        <f>HYPERLINK("J:\Depot - mpkCCD Fractions\Main Web Page\Web Pages_old\proteomic_fractions_linear_files/Yang_linear_img/6755442.jpg","show blot")</f>
        <v>show blot</v>
      </c>
      <c r="G6666" t="s">
        <v>6441</v>
      </c>
      <c r="I6666" s="6">
        <v>5.3813275908770253</v>
      </c>
      <c r="K6666" s="8"/>
    </row>
    <row r="6667" spans="1:11" ht="15" x14ac:dyDescent="0.25">
      <c r="A6667" s="3" t="str">
        <f>HYPERLINK("proteomic_fractions_linear_files/Yang_linear_img/148277591.jpg", "148277591")</f>
        <v>148277591</v>
      </c>
      <c r="C6667" s="3" t="str">
        <f>HYPERLINK("http://www.ncbi.nlm.nih.gov/protein/148277591","Sdcbp")</f>
        <v>Sdcbp</v>
      </c>
      <c r="E6667" t="str">
        <f>HYPERLINK("J:\Depot - mpkCCD Fractions\Main Web Page\Web Pages_old\proteomic_fractions_linear_files/Yang_linear_img/148277591.jpg","show blot")</f>
        <v>show blot</v>
      </c>
      <c r="G6667" t="s">
        <v>6442</v>
      </c>
      <c r="I6667" s="6">
        <v>4.0947580119383042</v>
      </c>
      <c r="K6667" s="8"/>
    </row>
    <row r="6668" spans="1:11" ht="15" x14ac:dyDescent="0.25">
      <c r="A6668" s="3" t="str">
        <f>HYPERLINK("proteomic_fractions_linear_files/Yang_linear_img/148277640.jpg", "148277640")</f>
        <v>148277640</v>
      </c>
      <c r="C6668" s="3" t="str">
        <f>HYPERLINK("http://www.ncbi.nlm.nih.gov/protein/148277640","Sdcbp")</f>
        <v>Sdcbp</v>
      </c>
      <c r="E6668" t="str">
        <f>HYPERLINK("J:\Depot - mpkCCD Fractions\Main Web Page\Web Pages_old\proteomic_fractions_linear_files/Yang_linear_img/148277640.jpg","show blot")</f>
        <v>show blot</v>
      </c>
      <c r="G6668" t="s">
        <v>6443</v>
      </c>
      <c r="I6668" s="6">
        <v>4.0947580119383042</v>
      </c>
      <c r="K6668" s="8"/>
    </row>
    <row r="6669" spans="1:11" ht="15" x14ac:dyDescent="0.25">
      <c r="A6669" s="3" t="str">
        <f>HYPERLINK("proteomic_fractions_linear_files/Yang_linear_img/29789245.jpg", "29789245")</f>
        <v>29789245</v>
      </c>
      <c r="C6669" s="3" t="str">
        <f>HYPERLINK("http://www.ncbi.nlm.nih.gov/protein/29789245","Sdccag8")</f>
        <v>Sdccag8</v>
      </c>
      <c r="E6669" t="str">
        <f>HYPERLINK("J:\Depot - mpkCCD Fractions\Main Web Page\Web Pages_old\proteomic_fractions_linear_files/Yang_linear_img/29789245.jpg","show blot")</f>
        <v>show blot</v>
      </c>
      <c r="G6669" t="s">
        <v>6444</v>
      </c>
      <c r="I6669" s="6">
        <v>3.9973652030832705</v>
      </c>
      <c r="K6669" s="8"/>
    </row>
    <row r="6670" spans="1:11" ht="15" x14ac:dyDescent="0.25">
      <c r="A6670" s="3" t="str">
        <f>HYPERLINK("proteomic_fractions_linear_files/Yang_linear_img/11612505.jpg", "11612505")</f>
        <v>11612505</v>
      </c>
      <c r="C6670" s="3" t="str">
        <f>HYPERLINK("http://www.ncbi.nlm.nih.gov/protein/11612505","Sdf2l1")</f>
        <v>Sdf2l1</v>
      </c>
      <c r="E6670" t="str">
        <f>HYPERLINK("J:\Depot - mpkCCD Fractions\Main Web Page\Web Pages_old\proteomic_fractions_linear_files/Yang_linear_img/11612505.jpg","show blot")</f>
        <v>show blot</v>
      </c>
      <c r="G6670" t="s">
        <v>6445</v>
      </c>
      <c r="I6670" s="6">
        <v>4.631561373327199</v>
      </c>
      <c r="K6670" s="8"/>
    </row>
    <row r="6671" spans="1:11" ht="15" x14ac:dyDescent="0.25">
      <c r="A6671" s="3" t="str">
        <f>HYPERLINK("proteomic_fractions_linear_files/Yang_linear_img/54607098.jpg", "54607098")</f>
        <v>54607098</v>
      </c>
      <c r="C6671" s="3" t="str">
        <f>HYPERLINK("http://www.ncbi.nlm.nih.gov/protein/54607098","Sdha")</f>
        <v>Sdha</v>
      </c>
      <c r="E6671" t="str">
        <f>HYPERLINK("J:\Depot - mpkCCD Fractions\Main Web Page\Web Pages_old\proteomic_fractions_linear_files/Yang_linear_img/54607098.jpg","show blot")</f>
        <v>show blot</v>
      </c>
      <c r="G6671" t="s">
        <v>6446</v>
      </c>
      <c r="I6671" s="6">
        <v>5.9272585689460575</v>
      </c>
      <c r="K6671" s="8"/>
    </row>
    <row r="6672" spans="1:11" ht="15" x14ac:dyDescent="0.25">
      <c r="A6672" s="3" t="str">
        <f>HYPERLINK("proteomic_fractions_linear_files/Yang_linear_img/110815822.jpg", "110815822")</f>
        <v>110815822</v>
      </c>
      <c r="C6672" s="3" t="str">
        <f>HYPERLINK("http://www.ncbi.nlm.nih.gov/protein/110815822","Sdhaf1")</f>
        <v>Sdhaf1</v>
      </c>
      <c r="E6672" t="str">
        <f>HYPERLINK("J:\Depot - mpkCCD Fractions\Main Web Page\Web Pages_old\proteomic_fractions_linear_files/Yang_linear_img/110815822.jpg","show blot")</f>
        <v>show blot</v>
      </c>
      <c r="G6672" t="s">
        <v>6447</v>
      </c>
      <c r="I6672" s="6">
        <v>2.6904174502499463</v>
      </c>
      <c r="K6672" s="8"/>
    </row>
    <row r="6673" spans="1:11" ht="15" x14ac:dyDescent="0.25">
      <c r="A6673" s="3" t="str">
        <f>HYPERLINK("proteomic_fractions_linear_files/Yang_linear_img/34328286.jpg", "34328286")</f>
        <v>34328286</v>
      </c>
      <c r="C6673" s="3" t="str">
        <f>HYPERLINK("http://www.ncbi.nlm.nih.gov/protein/34328286","Sdhb")</f>
        <v>Sdhb</v>
      </c>
      <c r="E6673" t="str">
        <f>HYPERLINK("J:\Depot - mpkCCD Fractions\Main Web Page\Web Pages_old\proteomic_fractions_linear_files/Yang_linear_img/34328286.jpg","show blot")</f>
        <v>show blot</v>
      </c>
      <c r="G6673" t="s">
        <v>6448</v>
      </c>
      <c r="I6673" s="6">
        <v>5.5989756790859246</v>
      </c>
      <c r="K6673" s="8"/>
    </row>
    <row r="6674" spans="1:11" ht="15" x14ac:dyDescent="0.25">
      <c r="A6674" s="3" t="str">
        <f>HYPERLINK("proteomic_fractions_linear_files/Yang_linear_img/228008307.jpg", "228008307")</f>
        <v>228008307</v>
      </c>
      <c r="C6674" s="3" t="str">
        <f>HYPERLINK("http://www.ncbi.nlm.nih.gov/protein/228008307","Sdhc")</f>
        <v>Sdhc</v>
      </c>
      <c r="E6674" t="str">
        <f>HYPERLINK("J:\Depot - mpkCCD Fractions\Main Web Page\Web Pages_old\proteomic_fractions_linear_files/Yang_linear_img/228008307.jpg","show blot")</f>
        <v>show blot</v>
      </c>
      <c r="G6674" t="s">
        <v>6449</v>
      </c>
      <c r="I6674" s="6">
        <v>4.8561412363802239</v>
      </c>
      <c r="K6674" s="8"/>
    </row>
    <row r="6675" spans="1:11" ht="15" x14ac:dyDescent="0.25">
      <c r="A6675" s="3" t="str">
        <f>HYPERLINK("proteomic_fractions_linear_files/Yang_linear_img/27229021.jpg", "27229021")</f>
        <v>27229021</v>
      </c>
      <c r="C6675" s="3" t="str">
        <f>HYPERLINK("http://www.ncbi.nlm.nih.gov/protein/27229021","Sdhd")</f>
        <v>Sdhd</v>
      </c>
      <c r="E6675" t="str">
        <f>HYPERLINK("J:\Depot - mpkCCD Fractions\Main Web Page\Web Pages_old\proteomic_fractions_linear_files/Yang_linear_img/27229021.jpg","show blot")</f>
        <v>show blot</v>
      </c>
      <c r="G6675" t="s">
        <v>6450</v>
      </c>
      <c r="I6675" s="6">
        <v>4.6968452633214435</v>
      </c>
      <c r="K6675" s="8"/>
    </row>
    <row r="6676" spans="1:11" ht="15" x14ac:dyDescent="0.25">
      <c r="A6676" s="3" t="str">
        <f>HYPERLINK("proteomic_fractions_linear_files/Yang_linear_img/131889222.jpg", "131889222")</f>
        <v>131889222</v>
      </c>
      <c r="C6676" s="3" t="str">
        <f>HYPERLINK("http://www.ncbi.nlm.nih.gov/protein/131889222","Sdr39u1")</f>
        <v>Sdr39u1</v>
      </c>
      <c r="E6676" t="str">
        <f>HYPERLINK("J:\Depot - mpkCCD Fractions\Main Web Page\Web Pages_old\proteomic_fractions_linear_files/Yang_linear_img/131889222.jpg","show blot")</f>
        <v>show blot</v>
      </c>
      <c r="G6676" t="s">
        <v>6451</v>
      </c>
      <c r="I6676" s="6">
        <v>4.505266554345881</v>
      </c>
      <c r="K6676" s="8"/>
    </row>
    <row r="6677" spans="1:11" ht="15" x14ac:dyDescent="0.25">
      <c r="A6677" s="3" t="str">
        <f>HYPERLINK("proteomic_fractions_linear_files/Yang_linear_img/20589949.jpg", "20589949")</f>
        <v>20589949</v>
      </c>
      <c r="C6677" s="3" t="str">
        <f>HYPERLINK("http://www.ncbi.nlm.nih.gov/protein/20589949","Sdsl")</f>
        <v>Sdsl</v>
      </c>
      <c r="E6677" t="str">
        <f>HYPERLINK("J:\Depot - mpkCCD Fractions\Main Web Page\Web Pages_old\proteomic_fractions_linear_files/Yang_linear_img/20589949.jpg","show blot")</f>
        <v>show blot</v>
      </c>
      <c r="G6677" t="s">
        <v>6452</v>
      </c>
      <c r="I6677" s="6">
        <v>4.2172297915656989</v>
      </c>
      <c r="K6677" s="8"/>
    </row>
    <row r="6678" spans="1:11" ht="15" x14ac:dyDescent="0.25">
      <c r="A6678" s="3" t="str">
        <f>HYPERLINK("proteomic_fractions_linear_files/Yang_linear_img/9910550.jpg", "9910550")</f>
        <v>9910550</v>
      </c>
      <c r="C6678" s="3" t="str">
        <f>HYPERLINK("http://www.ncbi.nlm.nih.gov/protein/9910550","Sec11a")</f>
        <v>Sec11a</v>
      </c>
      <c r="E6678" t="str">
        <f>HYPERLINK("J:\Depot - mpkCCD Fractions\Main Web Page\Web Pages_old\proteomic_fractions_linear_files/Yang_linear_img/9910550.jpg","show blot")</f>
        <v>show blot</v>
      </c>
      <c r="G6678" t="s">
        <v>6453</v>
      </c>
      <c r="I6678" s="6">
        <v>5.791308094844533</v>
      </c>
      <c r="K6678" s="8"/>
    </row>
    <row r="6679" spans="1:11" ht="15" x14ac:dyDescent="0.25">
      <c r="A6679" s="3" t="str">
        <f>HYPERLINK("proteomic_fractions_linear_files/Yang_linear_img/29150272.jpg", "29150272")</f>
        <v>29150272</v>
      </c>
      <c r="C6679" s="3" t="str">
        <f>HYPERLINK("http://www.ncbi.nlm.nih.gov/protein/29150272","Sec13")</f>
        <v>Sec13</v>
      </c>
      <c r="E6679" t="str">
        <f>HYPERLINK("J:\Depot - mpkCCD Fractions\Main Web Page\Web Pages_old\proteomic_fractions_linear_files/Yang_linear_img/29150272.jpg","show blot")</f>
        <v>show blot</v>
      </c>
      <c r="G6679" t="s">
        <v>6454</v>
      </c>
      <c r="I6679" s="6">
        <v>5.5331961762654016</v>
      </c>
      <c r="K6679" s="8"/>
    </row>
    <row r="6680" spans="1:11" ht="15" x14ac:dyDescent="0.25">
      <c r="A6680" s="3" t="str">
        <f>HYPERLINK("proteomic_fractions_linear_files/Yang_linear_img/262073064.jpg", "262073064")</f>
        <v>262073064</v>
      </c>
      <c r="C6680" s="3" t="str">
        <f>HYPERLINK("http://www.ncbi.nlm.nih.gov/protein/262073064","Sec14l1")</f>
        <v>Sec14l1</v>
      </c>
      <c r="E6680" t="str">
        <f>HYPERLINK("J:\Depot - mpkCCD Fractions\Main Web Page\Web Pages_old\proteomic_fractions_linear_files/Yang_linear_img/262073064.jpg","show blot")</f>
        <v>show blot</v>
      </c>
      <c r="G6680" t="s">
        <v>6455</v>
      </c>
      <c r="I6680" s="6">
        <v>4.5038760744145101</v>
      </c>
      <c r="K6680" s="8"/>
    </row>
    <row r="6681" spans="1:11" ht="15" x14ac:dyDescent="0.25">
      <c r="A6681" s="3" t="str">
        <f>HYPERLINK("proteomic_fractions_linear_files/Yang_linear_img/262073066.jpg", "262073066")</f>
        <v>262073066</v>
      </c>
      <c r="C6681" s="3" t="str">
        <f>HYPERLINK("http://www.ncbi.nlm.nih.gov/protein/262073066","Sec14l1")</f>
        <v>Sec14l1</v>
      </c>
      <c r="E6681" t="str">
        <f>HYPERLINK("J:\Depot - mpkCCD Fractions\Main Web Page\Web Pages_old\proteomic_fractions_linear_files/Yang_linear_img/262073066.jpg","show blot")</f>
        <v>show blot</v>
      </c>
      <c r="G6681" t="s">
        <v>6456</v>
      </c>
      <c r="I6681" s="6">
        <v>4.5038760744145101</v>
      </c>
      <c r="K6681" s="8"/>
    </row>
    <row r="6682" spans="1:11" ht="15" x14ac:dyDescent="0.25">
      <c r="A6682" s="3" t="str">
        <f>HYPERLINK("proteomic_fractions_linear_files/Yang_linear_img/262073068.jpg", "262073068")</f>
        <v>262073068</v>
      </c>
      <c r="C6682" s="3" t="str">
        <f>HYPERLINK("http://www.ncbi.nlm.nih.gov/protein/262073068","Sec14l1")</f>
        <v>Sec14l1</v>
      </c>
      <c r="E6682" t="str">
        <f>HYPERLINK("J:\Depot - mpkCCD Fractions\Main Web Page\Web Pages_old\proteomic_fractions_linear_files/Yang_linear_img/262073068.jpg","show blot")</f>
        <v>show blot</v>
      </c>
      <c r="G6682" t="s">
        <v>6457</v>
      </c>
      <c r="I6682" s="6">
        <v>4.5038760744145101</v>
      </c>
      <c r="K6682" s="8"/>
    </row>
    <row r="6683" spans="1:11" ht="15" x14ac:dyDescent="0.25">
      <c r="A6683" s="3" t="str">
        <f>HYPERLINK("proteomic_fractions_linear_files/Yang_linear_img/189181692.jpg", "189181692")</f>
        <v>189181692</v>
      </c>
      <c r="C6683" s="3" t="str">
        <f>HYPERLINK("http://www.ncbi.nlm.nih.gov/protein/189181692","Sec14l5")</f>
        <v>Sec14l5</v>
      </c>
      <c r="E6683" t="str">
        <f>HYPERLINK("J:\Depot - mpkCCD Fractions\Main Web Page\Web Pages_old\proteomic_fractions_linear_files/Yang_linear_img/189181692.jpg","show blot")</f>
        <v>show blot</v>
      </c>
      <c r="G6683" t="s">
        <v>6458</v>
      </c>
      <c r="I6683" s="6">
        <v>3.1915995673932818</v>
      </c>
      <c r="K6683" s="8"/>
    </row>
    <row r="6684" spans="1:11" ht="15" x14ac:dyDescent="0.25">
      <c r="A6684" s="3" t="str">
        <f>HYPERLINK("proteomic_fractions_linear_files/Yang_linear_img/124378050.jpg", "124378050")</f>
        <v>124378050</v>
      </c>
      <c r="C6684" s="3" t="str">
        <f>HYPERLINK("http://www.ncbi.nlm.nih.gov/protein/124378050","Sec16a")</f>
        <v>Sec16a</v>
      </c>
      <c r="E6684" t="str">
        <f>HYPERLINK("J:\Depot - mpkCCD Fractions\Main Web Page\Web Pages_old\proteomic_fractions_linear_files/Yang_linear_img/124378050.jpg","show blot")</f>
        <v>show blot</v>
      </c>
      <c r="G6684" t="s">
        <v>6459</v>
      </c>
      <c r="I6684" s="6">
        <v>3.2808261703987416</v>
      </c>
      <c r="K6684" s="8"/>
    </row>
    <row r="6685" spans="1:11" ht="15" x14ac:dyDescent="0.25">
      <c r="A6685" s="3" t="str">
        <f>HYPERLINK("proteomic_fractions_linear_files/Yang_linear_img/27819645.jpg", "27819645")</f>
        <v>27819645</v>
      </c>
      <c r="C6685" s="3" t="str">
        <f>HYPERLINK("http://www.ncbi.nlm.nih.gov/protein/27819645","Sec22a")</f>
        <v>Sec22a</v>
      </c>
      <c r="E6685" t="str">
        <f>HYPERLINK("J:\Depot - mpkCCD Fractions\Main Web Page\Web Pages_old\proteomic_fractions_linear_files/Yang_linear_img/27819645.jpg","show blot")</f>
        <v>show blot</v>
      </c>
      <c r="G6685" t="s">
        <v>6460</v>
      </c>
      <c r="I6685" s="6">
        <v>3.5952935720486527</v>
      </c>
      <c r="K6685" s="8"/>
    </row>
    <row r="6686" spans="1:11" ht="15" x14ac:dyDescent="0.25">
      <c r="A6686" s="3" t="str">
        <f>HYPERLINK("proteomic_fractions_linear_files/Yang_linear_img/6755448.jpg", "6755448")</f>
        <v>6755448</v>
      </c>
      <c r="C6686" s="3" t="str">
        <f>HYPERLINK("http://www.ncbi.nlm.nih.gov/protein/6755448","Sec22b")</f>
        <v>Sec22b</v>
      </c>
      <c r="E6686" t="str">
        <f>HYPERLINK("J:\Depot - mpkCCD Fractions\Main Web Page\Web Pages_old\proteomic_fractions_linear_files/Yang_linear_img/6755448.jpg","show blot")</f>
        <v>show blot</v>
      </c>
      <c r="G6686" t="s">
        <v>6461</v>
      </c>
      <c r="I6686" s="6">
        <v>6.0962886181756577</v>
      </c>
      <c r="K6686" s="8"/>
    </row>
    <row r="6687" spans="1:11" ht="15" x14ac:dyDescent="0.25">
      <c r="A6687" s="3" t="str">
        <f>HYPERLINK("proteomic_fractions_linear_files/Yang_linear_img/67906177.jpg", "67906177")</f>
        <v>67906177</v>
      </c>
      <c r="C6687" s="3" t="str">
        <f>HYPERLINK("http://www.ncbi.nlm.nih.gov/protein/67906177","Sec23a")</f>
        <v>Sec23a</v>
      </c>
      <c r="E6687" t="str">
        <f>HYPERLINK("J:\Depot - mpkCCD Fractions\Main Web Page\Web Pages_old\proteomic_fractions_linear_files/Yang_linear_img/67906177.jpg","show blot")</f>
        <v>show blot</v>
      </c>
      <c r="G6687" t="s">
        <v>6462</v>
      </c>
      <c r="I6687" s="6">
        <v>5.220676346601393</v>
      </c>
      <c r="K6687" s="8"/>
    </row>
    <row r="6688" spans="1:11" ht="15" x14ac:dyDescent="0.25">
      <c r="A6688" s="3" t="str">
        <f>HYPERLINK("proteomic_fractions_linear_files/Yang_linear_img/529250183.jpg", "529250183")</f>
        <v>529250183</v>
      </c>
      <c r="C6688" s="3" t="str">
        <f>HYPERLINK("http://www.ncbi.nlm.nih.gov/protein/529250183","Sec23b")</f>
        <v>Sec23b</v>
      </c>
      <c r="E6688" t="str">
        <f>HYPERLINK("J:\Depot - mpkCCD Fractions\Main Web Page\Web Pages_old\proteomic_fractions_linear_files/Yang_linear_img/529250183.jpg","show blot")</f>
        <v>show blot</v>
      </c>
      <c r="G6688" t="s">
        <v>6463</v>
      </c>
      <c r="I6688" s="6">
        <v>5.2057511975235817</v>
      </c>
      <c r="K6688" s="8"/>
    </row>
    <row r="6689" spans="1:11" ht="15" x14ac:dyDescent="0.25">
      <c r="A6689" s="3" t="str">
        <f>HYPERLINK("proteomic_fractions_linear_files/Yang_linear_img/357527456;31980969.jpg", "357527456;31980969")</f>
        <v>357527456;31980969</v>
      </c>
      <c r="C6689" s="3" t="str">
        <f>HYPERLINK("http://www.ncbi.nlm.nih.gov/protein/357527456;31980969","Sec23b")</f>
        <v>Sec23b</v>
      </c>
      <c r="E6689" t="str">
        <f>HYPERLINK("J:\Depot - mpkCCD Fractions\Main Web Page\Web Pages_old\proteomic_fractions_linear_files/Yang_linear_img/357527456;31980969.jpg","show blot")</f>
        <v>show blot</v>
      </c>
      <c r="G6689" t="s">
        <v>6464</v>
      </c>
      <c r="I6689" s="6">
        <v>5.2057511975235817</v>
      </c>
      <c r="K6689" s="8"/>
    </row>
    <row r="6690" spans="1:11" ht="15" x14ac:dyDescent="0.25">
      <c r="A6690" s="3" t="str">
        <f>HYPERLINK("proteomic_fractions_linear_files/Yang_linear_img/31980969.jpg", "31980969")</f>
        <v>31980969</v>
      </c>
      <c r="C6690" s="3" t="str">
        <f>HYPERLINK("http://www.ncbi.nlm.nih.gov/protein/31980969","Sec23b")</f>
        <v>Sec23b</v>
      </c>
      <c r="E6690" t="str">
        <f>HYPERLINK("J:\Depot - mpkCCD Fractions\Main Web Page\Web Pages_old\proteomic_fractions_linear_files/Yang_linear_img/31980969.jpg","show blot")</f>
        <v>show blot</v>
      </c>
      <c r="G6690" t="s">
        <v>6465</v>
      </c>
      <c r="I6690" s="6">
        <v>5.2057511975235817</v>
      </c>
      <c r="K6690" s="8"/>
    </row>
    <row r="6691" spans="1:11" ht="15" x14ac:dyDescent="0.25">
      <c r="A6691" s="3" t="str">
        <f>HYPERLINK("proteomic_fractions_linear_files/Yang_linear_img/254692911.jpg", "254692911")</f>
        <v>254692911</v>
      </c>
      <c r="C6691" s="3" t="str">
        <f>HYPERLINK("http://www.ncbi.nlm.nih.gov/protein/254692911","Sec23ip")</f>
        <v>Sec23ip</v>
      </c>
      <c r="E6691" t="str">
        <f>HYPERLINK("J:\Depot - mpkCCD Fractions\Main Web Page\Web Pages_old\proteomic_fractions_linear_files/Yang_linear_img/254692911.jpg","show blot")</f>
        <v>show blot</v>
      </c>
      <c r="G6691" t="s">
        <v>6466</v>
      </c>
      <c r="I6691" s="6">
        <v>4.1928846685232655</v>
      </c>
      <c r="K6691" s="8"/>
    </row>
    <row r="6692" spans="1:11" ht="15" x14ac:dyDescent="0.25">
      <c r="A6692" s="3" t="str">
        <f>HYPERLINK("proteomic_fractions_linear_files/Yang_linear_img/116174774.jpg", "116174774")</f>
        <v>116174774</v>
      </c>
      <c r="C6692" s="3" t="str">
        <f>HYPERLINK("http://www.ncbi.nlm.nih.gov/protein/116174774","Sec24a")</f>
        <v>Sec24a</v>
      </c>
      <c r="E6692" t="str">
        <f>HYPERLINK("J:\Depot - mpkCCD Fractions\Main Web Page\Web Pages_old\proteomic_fractions_linear_files/Yang_linear_img/116174774.jpg","show blot")</f>
        <v>show blot</v>
      </c>
      <c r="G6692" t="s">
        <v>6467</v>
      </c>
      <c r="I6692" s="6">
        <v>3.3782061204476448</v>
      </c>
      <c r="K6692" s="8"/>
    </row>
    <row r="6693" spans="1:11" ht="15" x14ac:dyDescent="0.25">
      <c r="A6693" s="3" t="str">
        <f>HYPERLINK("proteomic_fractions_linear_files/Yang_linear_img/46402179.jpg", "46402179")</f>
        <v>46402179</v>
      </c>
      <c r="C6693" s="3" t="str">
        <f>HYPERLINK("http://www.ncbi.nlm.nih.gov/protein/46402179","Sec24b")</f>
        <v>Sec24b</v>
      </c>
      <c r="E6693" t="str">
        <f>HYPERLINK("J:\Depot - mpkCCD Fractions\Main Web Page\Web Pages_old\proteomic_fractions_linear_files/Yang_linear_img/46402179.jpg","show blot")</f>
        <v>show blot</v>
      </c>
      <c r="G6693" t="s">
        <v>6468</v>
      </c>
      <c r="I6693" s="6">
        <v>4.166642478421271</v>
      </c>
      <c r="K6693" s="8"/>
    </row>
    <row r="6694" spans="1:11" ht="15" x14ac:dyDescent="0.25">
      <c r="A6694" s="3" t="str">
        <f>HYPERLINK("proteomic_fractions_linear_files/Yang_linear_img/269954698.jpg", "269954698")</f>
        <v>269954698</v>
      </c>
      <c r="C6694" s="3" t="str">
        <f>HYPERLINK("http://www.ncbi.nlm.nih.gov/protein/269954698","Sec24c")</f>
        <v>Sec24c</v>
      </c>
      <c r="E6694" t="str">
        <f>HYPERLINK("J:\Depot - mpkCCD Fractions\Main Web Page\Web Pages_old\proteomic_fractions_linear_files/Yang_linear_img/269954698.jpg","show blot")</f>
        <v>show blot</v>
      </c>
      <c r="G6694" t="s">
        <v>6469</v>
      </c>
      <c r="I6694" s="6">
        <v>4.9676471000845144</v>
      </c>
      <c r="K6694" s="8"/>
    </row>
    <row r="6695" spans="1:11" ht="15" x14ac:dyDescent="0.25">
      <c r="A6695" s="3" t="str">
        <f>HYPERLINK("proteomic_fractions_linear_files/Yang_linear_img/269954700.jpg", "269954700")</f>
        <v>269954700</v>
      </c>
      <c r="C6695" s="3" t="str">
        <f>HYPERLINK("http://www.ncbi.nlm.nih.gov/protein/269954700","Sec24c")</f>
        <v>Sec24c</v>
      </c>
      <c r="E6695" t="str">
        <f>HYPERLINK("J:\Depot - mpkCCD Fractions\Main Web Page\Web Pages_old\proteomic_fractions_linear_files/Yang_linear_img/269954700.jpg","show blot")</f>
        <v>show blot</v>
      </c>
      <c r="G6695" t="s">
        <v>6470</v>
      </c>
      <c r="I6695" s="6">
        <v>4.9676471000845144</v>
      </c>
      <c r="K6695" s="8"/>
    </row>
    <row r="6696" spans="1:11" ht="15" x14ac:dyDescent="0.25">
      <c r="A6696" s="3" t="str">
        <f>HYPERLINK("proteomic_fractions_linear_files/Yang_linear_img/46560565.jpg", "46560565")</f>
        <v>46560565</v>
      </c>
      <c r="C6696" s="3" t="str">
        <f>HYPERLINK("http://www.ncbi.nlm.nih.gov/protein/46560565","Sec24d")</f>
        <v>Sec24d</v>
      </c>
      <c r="E6696" t="str">
        <f>HYPERLINK("J:\Depot - mpkCCD Fractions\Main Web Page\Web Pages_old\proteomic_fractions_linear_files/Yang_linear_img/46560565.jpg","show blot")</f>
        <v>show blot</v>
      </c>
      <c r="G6696" t="s">
        <v>6471</v>
      </c>
      <c r="I6696" s="6">
        <v>3.5594278691622532</v>
      </c>
      <c r="K6696" s="8"/>
    </row>
    <row r="6697" spans="1:11" ht="15" x14ac:dyDescent="0.25">
      <c r="A6697" s="3" t="str">
        <f>HYPERLINK("proteomic_fractions_linear_files/Yang_linear_img/244791271.jpg", "244791271")</f>
        <v>244791271</v>
      </c>
      <c r="C6697" s="3" t="str">
        <f>HYPERLINK("http://www.ncbi.nlm.nih.gov/protein/244791271","Sec31a")</f>
        <v>Sec31a</v>
      </c>
      <c r="E6697" t="str">
        <f>HYPERLINK("J:\Depot - mpkCCD Fractions\Main Web Page\Web Pages_old\proteomic_fractions_linear_files/Yang_linear_img/244791271.jpg","show blot")</f>
        <v>show blot</v>
      </c>
      <c r="G6697" t="s">
        <v>6472</v>
      </c>
      <c r="I6697" s="6">
        <v>5.2285902939488738</v>
      </c>
      <c r="K6697" s="8"/>
    </row>
    <row r="6698" spans="1:11" ht="15" x14ac:dyDescent="0.25">
      <c r="A6698" s="3" t="str">
        <f>HYPERLINK("proteomic_fractions_linear_files/Yang_linear_img/133504851.jpg", "133504851")</f>
        <v>133504851</v>
      </c>
      <c r="C6698" s="3" t="str">
        <f>HYPERLINK("http://www.ncbi.nlm.nih.gov/protein/133504851","Sec31b")</f>
        <v>Sec31b</v>
      </c>
      <c r="E6698" t="str">
        <f>HYPERLINK("J:\Depot - mpkCCD Fractions\Main Web Page\Web Pages_old\proteomic_fractions_linear_files/Yang_linear_img/133504851.jpg","show blot")</f>
        <v>show blot</v>
      </c>
      <c r="G6698" t="s">
        <v>6473</v>
      </c>
      <c r="I6698" s="6">
        <v>4.7536920580956883</v>
      </c>
      <c r="K6698" s="8"/>
    </row>
    <row r="6699" spans="1:11" ht="15" x14ac:dyDescent="0.25">
      <c r="A6699" s="3" t="str">
        <f>HYPERLINK("proteomic_fractions_linear_files/Yang_linear_img/8394252.jpg", "8394252")</f>
        <v>8394252</v>
      </c>
      <c r="C6699" s="3" t="str">
        <f>HYPERLINK("http://www.ncbi.nlm.nih.gov/protein/8394252","Sec61a1")</f>
        <v>Sec61a1</v>
      </c>
      <c r="E6699" t="str">
        <f>HYPERLINK("J:\Depot - mpkCCD Fractions\Main Web Page\Web Pages_old\proteomic_fractions_linear_files/Yang_linear_img/8394252.jpg","show blot")</f>
        <v>show blot</v>
      </c>
      <c r="G6699" t="s">
        <v>6474</v>
      </c>
      <c r="I6699" s="6">
        <v>4.9080241138569187</v>
      </c>
      <c r="K6699" s="8"/>
    </row>
    <row r="6700" spans="1:11" ht="15" x14ac:dyDescent="0.25">
      <c r="A6700" s="3" t="str">
        <f>HYPERLINK("proteomic_fractions_linear_files/Yang_linear_img/10946604.jpg", "10946604")</f>
        <v>10946604</v>
      </c>
      <c r="C6700" s="3" t="str">
        <f>HYPERLINK("http://www.ncbi.nlm.nih.gov/protein/10946604","Sec61a2")</f>
        <v>Sec61a2</v>
      </c>
      <c r="E6700" t="str">
        <f>HYPERLINK("J:\Depot - mpkCCD Fractions\Main Web Page\Web Pages_old\proteomic_fractions_linear_files/Yang_linear_img/10946604.jpg","show blot")</f>
        <v>show blot</v>
      </c>
      <c r="G6700" t="s">
        <v>6475</v>
      </c>
      <c r="I6700" s="6">
        <v>4.0980210526484289</v>
      </c>
      <c r="K6700" s="8"/>
    </row>
    <row r="6701" spans="1:11" ht="15" x14ac:dyDescent="0.25">
      <c r="A6701" s="3" t="str">
        <f>HYPERLINK("proteomic_fractions_linear_files/Yang_linear_img/13324684.jpg", "13324684")</f>
        <v>13324684</v>
      </c>
      <c r="C6701" s="3" t="str">
        <f>HYPERLINK("http://www.ncbi.nlm.nih.gov/protein/13324684","Sec61b")</f>
        <v>Sec61b</v>
      </c>
      <c r="E6701" t="str">
        <f>HYPERLINK("J:\Depot - mpkCCD Fractions\Main Web Page\Web Pages_old\proteomic_fractions_linear_files/Yang_linear_img/13324684.jpg","show blot")</f>
        <v>show blot</v>
      </c>
      <c r="G6701" t="s">
        <v>6476</v>
      </c>
      <c r="I6701" s="6">
        <v>5.4674507001643962</v>
      </c>
      <c r="K6701" s="8"/>
    </row>
    <row r="6702" spans="1:11" ht="15" x14ac:dyDescent="0.25">
      <c r="A6702" s="3" t="str">
        <f>HYPERLINK("proteomic_fractions_linear_files/Yang_linear_img/39930429.jpg", "39930429")</f>
        <v>39930429</v>
      </c>
      <c r="C6702" s="3" t="str">
        <f>HYPERLINK("http://www.ncbi.nlm.nih.gov/protein/39930429","Sec62")</f>
        <v>Sec62</v>
      </c>
      <c r="E6702" t="str">
        <f>HYPERLINK("J:\Depot - mpkCCD Fractions\Main Web Page\Web Pages_old\proteomic_fractions_linear_files/Yang_linear_img/39930429.jpg","show blot")</f>
        <v>show blot</v>
      </c>
      <c r="G6702" t="s">
        <v>6477</v>
      </c>
      <c r="I6702" s="6">
        <v>5.1611251208349849</v>
      </c>
      <c r="K6702" s="8"/>
    </row>
    <row r="6703" spans="1:11" ht="15" x14ac:dyDescent="0.25">
      <c r="A6703" s="3" t="str">
        <f>HYPERLINK("proteomic_fractions_linear_files/Yang_linear_img/158937300.jpg", "158937300")</f>
        <v>158937300</v>
      </c>
      <c r="C6703" s="3" t="str">
        <f>HYPERLINK("http://www.ncbi.nlm.nih.gov/protein/158937300","Sec63")</f>
        <v>Sec63</v>
      </c>
      <c r="E6703" t="str">
        <f>HYPERLINK("J:\Depot - mpkCCD Fractions\Main Web Page\Web Pages_old\proteomic_fractions_linear_files/Yang_linear_img/158937300.jpg","show blot")</f>
        <v>show blot</v>
      </c>
      <c r="G6703" t="s">
        <v>6478</v>
      </c>
      <c r="I6703" s="6">
        <v>4.511039002797876</v>
      </c>
      <c r="K6703" s="8"/>
    </row>
    <row r="6704" spans="1:11" ht="15" x14ac:dyDescent="0.25">
      <c r="A6704" s="3" t="str">
        <f>HYPERLINK("proteomic_fractions_linear_files/Yang_linear_img/20532338.jpg", "20532338")</f>
        <v>20532338</v>
      </c>
      <c r="C6704" s="3" t="str">
        <f>HYPERLINK("http://www.ncbi.nlm.nih.gov/protein/20532338","Seh1l")</f>
        <v>Seh1l</v>
      </c>
      <c r="E6704" t="str">
        <f>HYPERLINK("J:\Depot - mpkCCD Fractions\Main Web Page\Web Pages_old\proteomic_fractions_linear_files/Yang_linear_img/20532338.jpg","show blot")</f>
        <v>show blot</v>
      </c>
      <c r="G6704" t="s">
        <v>6479</v>
      </c>
      <c r="I6704" s="6">
        <v>4.2707221451530248</v>
      </c>
      <c r="K6704" s="8"/>
    </row>
    <row r="6705" spans="1:11" ht="15" x14ac:dyDescent="0.25">
      <c r="A6705" s="3" t="str">
        <f>HYPERLINK("proteomic_fractions_linear_files/Yang_linear_img/84875515.jpg", "84875515")</f>
        <v>84875515</v>
      </c>
      <c r="C6705" s="3" t="str">
        <f>HYPERLINK("http://www.ncbi.nlm.nih.gov/protein/84875515","Seh1l")</f>
        <v>Seh1l</v>
      </c>
      <c r="E6705" t="str">
        <f>HYPERLINK("J:\Depot - mpkCCD Fractions\Main Web Page\Web Pages_old\proteomic_fractions_linear_files/Yang_linear_img/84875515.jpg","show blot")</f>
        <v>show blot</v>
      </c>
      <c r="G6705" t="s">
        <v>6480</v>
      </c>
      <c r="I6705" s="6">
        <v>4.2707221451530248</v>
      </c>
      <c r="K6705" s="8"/>
    </row>
    <row r="6706" spans="1:11" ht="15" x14ac:dyDescent="0.25">
      <c r="A6706" s="3" t="str">
        <f>HYPERLINK("proteomic_fractions_linear_files/Yang_linear_img/46309573.jpg", "46309573")</f>
        <v>46309573</v>
      </c>
      <c r="C6706" s="3" t="str">
        <f>HYPERLINK("http://www.ncbi.nlm.nih.gov/protein/46309573","Sel1l")</f>
        <v>Sel1l</v>
      </c>
      <c r="E6706" t="str">
        <f>HYPERLINK("J:\Depot - mpkCCD Fractions\Main Web Page\Web Pages_old\proteomic_fractions_linear_files/Yang_linear_img/46309573.jpg","show blot")</f>
        <v>show blot</v>
      </c>
      <c r="G6706" t="s">
        <v>6481</v>
      </c>
      <c r="I6706" s="6">
        <v>3.9947400816255785</v>
      </c>
      <c r="K6706" s="8"/>
    </row>
    <row r="6707" spans="1:11" ht="15" x14ac:dyDescent="0.25">
      <c r="A6707" s="3" t="str">
        <f>HYPERLINK("proteomic_fractions_linear_files/Yang_linear_img/84875513.jpg", "84875513")</f>
        <v>84875513</v>
      </c>
      <c r="C6707" s="3" t="str">
        <f>HYPERLINK("http://www.ncbi.nlm.nih.gov/protein/84875513","Sel1l")</f>
        <v>Sel1l</v>
      </c>
      <c r="E6707" t="str">
        <f>HYPERLINK("J:\Depot - mpkCCD Fractions\Main Web Page\Web Pages_old\proteomic_fractions_linear_files/Yang_linear_img/84875513.jpg","show blot")</f>
        <v>show blot</v>
      </c>
      <c r="G6707" t="s">
        <v>6482</v>
      </c>
      <c r="I6707" s="6">
        <v>3.9947400816255785</v>
      </c>
      <c r="K6707" s="8"/>
    </row>
    <row r="6708" spans="1:11" ht="15" x14ac:dyDescent="0.25">
      <c r="A6708" s="3" t="str">
        <f>HYPERLINK("proteomic_fractions_linear_files/Yang_linear_img/22164798.jpg", "22164798")</f>
        <v>22164798</v>
      </c>
      <c r="C6708" s="3" t="str">
        <f>HYPERLINK("http://www.ncbi.nlm.nih.gov/protein/22164798","Selenbp1")</f>
        <v>Selenbp1</v>
      </c>
      <c r="E6708" t="str">
        <f>HYPERLINK("J:\Depot - mpkCCD Fractions\Main Web Page\Web Pages_old\proteomic_fractions_linear_files/Yang_linear_img/22164798.jpg","show blot")</f>
        <v>show blot</v>
      </c>
      <c r="G6708" t="s">
        <v>6483</v>
      </c>
      <c r="I6708" s="6">
        <v>6.4687957505784679</v>
      </c>
      <c r="K6708" s="8"/>
    </row>
    <row r="6709" spans="1:11" ht="15" x14ac:dyDescent="0.25">
      <c r="A6709" s="3" t="str">
        <f>HYPERLINK("proteomic_fractions_linear_files/Yang_linear_img/9507079.jpg", "9507079")</f>
        <v>9507079</v>
      </c>
      <c r="C6709" s="3" t="str">
        <f>HYPERLINK("http://www.ncbi.nlm.nih.gov/protein/9507079","Selenbp2")</f>
        <v>Selenbp2</v>
      </c>
      <c r="E6709" t="str">
        <f>HYPERLINK("J:\Depot - mpkCCD Fractions\Main Web Page\Web Pages_old\proteomic_fractions_linear_files/Yang_linear_img/9507079.jpg","show blot")</f>
        <v>show blot</v>
      </c>
      <c r="G6709" t="s">
        <v>6484</v>
      </c>
      <c r="I6709" s="6">
        <v>6.4567894787019959</v>
      </c>
      <c r="K6709" s="8"/>
    </row>
    <row r="6710" spans="1:11" ht="15" x14ac:dyDescent="0.25">
      <c r="A6710" s="3" t="str">
        <f>HYPERLINK("proteomic_fractions_linear_files/Yang_linear_img/111119001.jpg", "111119001")</f>
        <v>111119001</v>
      </c>
      <c r="C6710" s="3" t="str">
        <f>HYPERLINK("http://www.ncbi.nlm.nih.gov/protein/111119001","Selk")</f>
        <v>Selk</v>
      </c>
      <c r="E6710" t="str">
        <f>HYPERLINK("J:\Depot - mpkCCD Fractions\Main Web Page\Web Pages_old\proteomic_fractions_linear_files/Yang_linear_img/111119001.jpg","show blot")</f>
        <v>show blot</v>
      </c>
      <c r="G6710" t="s">
        <v>6485</v>
      </c>
      <c r="I6710" s="6">
        <v>3.6957544315977482</v>
      </c>
      <c r="K6710" s="8"/>
    </row>
    <row r="6711" spans="1:11" ht="15" x14ac:dyDescent="0.25">
      <c r="A6711" s="3" t="str">
        <f>HYPERLINK("proteomic_fractions_linear_files/Yang_linear_img/81295807.jpg", "81295807")</f>
        <v>81295807</v>
      </c>
      <c r="C6711" s="3" t="str">
        <f>HYPERLINK("http://www.ncbi.nlm.nih.gov/protein/81295807","Selo")</f>
        <v>Selo</v>
      </c>
      <c r="E6711" t="str">
        <f>HYPERLINK("J:\Depot - mpkCCD Fractions\Main Web Page\Web Pages_old\proteomic_fractions_linear_files/Yang_linear_img/81295807.jpg","show blot")</f>
        <v>show blot</v>
      </c>
      <c r="G6711" t="s">
        <v>6486</v>
      </c>
      <c r="I6711" s="6">
        <v>4.3822738785474966</v>
      </c>
      <c r="K6711" s="8"/>
    </row>
    <row r="6712" spans="1:11" ht="15" x14ac:dyDescent="0.25">
      <c r="A6712" s="3" t="str">
        <f>HYPERLINK("proteomic_fractions_linear_files/Yang_linear_img/143770878.jpg", "143770878")</f>
        <v>143770878</v>
      </c>
      <c r="C6712" s="3" t="str">
        <f>HYPERLINK("http://www.ncbi.nlm.nih.gov/protein/143770878","Selt")</f>
        <v>Selt</v>
      </c>
      <c r="E6712" t="str">
        <f>HYPERLINK("J:\Depot - mpkCCD Fractions\Main Web Page\Web Pages_old\proteomic_fractions_linear_files/Yang_linear_img/143770878.jpg","show blot")</f>
        <v>show blot</v>
      </c>
      <c r="G6712" t="s">
        <v>6487</v>
      </c>
      <c r="I6712" s="6">
        <v>4.8673696926670322</v>
      </c>
      <c r="K6712" s="8"/>
    </row>
    <row r="6713" spans="1:11" ht="15" x14ac:dyDescent="0.25">
      <c r="A6713" s="3" t="str">
        <f>HYPERLINK("proteomic_fractions_linear_files/Yang_linear_img/46048361.jpg", "46048361")</f>
        <v>46048361</v>
      </c>
      <c r="C6713" s="3" t="str">
        <f>HYPERLINK("http://www.ncbi.nlm.nih.gov/protein/46048361","Sema3c")</f>
        <v>Sema3c</v>
      </c>
      <c r="E6713" t="str">
        <f>HYPERLINK("J:\Depot - mpkCCD Fractions\Main Web Page\Web Pages_old\proteomic_fractions_linear_files/Yang_linear_img/46048361.jpg","show blot")</f>
        <v>show blot</v>
      </c>
      <c r="G6713" t="s">
        <v>6488</v>
      </c>
      <c r="I6713" s="6">
        <v>1.491929742001626</v>
      </c>
      <c r="K6713" s="8"/>
    </row>
    <row r="6714" spans="1:11" ht="15" x14ac:dyDescent="0.25">
      <c r="A6714" s="3" t="str">
        <f>HYPERLINK("proteomic_fractions_linear_files/Yang_linear_img/110625636.jpg", "110625636")</f>
        <v>110625636</v>
      </c>
      <c r="C6714" s="3" t="str">
        <f>HYPERLINK("http://www.ncbi.nlm.nih.gov/protein/110625636","Sema4b")</f>
        <v>Sema4b</v>
      </c>
      <c r="E6714" t="str">
        <f>HYPERLINK("J:\Depot - mpkCCD Fractions\Main Web Page\Web Pages_old\proteomic_fractions_linear_files/Yang_linear_img/110625636.jpg","show blot")</f>
        <v>show blot</v>
      </c>
      <c r="G6714" t="s">
        <v>6489</v>
      </c>
      <c r="I6714" s="6">
        <v>2.1507719097428435</v>
      </c>
      <c r="K6714" s="8"/>
    </row>
    <row r="6715" spans="1:11" ht="15" x14ac:dyDescent="0.25">
      <c r="A6715" s="3" t="str">
        <f>HYPERLINK("proteomic_fractions_linear_files/Yang_linear_img/530232771.jpg", "530232771")</f>
        <v>530232771</v>
      </c>
      <c r="C6715" s="3" t="str">
        <f>HYPERLINK("http://www.ncbi.nlm.nih.gov/protein/530232771","Sema4d")</f>
        <v>Sema4d</v>
      </c>
      <c r="E6715" t="str">
        <f>HYPERLINK("J:\Depot - mpkCCD Fractions\Main Web Page\Web Pages_old\proteomic_fractions_linear_files/Yang_linear_img/530232771.jpg","show blot")</f>
        <v>show blot</v>
      </c>
      <c r="G6715" t="s">
        <v>6490</v>
      </c>
      <c r="I6715" s="6">
        <v>5.0518512588829525</v>
      </c>
      <c r="K6715" s="8"/>
    </row>
    <row r="6716" spans="1:11" ht="15" x14ac:dyDescent="0.25">
      <c r="A6716" s="3" t="str">
        <f>HYPERLINK("proteomic_fractions_linear_files/Yang_linear_img/49274623.jpg", "49274623")</f>
        <v>49274623</v>
      </c>
      <c r="C6716" s="3" t="str">
        <f>HYPERLINK("http://www.ncbi.nlm.nih.gov/protein/49274623","Sema4d")</f>
        <v>Sema4d</v>
      </c>
      <c r="E6716" t="str">
        <f>HYPERLINK("J:\Depot - mpkCCD Fractions\Main Web Page\Web Pages_old\proteomic_fractions_linear_files/Yang_linear_img/49274623.jpg","show blot")</f>
        <v>show blot</v>
      </c>
      <c r="G6716" t="s">
        <v>6490</v>
      </c>
      <c r="I6716" s="6">
        <v>5.0518512588829525</v>
      </c>
      <c r="K6716" s="8"/>
    </row>
    <row r="6717" spans="1:11" ht="15" x14ac:dyDescent="0.25">
      <c r="A6717" s="3" t="str">
        <f>HYPERLINK("proteomic_fractions_linear_files/Yang_linear_img/164698454.jpg", "164698454")</f>
        <v>164698454</v>
      </c>
      <c r="C6717" s="3" t="str">
        <f>HYPERLINK("http://www.ncbi.nlm.nih.gov/protein/164698454","Sema4f")</f>
        <v>Sema4f</v>
      </c>
      <c r="E6717" t="str">
        <f>HYPERLINK("J:\Depot - mpkCCD Fractions\Main Web Page\Web Pages_old\proteomic_fractions_linear_files/Yang_linear_img/164698454.jpg","show blot")</f>
        <v>show blot</v>
      </c>
      <c r="G6717" t="s">
        <v>6491</v>
      </c>
      <c r="I6717" s="6">
        <v>4.2887112586560896</v>
      </c>
      <c r="K6717" s="8"/>
    </row>
    <row r="6718" spans="1:11" ht="15" x14ac:dyDescent="0.25">
      <c r="A6718" s="3" t="str">
        <f>HYPERLINK("proteomic_fractions_linear_files/Yang_linear_img/164698456.jpg", "164698456")</f>
        <v>164698456</v>
      </c>
      <c r="C6718" s="3" t="str">
        <f>HYPERLINK("http://www.ncbi.nlm.nih.gov/protein/164698456","Sema4f")</f>
        <v>Sema4f</v>
      </c>
      <c r="E6718" t="str">
        <f>HYPERLINK("J:\Depot - mpkCCD Fractions\Main Web Page\Web Pages_old\proteomic_fractions_linear_files/Yang_linear_img/164698456.jpg","show blot")</f>
        <v>show blot</v>
      </c>
      <c r="G6718" t="s">
        <v>6492</v>
      </c>
      <c r="I6718" s="6">
        <v>4.2887112586560896</v>
      </c>
      <c r="K6718" s="8"/>
    </row>
    <row r="6719" spans="1:11" ht="15" x14ac:dyDescent="0.25">
      <c r="A6719" s="3" t="str">
        <f>HYPERLINK("proteomic_fractions_linear_files/Yang_linear_img/6755462.jpg", "6755462")</f>
        <v>6755462</v>
      </c>
      <c r="C6719" s="3" t="str">
        <f>HYPERLINK("http://www.ncbi.nlm.nih.gov/protein/6755462","Sema4g")</f>
        <v>Sema4g</v>
      </c>
      <c r="E6719" t="str">
        <f>HYPERLINK("J:\Depot - mpkCCD Fractions\Main Web Page\Web Pages_old\proteomic_fractions_linear_files/Yang_linear_img/6755462.jpg","show blot")</f>
        <v>show blot</v>
      </c>
      <c r="G6719" t="s">
        <v>6493</v>
      </c>
      <c r="I6719" s="6">
        <v>2.272512013160719</v>
      </c>
      <c r="K6719" s="8"/>
    </row>
    <row r="6720" spans="1:11" ht="15" x14ac:dyDescent="0.25">
      <c r="A6720" s="3" t="str">
        <f>HYPERLINK("proteomic_fractions_linear_files/Yang_linear_img/254939663.jpg", "254939663")</f>
        <v>254939663</v>
      </c>
      <c r="C6720" s="3" t="str">
        <f>HYPERLINK("http://www.ncbi.nlm.nih.gov/protein/254939663","Senp3")</f>
        <v>Senp3</v>
      </c>
      <c r="E6720" t="str">
        <f>HYPERLINK("J:\Depot - mpkCCD Fractions\Main Web Page\Web Pages_old\proteomic_fractions_linear_files/Yang_linear_img/254939663.jpg","show blot")</f>
        <v>show blot</v>
      </c>
      <c r="G6720" t="s">
        <v>6494</v>
      </c>
      <c r="I6720" s="6">
        <v>4.0814694958096895</v>
      </c>
      <c r="K6720" s="8"/>
    </row>
    <row r="6721" spans="1:11" ht="15" x14ac:dyDescent="0.25">
      <c r="A6721" s="3" t="str">
        <f>HYPERLINK("proteomic_fractions_linear_files/Yang_linear_img/16716395.jpg", "16716395")</f>
        <v>16716395</v>
      </c>
      <c r="C6721" s="3" t="str">
        <f>HYPERLINK("http://www.ncbi.nlm.nih.gov/protein/16716395","Sep15")</f>
        <v>Sep15</v>
      </c>
      <c r="E6721" t="str">
        <f>HYPERLINK("J:\Depot - mpkCCD Fractions\Main Web Page\Web Pages_old\proteomic_fractions_linear_files/Yang_linear_img/16716395.jpg","show blot")</f>
        <v>show blot</v>
      </c>
      <c r="G6721" t="s">
        <v>6495</v>
      </c>
      <c r="I6721" s="6">
        <v>4.8635236990098054</v>
      </c>
      <c r="K6721" s="8"/>
    </row>
    <row r="6722" spans="1:11" ht="15" x14ac:dyDescent="0.25">
      <c r="A6722" s="3" t="str">
        <f>HYPERLINK("proteomic_fractions_linear_files/Yang_linear_img/156713463.jpg", "156713463")</f>
        <v>156713463</v>
      </c>
      <c r="C6722" s="3" t="str">
        <f>HYPERLINK("http://www.ncbi.nlm.nih.gov/protein/156713463","Sephs1")</f>
        <v>Sephs1</v>
      </c>
      <c r="E6722" t="str">
        <f>HYPERLINK("J:\Depot - mpkCCD Fractions\Main Web Page\Web Pages_old\proteomic_fractions_linear_files/Yang_linear_img/156713463.jpg","show blot")</f>
        <v>show blot</v>
      </c>
      <c r="G6722" t="s">
        <v>6496</v>
      </c>
      <c r="I6722" s="6">
        <v>5.1871759077674833</v>
      </c>
      <c r="K6722" s="8"/>
    </row>
    <row r="6723" spans="1:11" ht="15" x14ac:dyDescent="0.25">
      <c r="A6723" s="3" t="str">
        <f>HYPERLINK("proteomic_fractions_linear_files/Yang_linear_img/15011843.jpg", "15011843")</f>
        <v>15011843</v>
      </c>
      <c r="C6723" s="3" t="str">
        <f>HYPERLINK("http://www.ncbi.nlm.nih.gov/protein/15011843","Sephs2")</f>
        <v>Sephs2</v>
      </c>
      <c r="E6723" t="str">
        <f>HYPERLINK("J:\Depot - mpkCCD Fractions\Main Web Page\Web Pages_old\proteomic_fractions_linear_files/Yang_linear_img/15011843.jpg","show blot")</f>
        <v>show blot</v>
      </c>
      <c r="G6723" t="s">
        <v>6497</v>
      </c>
      <c r="I6723" s="6">
        <v>3.8492760280571052</v>
      </c>
      <c r="K6723" s="8"/>
    </row>
    <row r="6724" spans="1:11" ht="15" x14ac:dyDescent="0.25">
      <c r="A6724" s="3" t="str">
        <f>HYPERLINK("proteomic_fractions_linear_files/Yang_linear_img/111118964.jpg", "111118964")</f>
        <v>111118964</v>
      </c>
      <c r="C6724" s="3" t="str">
        <f>HYPERLINK("http://www.ncbi.nlm.nih.gov/protein/111118964","Sepn1")</f>
        <v>Sepn1</v>
      </c>
      <c r="E6724" t="str">
        <f>HYPERLINK("J:\Depot - mpkCCD Fractions\Main Web Page\Web Pages_old\proteomic_fractions_linear_files/Yang_linear_img/111118964.jpg","show blot")</f>
        <v>show blot</v>
      </c>
      <c r="G6724" t="s">
        <v>6498</v>
      </c>
      <c r="I6724" s="6">
        <v>2.3318265883300748</v>
      </c>
      <c r="K6724" s="8"/>
    </row>
    <row r="6725" spans="1:11" ht="15" x14ac:dyDescent="0.25">
      <c r="A6725" s="3" t="str">
        <f>HYPERLINK("proteomic_fractions_linear_files/Yang_linear_img/27369676.jpg", "27369676")</f>
        <v>27369676</v>
      </c>
      <c r="C6725" s="3" t="str">
        <f>HYPERLINK("http://www.ncbi.nlm.nih.gov/protein/27369676","Sepsecs")</f>
        <v>Sepsecs</v>
      </c>
      <c r="E6725" t="str">
        <f>HYPERLINK("J:\Depot - mpkCCD Fractions\Main Web Page\Web Pages_old\proteomic_fractions_linear_files/Yang_linear_img/27369676.jpg","show blot")</f>
        <v>show blot</v>
      </c>
      <c r="G6725" t="s">
        <v>6499</v>
      </c>
      <c r="I6725" s="6">
        <v>4.0803056034850362</v>
      </c>
      <c r="K6725" s="8"/>
    </row>
    <row r="6726" spans="1:11" ht="15" x14ac:dyDescent="0.25">
      <c r="A6726" s="3" t="str">
        <f>HYPERLINK("proteomic_fractions_linear_files/Yang_linear_img/226442740.jpg", "226442740")</f>
        <v>226442740</v>
      </c>
      <c r="C6726" s="3" t="str">
        <f>HYPERLINK("http://www.ncbi.nlm.nih.gov/protein/226442740","Sept10")</f>
        <v>Sept10</v>
      </c>
      <c r="E6726" t="str">
        <f>HYPERLINK("J:\Depot - mpkCCD Fractions\Main Web Page\Web Pages_old\proteomic_fractions_linear_files/Yang_linear_img/226442740.jpg","show blot")</f>
        <v>show blot</v>
      </c>
      <c r="G6726" t="s">
        <v>6500</v>
      </c>
      <c r="I6726" s="6">
        <v>5.6906717091928218</v>
      </c>
      <c r="K6726" s="8"/>
    </row>
    <row r="6727" spans="1:11" ht="15" x14ac:dyDescent="0.25">
      <c r="A6727" s="3" t="str">
        <f>HYPERLINK("proteomic_fractions_linear_files/Yang_linear_img/67906175.jpg", "67906175")</f>
        <v>67906175</v>
      </c>
      <c r="C6727" s="3" t="str">
        <f>HYPERLINK("http://www.ncbi.nlm.nih.gov/protein/67906175","Sept10")</f>
        <v>Sept10</v>
      </c>
      <c r="E6727" t="str">
        <f>HYPERLINK("J:\Depot - mpkCCD Fractions\Main Web Page\Web Pages_old\proteomic_fractions_linear_files/Yang_linear_img/67906175.jpg","show blot")</f>
        <v>show blot</v>
      </c>
      <c r="G6727" t="s">
        <v>6501</v>
      </c>
      <c r="I6727" s="6">
        <v>5.6906717091928218</v>
      </c>
      <c r="K6727" s="8"/>
    </row>
    <row r="6728" spans="1:11" ht="15" x14ac:dyDescent="0.25">
      <c r="A6728" s="3" t="str">
        <f>HYPERLINK("proteomic_fractions_linear_files/Yang_linear_img/57634518.jpg", "57634518")</f>
        <v>57634518</v>
      </c>
      <c r="C6728" s="3" t="str">
        <f>HYPERLINK("http://www.ncbi.nlm.nih.gov/protein/57634518","Sept11")</f>
        <v>Sept11</v>
      </c>
      <c r="E6728" t="str">
        <f>HYPERLINK("J:\Depot - mpkCCD Fractions\Main Web Page\Web Pages_old\proteomic_fractions_linear_files/Yang_linear_img/57634518.jpg","show blot")</f>
        <v>show blot</v>
      </c>
      <c r="G6728" t="s">
        <v>6502</v>
      </c>
      <c r="I6728" s="6">
        <v>6.0378764601149095</v>
      </c>
      <c r="K6728" s="8"/>
    </row>
    <row r="6729" spans="1:11" ht="15" x14ac:dyDescent="0.25">
      <c r="A6729" s="3" t="str">
        <f>HYPERLINK("proteomic_fractions_linear_files/Yang_linear_img/160333377.jpg", "160333377")</f>
        <v>160333377</v>
      </c>
      <c r="C6729" s="3" t="str">
        <f>HYPERLINK("http://www.ncbi.nlm.nih.gov/protein/160333377","Sept14")</f>
        <v>Sept14</v>
      </c>
      <c r="E6729" t="str">
        <f>HYPERLINK("J:\Depot - mpkCCD Fractions\Main Web Page\Web Pages_old\proteomic_fractions_linear_files/Yang_linear_img/160333377.jpg","show blot")</f>
        <v>show blot</v>
      </c>
      <c r="G6729" t="s">
        <v>6503</v>
      </c>
      <c r="I6729" s="6">
        <v>5.6154140288515038</v>
      </c>
      <c r="K6729" s="8"/>
    </row>
    <row r="6730" spans="1:11" ht="15" x14ac:dyDescent="0.25">
      <c r="A6730" s="3" t="str">
        <f>HYPERLINK("proteomic_fractions_linear_files/Yang_linear_img/228480253.jpg", "228480253")</f>
        <v>228480253</v>
      </c>
      <c r="C6730" s="3" t="str">
        <f>HYPERLINK("http://www.ncbi.nlm.nih.gov/protein/228480253","Sept2")</f>
        <v>Sept2</v>
      </c>
      <c r="E6730" t="str">
        <f>HYPERLINK("J:\Depot - mpkCCD Fractions\Main Web Page\Web Pages_old\proteomic_fractions_linear_files/Yang_linear_img/228480253.jpg","show blot")</f>
        <v>show blot</v>
      </c>
      <c r="G6730" t="s">
        <v>6504</v>
      </c>
      <c r="I6730" s="6">
        <v>6.3220261933118111</v>
      </c>
      <c r="K6730" s="8"/>
    </row>
    <row r="6731" spans="1:11" ht="15" x14ac:dyDescent="0.25">
      <c r="A6731" s="3" t="str">
        <f>HYPERLINK("proteomic_fractions_linear_files/Yang_linear_img/228480255.jpg", "228480255")</f>
        <v>228480255</v>
      </c>
      <c r="C6731" s="3" t="str">
        <f>HYPERLINK("http://www.ncbi.nlm.nih.gov/protein/228480255","Sept2")</f>
        <v>Sept2</v>
      </c>
      <c r="E6731" t="str">
        <f>HYPERLINK("J:\Depot - mpkCCD Fractions\Main Web Page\Web Pages_old\proteomic_fractions_linear_files/Yang_linear_img/228480255.jpg","show blot")</f>
        <v>show blot</v>
      </c>
      <c r="G6731" t="s">
        <v>6505</v>
      </c>
      <c r="I6731" s="6">
        <v>6.3220261933118111</v>
      </c>
      <c r="K6731" s="8"/>
    </row>
    <row r="6732" spans="1:11" ht="15" x14ac:dyDescent="0.25">
      <c r="A6732" s="3" t="str">
        <f>HYPERLINK("proteomic_fractions_linear_files/Yang_linear_img/548923742.jpg", "548923742")</f>
        <v>548923742</v>
      </c>
      <c r="C6732" s="3" t="str">
        <f>HYPERLINK("http://www.ncbi.nlm.nih.gov/protein/548923742","Sept4")</f>
        <v>Sept4</v>
      </c>
      <c r="E6732" t="str">
        <f>HYPERLINK("J:\Depot - mpkCCD Fractions\Main Web Page\Web Pages_old\proteomic_fractions_linear_files/Yang_linear_img/548923742.jpg","show blot")</f>
        <v>show blot</v>
      </c>
      <c r="G6732" t="s">
        <v>6506</v>
      </c>
      <c r="I6732" s="6">
        <v>4.7990611707675965</v>
      </c>
      <c r="K6732" s="8"/>
    </row>
    <row r="6733" spans="1:11" ht="15" x14ac:dyDescent="0.25">
      <c r="A6733" s="3" t="str">
        <f>HYPERLINK("proteomic_fractions_linear_files/Yang_linear_img/548923858.jpg", "548923858")</f>
        <v>548923858</v>
      </c>
      <c r="C6733" s="3" t="str">
        <f>HYPERLINK("http://www.ncbi.nlm.nih.gov/protein/548923858","Sept4")</f>
        <v>Sept4</v>
      </c>
      <c r="E6733" t="str">
        <f>HYPERLINK("J:\Depot - mpkCCD Fractions\Main Web Page\Web Pages_old\proteomic_fractions_linear_files/Yang_linear_img/548923858.jpg","show blot")</f>
        <v>show blot</v>
      </c>
      <c r="G6733" t="s">
        <v>6507</v>
      </c>
      <c r="I6733" s="6">
        <v>4.7990611707675965</v>
      </c>
      <c r="K6733" s="8"/>
    </row>
    <row r="6734" spans="1:11" ht="15" x14ac:dyDescent="0.25">
      <c r="A6734" s="3" t="str">
        <f>HYPERLINK("proteomic_fractions_linear_files/Yang_linear_img/548923884.jpg", "548923884")</f>
        <v>548923884</v>
      </c>
      <c r="C6734" s="3" t="str">
        <f>HYPERLINK("http://www.ncbi.nlm.nih.gov/protein/548923884","Sept4")</f>
        <v>Sept4</v>
      </c>
      <c r="E6734" t="str">
        <f>HYPERLINK("J:\Depot - mpkCCD Fractions\Main Web Page\Web Pages_old\proteomic_fractions_linear_files/Yang_linear_img/548923884.jpg","show blot")</f>
        <v>show blot</v>
      </c>
      <c r="G6734" t="s">
        <v>6508</v>
      </c>
      <c r="I6734" s="6">
        <v>4.7990611707675965</v>
      </c>
      <c r="K6734" s="8"/>
    </row>
    <row r="6735" spans="1:11" ht="15" x14ac:dyDescent="0.25">
      <c r="A6735" s="3" t="str">
        <f>HYPERLINK("proteomic_fractions_linear_files/Yang_linear_img/6755120.jpg", "6755120")</f>
        <v>6755120</v>
      </c>
      <c r="C6735" s="3" t="str">
        <f>HYPERLINK("http://www.ncbi.nlm.nih.gov/protein/6755120","Sept4")</f>
        <v>Sept4</v>
      </c>
      <c r="E6735" t="str">
        <f>HYPERLINK("J:\Depot - mpkCCD Fractions\Main Web Page\Web Pages_old\proteomic_fractions_linear_files/Yang_linear_img/6755120.jpg","show blot")</f>
        <v>show blot</v>
      </c>
      <c r="G6735" t="s">
        <v>6509</v>
      </c>
      <c r="I6735" s="6">
        <v>4.7990611707675965</v>
      </c>
      <c r="K6735" s="8"/>
    </row>
    <row r="6736" spans="1:11" ht="15" x14ac:dyDescent="0.25">
      <c r="A6736" s="3" t="str">
        <f>HYPERLINK("proteomic_fractions_linear_files/Yang_linear_img/158508501.jpg", "158508501")</f>
        <v>158508501</v>
      </c>
      <c r="C6736" s="3" t="str">
        <f>HYPERLINK("http://www.ncbi.nlm.nih.gov/protein/158508501","Sept5")</f>
        <v>Sept5</v>
      </c>
      <c r="E6736" t="str">
        <f>HYPERLINK("J:\Depot - mpkCCD Fractions\Main Web Page\Web Pages_old\proteomic_fractions_linear_files/Yang_linear_img/158508501.jpg","show blot")</f>
        <v>show blot</v>
      </c>
      <c r="G6736" t="s">
        <v>6510</v>
      </c>
      <c r="I6736" s="6">
        <v>4.8690986259164246</v>
      </c>
      <c r="K6736" s="8"/>
    </row>
    <row r="6737" spans="1:11" ht="15" x14ac:dyDescent="0.25">
      <c r="A6737" s="3" t="str">
        <f>HYPERLINK("proteomic_fractions_linear_files/Yang_linear_img/293597551.jpg", "293597551")</f>
        <v>293597551</v>
      </c>
      <c r="C6737" s="3" t="str">
        <f>HYPERLINK("http://www.ncbi.nlm.nih.gov/protein/293597551","Sept6")</f>
        <v>Sept6</v>
      </c>
      <c r="E6737" t="str">
        <f>HYPERLINK("J:\Depot - mpkCCD Fractions\Main Web Page\Web Pages_old\proteomic_fractions_linear_files/Yang_linear_img/293597551.jpg","show blot")</f>
        <v>show blot</v>
      </c>
      <c r="G6737" t="s">
        <v>6511</v>
      </c>
      <c r="I6737" s="6">
        <v>5.4221840976798203</v>
      </c>
      <c r="K6737" s="8"/>
    </row>
    <row r="6738" spans="1:11" ht="15" x14ac:dyDescent="0.25">
      <c r="A6738" s="3" t="str">
        <f>HYPERLINK("proteomic_fractions_linear_files/Yang_linear_img/293597553.jpg", "293597553")</f>
        <v>293597553</v>
      </c>
      <c r="C6738" s="3" t="str">
        <f>HYPERLINK("http://www.ncbi.nlm.nih.gov/protein/293597553","Sept6")</f>
        <v>Sept6</v>
      </c>
      <c r="E6738" t="str">
        <f>HYPERLINK("J:\Depot - mpkCCD Fractions\Main Web Page\Web Pages_old\proteomic_fractions_linear_files/Yang_linear_img/293597553.jpg","show blot")</f>
        <v>show blot</v>
      </c>
      <c r="G6738" t="s">
        <v>6512</v>
      </c>
      <c r="I6738" s="6">
        <v>5.4221840976798203</v>
      </c>
      <c r="K6738" s="8"/>
    </row>
    <row r="6739" spans="1:11" ht="15" x14ac:dyDescent="0.25">
      <c r="A6739" s="3" t="str">
        <f>HYPERLINK("proteomic_fractions_linear_files/Yang_linear_img/31560370.jpg", "31560370")</f>
        <v>31560370</v>
      </c>
      <c r="C6739" s="3" t="str">
        <f>HYPERLINK("http://www.ncbi.nlm.nih.gov/protein/31560370","Sept6")</f>
        <v>Sept6</v>
      </c>
      <c r="E6739" t="str">
        <f>HYPERLINK("J:\Depot - mpkCCD Fractions\Main Web Page\Web Pages_old\proteomic_fractions_linear_files/Yang_linear_img/31560370.jpg","show blot")</f>
        <v>show blot</v>
      </c>
      <c r="G6739" t="s">
        <v>6513</v>
      </c>
      <c r="I6739" s="6">
        <v>5.4221840976798203</v>
      </c>
      <c r="K6739" s="8"/>
    </row>
    <row r="6740" spans="1:11" ht="15" x14ac:dyDescent="0.25">
      <c r="A6740" s="3" t="str">
        <f>HYPERLINK("proteomic_fractions_linear_files/Yang_linear_img/358679344.jpg", "358679344")</f>
        <v>358679344</v>
      </c>
      <c r="C6740" s="3" t="str">
        <f>HYPERLINK("http://www.ncbi.nlm.nih.gov/protein/358679344","Sept6")</f>
        <v>Sept6</v>
      </c>
      <c r="E6740" t="str">
        <f>HYPERLINK("J:\Depot - mpkCCD Fractions\Main Web Page\Web Pages_old\proteomic_fractions_linear_files/Yang_linear_img/358679344.jpg","show blot")</f>
        <v>show blot</v>
      </c>
      <c r="G6740" t="s">
        <v>6514</v>
      </c>
      <c r="I6740" s="6">
        <v>5.4221840976798203</v>
      </c>
      <c r="K6740" s="8"/>
    </row>
    <row r="6741" spans="1:11" ht="15" x14ac:dyDescent="0.25">
      <c r="A6741" s="3" t="str">
        <f>HYPERLINK("proteomic_fractions_linear_files/Yang_linear_img/28173550.jpg", "28173550")</f>
        <v>28173550</v>
      </c>
      <c r="C6741" s="3" t="str">
        <f>HYPERLINK("http://www.ncbi.nlm.nih.gov/protein/28173550","Sept7")</f>
        <v>Sept7</v>
      </c>
      <c r="E6741" t="str">
        <f>HYPERLINK("J:\Depot - mpkCCD Fractions\Main Web Page\Web Pages_old\proteomic_fractions_linear_files/Yang_linear_img/28173550.jpg","show blot")</f>
        <v>show blot</v>
      </c>
      <c r="G6741" t="s">
        <v>6515</v>
      </c>
      <c r="I6741" s="6">
        <v>6.2063780039637155</v>
      </c>
      <c r="K6741" s="8"/>
    </row>
    <row r="6742" spans="1:11" ht="15" x14ac:dyDescent="0.25">
      <c r="A6742" s="3" t="str">
        <f>HYPERLINK("proteomic_fractions_linear_files/Yang_linear_img/329299065.jpg", "329299065")</f>
        <v>329299065</v>
      </c>
      <c r="C6742" s="3" t="str">
        <f>HYPERLINK("http://www.ncbi.nlm.nih.gov/protein/329299065","Sept7")</f>
        <v>Sept7</v>
      </c>
      <c r="E6742" t="str">
        <f>HYPERLINK("J:\Depot - mpkCCD Fractions\Main Web Page\Web Pages_old\proteomic_fractions_linear_files/Yang_linear_img/329299065.jpg","show blot")</f>
        <v>show blot</v>
      </c>
      <c r="G6742" t="s">
        <v>6516</v>
      </c>
      <c r="I6742" s="6">
        <v>6.2063780039637155</v>
      </c>
      <c r="K6742" s="8"/>
    </row>
    <row r="6743" spans="1:11" ht="15" x14ac:dyDescent="0.25">
      <c r="A6743" s="3" t="str">
        <f>HYPERLINK("proteomic_fractions_linear_files/Yang_linear_img/356640208.jpg", "356640208")</f>
        <v>356640208</v>
      </c>
      <c r="C6743" s="3" t="str">
        <f>HYPERLINK("http://www.ncbi.nlm.nih.gov/protein/356640208","Sept8")</f>
        <v>Sept8</v>
      </c>
      <c r="E6743" t="str">
        <f>HYPERLINK("J:\Depot - mpkCCD Fractions\Main Web Page\Web Pages_old\proteomic_fractions_linear_files/Yang_linear_img/356640208.jpg","show blot")</f>
        <v>show blot</v>
      </c>
      <c r="G6743" t="s">
        <v>6517</v>
      </c>
      <c r="I6743" s="6">
        <v>5.7551948348418343</v>
      </c>
      <c r="K6743" s="8"/>
    </row>
    <row r="6744" spans="1:11" ht="15" x14ac:dyDescent="0.25">
      <c r="A6744" s="3" t="str">
        <f>HYPERLINK("proteomic_fractions_linear_files/Yang_linear_img/356640210.jpg", "356640210")</f>
        <v>356640210</v>
      </c>
      <c r="C6744" s="3" t="str">
        <f>HYPERLINK("http://www.ncbi.nlm.nih.gov/protein/356640210","Sept8")</f>
        <v>Sept8</v>
      </c>
      <c r="E6744" t="str">
        <f>HYPERLINK("J:\Depot - mpkCCD Fractions\Main Web Page\Web Pages_old\proteomic_fractions_linear_files/Yang_linear_img/356640210.jpg","show blot")</f>
        <v>show blot</v>
      </c>
      <c r="G6744" t="s">
        <v>6518</v>
      </c>
      <c r="I6744" s="6">
        <v>5.7551948348418343</v>
      </c>
      <c r="K6744" s="8"/>
    </row>
    <row r="6745" spans="1:11" ht="15" x14ac:dyDescent="0.25">
      <c r="A6745" s="3" t="str">
        <f>HYPERLINK("proteomic_fractions_linear_files/Yang_linear_img/39930477.jpg", "39930477")</f>
        <v>39930477</v>
      </c>
      <c r="C6745" s="3" t="str">
        <f>HYPERLINK("http://www.ncbi.nlm.nih.gov/protein/39930477","Sept8")</f>
        <v>Sept8</v>
      </c>
      <c r="E6745" t="str">
        <f>HYPERLINK("J:\Depot - mpkCCD Fractions\Main Web Page\Web Pages_old\proteomic_fractions_linear_files/Yang_linear_img/39930477.jpg","show blot")</f>
        <v>show blot</v>
      </c>
      <c r="G6745" t="s">
        <v>6519</v>
      </c>
      <c r="I6745" s="6">
        <v>5.7551948348418343</v>
      </c>
      <c r="K6745" s="8"/>
    </row>
    <row r="6746" spans="1:11" ht="15" x14ac:dyDescent="0.25">
      <c r="A6746" s="3" t="str">
        <f>HYPERLINK("proteomic_fractions_linear_files/Yang_linear_img/164698479.jpg", "164698479")</f>
        <v>164698479</v>
      </c>
      <c r="C6746" s="3" t="str">
        <f>HYPERLINK("http://www.ncbi.nlm.nih.gov/protein/164698479","Sept9")</f>
        <v>Sept9</v>
      </c>
      <c r="E6746" t="str">
        <f>HYPERLINK("J:\Depot - mpkCCD Fractions\Main Web Page\Web Pages_old\proteomic_fractions_linear_files/Yang_linear_img/164698479.jpg","show blot")</f>
        <v>show blot</v>
      </c>
      <c r="G6746" t="s">
        <v>6520</v>
      </c>
      <c r="I6746" s="6">
        <v>5.960603434536508</v>
      </c>
      <c r="K6746" s="8"/>
    </row>
    <row r="6747" spans="1:11" ht="15" x14ac:dyDescent="0.25">
      <c r="A6747" s="3" t="str">
        <f>HYPERLINK("proteomic_fractions_linear_files/Yang_linear_img/164698481.jpg", "164698481")</f>
        <v>164698481</v>
      </c>
      <c r="C6747" s="3" t="str">
        <f>HYPERLINK("http://www.ncbi.nlm.nih.gov/protein/164698481","Sept9")</f>
        <v>Sept9</v>
      </c>
      <c r="E6747" t="str">
        <f>HYPERLINK("J:\Depot - mpkCCD Fractions\Main Web Page\Web Pages_old\proteomic_fractions_linear_files/Yang_linear_img/164698481.jpg","show blot")</f>
        <v>show blot</v>
      </c>
      <c r="G6747" t="s">
        <v>6521</v>
      </c>
      <c r="I6747" s="6">
        <v>5.960603434536508</v>
      </c>
      <c r="K6747" s="8"/>
    </row>
    <row r="6748" spans="1:11" ht="15" x14ac:dyDescent="0.25">
      <c r="A6748" s="3" t="str">
        <f>HYPERLINK("proteomic_fractions_linear_files/Yang_linear_img/8393784.jpg", "8393784")</f>
        <v>8393784</v>
      </c>
      <c r="C6748" s="3" t="str">
        <f>HYPERLINK("http://www.ncbi.nlm.nih.gov/protein/8393784","Sept9")</f>
        <v>Sept9</v>
      </c>
      <c r="E6748" t="str">
        <f>HYPERLINK("J:\Depot - mpkCCD Fractions\Main Web Page\Web Pages_old\proteomic_fractions_linear_files/Yang_linear_img/8393784.jpg","show blot")</f>
        <v>show blot</v>
      </c>
      <c r="G6748" t="s">
        <v>6522</v>
      </c>
      <c r="I6748" s="6">
        <v>5.960603434536508</v>
      </c>
      <c r="K6748" s="8"/>
    </row>
    <row r="6749" spans="1:11" ht="15" x14ac:dyDescent="0.25">
      <c r="A6749" s="3" t="str">
        <f>HYPERLINK("proteomic_fractions_linear_files/Yang_linear_img/6677917.jpg", "6677917")</f>
        <v>6677917</v>
      </c>
      <c r="C6749" s="3" t="str">
        <f>HYPERLINK("http://www.ncbi.nlm.nih.gov/protein/6677917","Sepw1")</f>
        <v>Sepw1</v>
      </c>
      <c r="E6749" t="str">
        <f>HYPERLINK("J:\Depot - mpkCCD Fractions\Main Web Page\Web Pages_old\proteomic_fractions_linear_files/Yang_linear_img/6677917.jpg","show blot")</f>
        <v>show blot</v>
      </c>
      <c r="G6749" t="s">
        <v>6523</v>
      </c>
      <c r="I6749" s="6">
        <v>3.3017119197666505</v>
      </c>
      <c r="K6749" s="8"/>
    </row>
    <row r="6750" spans="1:11" ht="15" x14ac:dyDescent="0.25">
      <c r="A6750" s="3" t="str">
        <f>HYPERLINK("proteomic_fractions_linear_files/Yang_linear_img/161169008.jpg", "161169008")</f>
        <v>161169008</v>
      </c>
      <c r="C6750" s="3" t="str">
        <f>HYPERLINK("http://www.ncbi.nlm.nih.gov/protein/161169008","Serac1")</f>
        <v>Serac1</v>
      </c>
      <c r="E6750" t="str">
        <f>HYPERLINK("J:\Depot - mpkCCD Fractions\Main Web Page\Web Pages_old\proteomic_fractions_linear_files/Yang_linear_img/161169008.jpg","show blot")</f>
        <v>show blot</v>
      </c>
      <c r="G6750" t="s">
        <v>6524</v>
      </c>
      <c r="I6750" s="6">
        <v>1.6273081468747681</v>
      </c>
      <c r="K6750" s="8"/>
    </row>
    <row r="6751" spans="1:11" ht="15" x14ac:dyDescent="0.25">
      <c r="A6751" s="3" t="str">
        <f>HYPERLINK("proteomic_fractions_linear_files/Yang_linear_img/161169010.jpg", "161169010")</f>
        <v>161169010</v>
      </c>
      <c r="C6751" s="3" t="str">
        <f>HYPERLINK("http://www.ncbi.nlm.nih.gov/protein/161169010","Serac1")</f>
        <v>Serac1</v>
      </c>
      <c r="E6751" t="str">
        <f>HYPERLINK("J:\Depot - mpkCCD Fractions\Main Web Page\Web Pages_old\proteomic_fractions_linear_files/Yang_linear_img/161169010.jpg","show blot")</f>
        <v>show blot</v>
      </c>
      <c r="G6751" t="s">
        <v>6525</v>
      </c>
      <c r="I6751" s="6">
        <v>1.6273081468747681</v>
      </c>
      <c r="K6751" s="8"/>
    </row>
    <row r="6752" spans="1:11" ht="15" x14ac:dyDescent="0.25">
      <c r="A6752" s="3" t="str">
        <f>HYPERLINK("proteomic_fractions_linear_files/Yang_linear_img/165932375.jpg", "165932375")</f>
        <v>165932375</v>
      </c>
      <c r="C6752" s="3" t="str">
        <f>HYPERLINK("http://www.ncbi.nlm.nih.gov/protein/165932375","Serbp1")</f>
        <v>Serbp1</v>
      </c>
      <c r="E6752" t="str">
        <f>HYPERLINK("J:\Depot - mpkCCD Fractions\Main Web Page\Web Pages_old\proteomic_fractions_linear_files/Yang_linear_img/165932375.jpg","show blot")</f>
        <v>show blot</v>
      </c>
      <c r="G6752" t="s">
        <v>6526</v>
      </c>
      <c r="I6752" s="6">
        <v>5.9959343509581311</v>
      </c>
      <c r="K6752" s="8"/>
    </row>
    <row r="6753" spans="1:11" ht="15" x14ac:dyDescent="0.25">
      <c r="A6753" s="3" t="str">
        <f>HYPERLINK("proteomic_fractions_linear_files/Yang_linear_img/165932377.jpg", "165932377")</f>
        <v>165932377</v>
      </c>
      <c r="C6753" s="3" t="str">
        <f>HYPERLINK("http://www.ncbi.nlm.nih.gov/protein/165932377","Serbp1")</f>
        <v>Serbp1</v>
      </c>
      <c r="E6753" t="str">
        <f>HYPERLINK("J:\Depot - mpkCCD Fractions\Main Web Page\Web Pages_old\proteomic_fractions_linear_files/Yang_linear_img/165932377.jpg","show blot")</f>
        <v>show blot</v>
      </c>
      <c r="G6753" t="s">
        <v>6527</v>
      </c>
      <c r="I6753" s="6">
        <v>5.9959343509581311</v>
      </c>
      <c r="K6753" s="8"/>
    </row>
    <row r="6754" spans="1:11" ht="15" x14ac:dyDescent="0.25">
      <c r="A6754" s="3" t="str">
        <f>HYPERLINK("proteomic_fractions_linear_files/Yang_linear_img/165932379.jpg", "165932379")</f>
        <v>165932379</v>
      </c>
      <c r="C6754" s="3" t="str">
        <f>HYPERLINK("http://www.ncbi.nlm.nih.gov/protein/165932379","Serbp1")</f>
        <v>Serbp1</v>
      </c>
      <c r="E6754" t="str">
        <f>HYPERLINK("J:\Depot - mpkCCD Fractions\Main Web Page\Web Pages_old\proteomic_fractions_linear_files/Yang_linear_img/165932379.jpg","show blot")</f>
        <v>show blot</v>
      </c>
      <c r="G6754" t="s">
        <v>6528</v>
      </c>
      <c r="I6754" s="6">
        <v>5.9959343509581311</v>
      </c>
      <c r="K6754" s="8"/>
    </row>
    <row r="6755" spans="1:11" ht="15" x14ac:dyDescent="0.25">
      <c r="A6755" s="3" t="str">
        <f>HYPERLINK("proteomic_fractions_linear_files/Yang_linear_img/165932381.jpg", "165932381")</f>
        <v>165932381</v>
      </c>
      <c r="C6755" s="3" t="str">
        <f>HYPERLINK("http://www.ncbi.nlm.nih.gov/protein/165932381","Serbp1")</f>
        <v>Serbp1</v>
      </c>
      <c r="E6755" t="str">
        <f>HYPERLINK("J:\Depot - mpkCCD Fractions\Main Web Page\Web Pages_old\proteomic_fractions_linear_files/Yang_linear_img/165932381.jpg","show blot")</f>
        <v>show blot</v>
      </c>
      <c r="G6755" t="s">
        <v>6529</v>
      </c>
      <c r="I6755" s="6">
        <v>5.9959343509581311</v>
      </c>
      <c r="K6755" s="8"/>
    </row>
    <row r="6756" spans="1:11" ht="15" x14ac:dyDescent="0.25">
      <c r="A6756" s="3" t="str">
        <f>HYPERLINK("proteomic_fractions_linear_files/Yang_linear_img/6755472.jpg", "6755472")</f>
        <v>6755472</v>
      </c>
      <c r="C6756" s="3" t="str">
        <f>HYPERLINK("http://www.ncbi.nlm.nih.gov/protein/6755472","Serf2")</f>
        <v>Serf2</v>
      </c>
      <c r="E6756" t="str">
        <f>HYPERLINK("J:\Depot - mpkCCD Fractions\Main Web Page\Web Pages_old\proteomic_fractions_linear_files/Yang_linear_img/6755472.jpg","show blot")</f>
        <v>show blot</v>
      </c>
      <c r="G6756" t="s">
        <v>6530</v>
      </c>
      <c r="I6756" s="6">
        <v>4.0235218609012309</v>
      </c>
      <c r="K6756" s="8"/>
    </row>
    <row r="6757" spans="1:11" ht="15" x14ac:dyDescent="0.25">
      <c r="A6757" s="3" t="str">
        <f>HYPERLINK("proteomic_fractions_linear_files/Yang_linear_img/13443008.jpg", "13443008")</f>
        <v>13443008</v>
      </c>
      <c r="C6757" s="3" t="str">
        <f>HYPERLINK("http://www.ncbi.nlm.nih.gov/protein/13443008","Serhl")</f>
        <v>Serhl</v>
      </c>
      <c r="E6757" t="str">
        <f>HYPERLINK("J:\Depot - mpkCCD Fractions\Main Web Page\Web Pages_old\proteomic_fractions_linear_files/Yang_linear_img/13443008.jpg","show blot")</f>
        <v>show blot</v>
      </c>
      <c r="G6757" t="s">
        <v>6531</v>
      </c>
      <c r="I6757" s="6">
        <v>5.1681448342140905</v>
      </c>
      <c r="K6757" s="8"/>
    </row>
    <row r="6758" spans="1:11" ht="15" x14ac:dyDescent="0.25">
      <c r="A6758" s="3" t="str">
        <f>HYPERLINK("proteomic_fractions_linear_files/Yang_linear_img/9790269.jpg", "9790269")</f>
        <v>9790269</v>
      </c>
      <c r="C6758" s="3" t="str">
        <f>HYPERLINK("http://www.ncbi.nlm.nih.gov/protein/9790269","Serinc1")</f>
        <v>Serinc1</v>
      </c>
      <c r="E6758" t="str">
        <f>HYPERLINK("J:\Depot - mpkCCD Fractions\Main Web Page\Web Pages_old\proteomic_fractions_linear_files/Yang_linear_img/9790269.jpg","show blot")</f>
        <v>show blot</v>
      </c>
      <c r="G6758" t="s">
        <v>6532</v>
      </c>
      <c r="I6758" s="6">
        <v>2.691460402557273</v>
      </c>
      <c r="K6758" s="8"/>
    </row>
    <row r="6759" spans="1:11" ht="15" x14ac:dyDescent="0.25">
      <c r="A6759" s="3" t="str">
        <f>HYPERLINK("proteomic_fractions_linear_files/Yang_linear_img/148277027.jpg", "148277027")</f>
        <v>148277027</v>
      </c>
      <c r="C6759" s="3" t="str">
        <f>HYPERLINK("http://www.ncbi.nlm.nih.gov/protein/148277027","Serinc2")</f>
        <v>Serinc2</v>
      </c>
      <c r="E6759" t="str">
        <f>HYPERLINK("J:\Depot - mpkCCD Fractions\Main Web Page\Web Pages_old\proteomic_fractions_linear_files/Yang_linear_img/148277027.jpg","show blot")</f>
        <v>show blot</v>
      </c>
      <c r="G6759" t="s">
        <v>6533</v>
      </c>
      <c r="I6759" s="6">
        <v>1.9045352278661245</v>
      </c>
      <c r="K6759" s="8"/>
    </row>
    <row r="6760" spans="1:11" ht="15" x14ac:dyDescent="0.25">
      <c r="A6760" s="3" t="str">
        <f>HYPERLINK("proteomic_fractions_linear_files/Yang_linear_img/358356409.jpg", "358356409")</f>
        <v>358356409</v>
      </c>
      <c r="C6760" s="3" t="str">
        <f>HYPERLINK("http://www.ncbi.nlm.nih.gov/protein/358356409","Serinc2")</f>
        <v>Serinc2</v>
      </c>
      <c r="E6760" t="str">
        <f>HYPERLINK("J:\Depot - mpkCCD Fractions\Main Web Page\Web Pages_old\proteomic_fractions_linear_files/Yang_linear_img/358356409.jpg","show blot")</f>
        <v>show blot</v>
      </c>
      <c r="G6760" t="s">
        <v>6534</v>
      </c>
      <c r="I6760" s="6">
        <v>1.9045352278661245</v>
      </c>
      <c r="K6760" s="8"/>
    </row>
    <row r="6761" spans="1:11" ht="15" x14ac:dyDescent="0.25">
      <c r="A6761" s="3" t="str">
        <f>HYPERLINK("proteomic_fractions_linear_files/Yang_linear_img/213385301.jpg", "213385301")</f>
        <v>213385301</v>
      </c>
      <c r="C6761" s="3" t="str">
        <f>HYPERLINK("http://www.ncbi.nlm.nih.gov/protein/213385301","Serinc3")</f>
        <v>Serinc3</v>
      </c>
      <c r="E6761" t="str">
        <f>HYPERLINK("J:\Depot - mpkCCD Fractions\Main Web Page\Web Pages_old\proteomic_fractions_linear_files/Yang_linear_img/213385301.jpg","show blot")</f>
        <v>show blot</v>
      </c>
      <c r="G6761" t="s">
        <v>6535</v>
      </c>
      <c r="I6761" s="6">
        <v>2.3730563108238694</v>
      </c>
      <c r="K6761" s="8"/>
    </row>
    <row r="6762" spans="1:11" ht="15" x14ac:dyDescent="0.25">
      <c r="A6762" s="3" t="str">
        <f>HYPERLINK("proteomic_fractions_linear_files/Yang_linear_img/6680856.jpg", "6680856")</f>
        <v>6680856</v>
      </c>
      <c r="C6762" s="3" t="str">
        <f>HYPERLINK("http://www.ncbi.nlm.nih.gov/protein/6680856","Serpina6")</f>
        <v>Serpina6</v>
      </c>
      <c r="E6762" t="str">
        <f>HYPERLINK("J:\Depot - mpkCCD Fractions\Main Web Page\Web Pages_old\proteomic_fractions_linear_files/Yang_linear_img/6680856.jpg","show blot")</f>
        <v>show blot</v>
      </c>
      <c r="G6762" t="s">
        <v>6536</v>
      </c>
      <c r="I6762" s="6">
        <v>5.0014622242256248</v>
      </c>
      <c r="K6762" s="8"/>
    </row>
    <row r="6763" spans="1:11" ht="15" x14ac:dyDescent="0.25">
      <c r="A6763" s="3" t="str">
        <f>HYPERLINK("proteomic_fractions_linear_files/Yang_linear_img/160333613.jpg", "160333613")</f>
        <v>160333613</v>
      </c>
      <c r="C6763" s="3" t="str">
        <f>HYPERLINK("http://www.ncbi.nlm.nih.gov/protein/160333613","Serpinb3c")</f>
        <v>Serpinb3c</v>
      </c>
      <c r="E6763" t="str">
        <f>HYPERLINK("J:\Depot - mpkCCD Fractions\Main Web Page\Web Pages_old\proteomic_fractions_linear_files/Yang_linear_img/160333613.jpg","show blot")</f>
        <v>show blot</v>
      </c>
      <c r="G6763" t="s">
        <v>6537</v>
      </c>
      <c r="I6763" s="6">
        <v>3.3259529721484329</v>
      </c>
      <c r="K6763" s="8"/>
    </row>
    <row r="6764" spans="1:11" ht="15" x14ac:dyDescent="0.25">
      <c r="A6764" s="3" t="str">
        <f>HYPERLINK("proteomic_fractions_linear_files/Yang_linear_img/6678103.jpg", "6678103")</f>
        <v>6678103</v>
      </c>
      <c r="C6764" s="3" t="str">
        <f>HYPERLINK("http://www.ncbi.nlm.nih.gov/protein/6678103","Serpinb5")</f>
        <v>Serpinb5</v>
      </c>
      <c r="E6764" t="str">
        <f>HYPERLINK("J:\Depot - mpkCCD Fractions\Main Web Page\Web Pages_old\proteomic_fractions_linear_files/Yang_linear_img/6678103.jpg","show blot")</f>
        <v>show blot</v>
      </c>
      <c r="G6764" t="s">
        <v>6538</v>
      </c>
      <c r="I6764" s="6">
        <v>4.230292264404941</v>
      </c>
      <c r="K6764" s="8"/>
    </row>
    <row r="6765" spans="1:11" ht="15" x14ac:dyDescent="0.25">
      <c r="A6765" s="3" t="str">
        <f>HYPERLINK("proteomic_fractions_linear_files/Yang_linear_img/255759941.jpg", "255759941")</f>
        <v>255759941</v>
      </c>
      <c r="C6765" s="3" t="str">
        <f>HYPERLINK("http://www.ncbi.nlm.nih.gov/protein/255759941","Serpinb6a")</f>
        <v>Serpinb6a</v>
      </c>
      <c r="E6765" t="str">
        <f>HYPERLINK("J:\Depot - mpkCCD Fractions\Main Web Page\Web Pages_old\proteomic_fractions_linear_files/Yang_linear_img/255759941.jpg","show blot")</f>
        <v>show blot</v>
      </c>
      <c r="G6765" t="s">
        <v>6539</v>
      </c>
      <c r="I6765" s="6">
        <v>6.3867521445537596</v>
      </c>
      <c r="K6765" s="8"/>
    </row>
    <row r="6766" spans="1:11" ht="15" x14ac:dyDescent="0.25">
      <c r="A6766" s="3" t="str">
        <f>HYPERLINK("proteomic_fractions_linear_files/Yang_linear_img/255759943.jpg", "255759943")</f>
        <v>255759943</v>
      </c>
      <c r="C6766" s="3" t="str">
        <f>HYPERLINK("http://www.ncbi.nlm.nih.gov/protein/255759943","Serpinb6a")</f>
        <v>Serpinb6a</v>
      </c>
      <c r="E6766" t="str">
        <f>HYPERLINK("J:\Depot - mpkCCD Fractions\Main Web Page\Web Pages_old\proteomic_fractions_linear_files/Yang_linear_img/255759943.jpg","show blot")</f>
        <v>show blot</v>
      </c>
      <c r="G6766" t="s">
        <v>6540</v>
      </c>
      <c r="I6766" s="6">
        <v>6.3867521445537596</v>
      </c>
      <c r="K6766" s="8"/>
    </row>
    <row r="6767" spans="1:11" ht="15" x14ac:dyDescent="0.25">
      <c r="A6767" s="3" t="str">
        <f>HYPERLINK("proteomic_fractions_linear_files/Yang_linear_img/15826844.jpg", "15826844")</f>
        <v>15826844</v>
      </c>
      <c r="C6767" s="3" t="str">
        <f>HYPERLINK("http://www.ncbi.nlm.nih.gov/protein/15826844","Serpinb6b")</f>
        <v>Serpinb6b</v>
      </c>
      <c r="E6767" t="str">
        <f>HYPERLINK("J:\Depot - mpkCCD Fractions\Main Web Page\Web Pages_old\proteomic_fractions_linear_files/Yang_linear_img/15826844.jpg","show blot")</f>
        <v>show blot</v>
      </c>
      <c r="G6767" t="s">
        <v>6541</v>
      </c>
      <c r="I6767" s="6">
        <v>5.5585310377384971</v>
      </c>
      <c r="K6767" s="8"/>
    </row>
    <row r="6768" spans="1:11" ht="15" x14ac:dyDescent="0.25">
      <c r="A6768" s="3" t="str">
        <f>HYPERLINK("proteomic_fractions_linear_files/Yang_linear_img/142347364.jpg", "142347364")</f>
        <v>142347364</v>
      </c>
      <c r="C6768" s="3" t="str">
        <f>HYPERLINK("http://www.ncbi.nlm.nih.gov/protein/142347364","Serpinb6c")</f>
        <v>Serpinb6c</v>
      </c>
      <c r="E6768" t="str">
        <f>HYPERLINK("J:\Depot - mpkCCD Fractions\Main Web Page\Web Pages_old\proteomic_fractions_linear_files/Yang_linear_img/142347364.jpg","show blot")</f>
        <v>show blot</v>
      </c>
      <c r="G6768" t="s">
        <v>6542</v>
      </c>
      <c r="I6768" s="6">
        <v>3.6587350087753632</v>
      </c>
      <c r="K6768" s="8"/>
    </row>
    <row r="6769" spans="1:11" ht="15" x14ac:dyDescent="0.25">
      <c r="A6769" s="3" t="str">
        <f>HYPERLINK("proteomic_fractions_linear_files/Yang_linear_img/115647930.jpg", "115647930")</f>
        <v>115647930</v>
      </c>
      <c r="C6769" s="3" t="str">
        <f>HYPERLINK("http://www.ncbi.nlm.nih.gov/protein/115647930","Serpinb6d")</f>
        <v>Serpinb6d</v>
      </c>
      <c r="E6769" t="str">
        <f>HYPERLINK("J:\Depot - mpkCCD Fractions\Main Web Page\Web Pages_old\proteomic_fractions_linear_files/Yang_linear_img/115647930.jpg","show blot")</f>
        <v>show blot</v>
      </c>
      <c r="G6769" t="s">
        <v>6543</v>
      </c>
      <c r="I6769" s="6">
        <v>4.4876793394002865</v>
      </c>
      <c r="K6769" s="8"/>
    </row>
    <row r="6770" spans="1:11" ht="15" x14ac:dyDescent="0.25">
      <c r="A6770" s="3" t="str">
        <f>HYPERLINK("proteomic_fractions_linear_files/Yang_linear_img/6678101.jpg", "6678101")</f>
        <v>6678101</v>
      </c>
      <c r="C6770" s="3" t="str">
        <f>HYPERLINK("http://www.ncbi.nlm.nih.gov/protein/6678101","Serpinb9")</f>
        <v>Serpinb9</v>
      </c>
      <c r="E6770" t="str">
        <f>HYPERLINK("J:\Depot - mpkCCD Fractions\Main Web Page\Web Pages_old\proteomic_fractions_linear_files/Yang_linear_img/6678101.jpg","show blot")</f>
        <v>show blot</v>
      </c>
      <c r="G6770" t="s">
        <v>6544</v>
      </c>
      <c r="I6770" s="6">
        <v>5.7544014857240553</v>
      </c>
      <c r="K6770" s="8"/>
    </row>
    <row r="6771" spans="1:11" ht="15" x14ac:dyDescent="0.25">
      <c r="A6771" s="3" t="str">
        <f>HYPERLINK("proteomic_fractions_linear_files/Yang_linear_img/15826842.jpg", "15826842")</f>
        <v>15826842</v>
      </c>
      <c r="C6771" s="3" t="str">
        <f>HYPERLINK("http://www.ncbi.nlm.nih.gov/protein/15826842","Serpinb9b")</f>
        <v>Serpinb9b</v>
      </c>
      <c r="E6771" t="str">
        <f>HYPERLINK("J:\Depot - mpkCCD Fractions\Main Web Page\Web Pages_old\proteomic_fractions_linear_files/Yang_linear_img/15826842.jpg","show blot")</f>
        <v>show blot</v>
      </c>
      <c r="G6771" t="s">
        <v>6545</v>
      </c>
      <c r="I6771" s="6">
        <v>4.9491072752061545</v>
      </c>
      <c r="K6771" s="8"/>
    </row>
    <row r="6772" spans="1:11" ht="15" x14ac:dyDescent="0.25">
      <c r="A6772" s="3" t="str">
        <f>HYPERLINK("proteomic_fractions_linear_files/Yang_linear_img/33468935.jpg", "33468935")</f>
        <v>33468935</v>
      </c>
      <c r="C6772" s="3" t="str">
        <f>HYPERLINK("http://www.ncbi.nlm.nih.gov/protein/33468935","Serpinb9d")</f>
        <v>Serpinb9d</v>
      </c>
      <c r="E6772" t="str">
        <f>HYPERLINK("J:\Depot - mpkCCD Fractions\Main Web Page\Web Pages_old\proteomic_fractions_linear_files/Yang_linear_img/33468935.jpg","show blot")</f>
        <v>show blot</v>
      </c>
      <c r="G6772" t="s">
        <v>6546</v>
      </c>
      <c r="I6772" s="6">
        <v>4.9717417944930595</v>
      </c>
      <c r="K6772" s="8"/>
    </row>
    <row r="6773" spans="1:11" ht="15" x14ac:dyDescent="0.25">
      <c r="A6773" s="3" t="str">
        <f>HYPERLINK("proteomic_fractions_linear_files/Yang_linear_img/15826846.jpg", "15826846")</f>
        <v>15826846</v>
      </c>
      <c r="C6773" s="3" t="str">
        <f>HYPERLINK("http://www.ncbi.nlm.nih.gov/protein/15826846","Serpinb9e")</f>
        <v>Serpinb9e</v>
      </c>
      <c r="E6773" t="str">
        <f>HYPERLINK("J:\Depot - mpkCCD Fractions\Main Web Page\Web Pages_old\proteomic_fractions_linear_files/Yang_linear_img/15826846.jpg","show blot")</f>
        <v>show blot</v>
      </c>
      <c r="G6773" t="s">
        <v>6547</v>
      </c>
      <c r="I6773" s="6">
        <v>4.9717417944930595</v>
      </c>
      <c r="K6773" s="8"/>
    </row>
    <row r="6774" spans="1:11" ht="15" x14ac:dyDescent="0.25">
      <c r="A6774" s="3" t="str">
        <f>HYPERLINK("proteomic_fractions_linear_files/Yang_linear_img/60593101.jpg", "60593101")</f>
        <v>60593101</v>
      </c>
      <c r="C6774" s="3" t="str">
        <f>HYPERLINK("http://www.ncbi.nlm.nih.gov/protein/60593101","Serpinb9f")</f>
        <v>Serpinb9f</v>
      </c>
      <c r="E6774" t="str">
        <f>HYPERLINK("J:\Depot - mpkCCD Fractions\Main Web Page\Web Pages_old\proteomic_fractions_linear_files/Yang_linear_img/60593101.jpg","show blot")</f>
        <v>show blot</v>
      </c>
      <c r="G6774" t="s">
        <v>6548</v>
      </c>
      <c r="I6774" s="6">
        <v>4.9717417944930595</v>
      </c>
      <c r="K6774" s="8"/>
    </row>
    <row r="6775" spans="1:11" ht="15" x14ac:dyDescent="0.25">
      <c r="A6775" s="3" t="str">
        <f>HYPERLINK("proteomic_fractions_linear_files/Yang_linear_img/254675225.jpg", "254675225")</f>
        <v>254675225</v>
      </c>
      <c r="C6775" s="3" t="str">
        <f>HYPERLINK("http://www.ncbi.nlm.nih.gov/protein/254675225","Serpinb9g")</f>
        <v>Serpinb9g</v>
      </c>
      <c r="E6775" t="str">
        <f>HYPERLINK("J:\Depot - mpkCCD Fractions\Main Web Page\Web Pages_old\proteomic_fractions_linear_files/Yang_linear_img/254675225.jpg","show blot")</f>
        <v>show blot</v>
      </c>
      <c r="G6775" t="s">
        <v>6549</v>
      </c>
      <c r="I6775" s="6">
        <v>4.9717417944930595</v>
      </c>
      <c r="K6775" s="8"/>
    </row>
    <row r="6776" spans="1:11" ht="15" x14ac:dyDescent="0.25">
      <c r="A6776" s="3" t="str">
        <f>HYPERLINK("proteomic_fractions_linear_files/Yang_linear_img/170172562.jpg", "170172562")</f>
        <v>170172562</v>
      </c>
      <c r="C6776" s="3" t="str">
        <f>HYPERLINK("http://www.ncbi.nlm.nih.gov/protein/170172562","Serpine1")</f>
        <v>Serpine1</v>
      </c>
      <c r="E6776" t="str">
        <f>HYPERLINK("J:\Depot - mpkCCD Fractions\Main Web Page\Web Pages_old\proteomic_fractions_linear_files/Yang_linear_img/170172562.jpg","show blot")</f>
        <v>show blot</v>
      </c>
      <c r="G6776" t="s">
        <v>6550</v>
      </c>
      <c r="I6776" s="6">
        <v>3.0261592215626134</v>
      </c>
      <c r="K6776" s="8"/>
    </row>
    <row r="6777" spans="1:11" ht="15" x14ac:dyDescent="0.25">
      <c r="A6777" s="3" t="str">
        <f>HYPERLINK("proteomic_fractions_linear_files/Yang_linear_img/161353502.jpg", "161353502")</f>
        <v>161353502</v>
      </c>
      <c r="C6777" s="3" t="str">
        <f>HYPERLINK("http://www.ncbi.nlm.nih.gov/protein/161353502","Serpinh1")</f>
        <v>Serpinh1</v>
      </c>
      <c r="E6777" t="str">
        <f>HYPERLINK("J:\Depot - mpkCCD Fractions\Main Web Page\Web Pages_old\proteomic_fractions_linear_files/Yang_linear_img/161353502.jpg","show blot")</f>
        <v>show blot</v>
      </c>
      <c r="G6777" t="s">
        <v>6551</v>
      </c>
      <c r="I6777" s="6">
        <v>5.150714699046353</v>
      </c>
      <c r="K6777" s="8"/>
    </row>
    <row r="6778" spans="1:11" ht="15" x14ac:dyDescent="0.25">
      <c r="A6778" s="3" t="str">
        <f>HYPERLINK("proteomic_fractions_linear_files/Yang_linear_img/30425210.jpg", "30425210")</f>
        <v>30425210</v>
      </c>
      <c r="C6778" s="3" t="str">
        <f>HYPERLINK("http://www.ncbi.nlm.nih.gov/protein/30425210","Sestd1")</f>
        <v>Sestd1</v>
      </c>
      <c r="E6778" t="str">
        <f>HYPERLINK("J:\Depot - mpkCCD Fractions\Main Web Page\Web Pages_old\proteomic_fractions_linear_files/Yang_linear_img/30425210.jpg","show blot")</f>
        <v>show blot</v>
      </c>
      <c r="G6778" t="s">
        <v>6552</v>
      </c>
      <c r="I6778" s="6">
        <v>5.0256407287972804</v>
      </c>
      <c r="K6778" s="8"/>
    </row>
    <row r="6779" spans="1:11" ht="15" x14ac:dyDescent="0.25">
      <c r="A6779" s="3" t="str">
        <f>HYPERLINK("proteomic_fractions_linear_files/Yang_linear_img/13591862.jpg", "13591862")</f>
        <v>13591862</v>
      </c>
      <c r="C6779" s="3" t="str">
        <f>HYPERLINK("http://www.ncbi.nlm.nih.gov/protein/13591862","Set")</f>
        <v>Set</v>
      </c>
      <c r="E6779" t="str">
        <f>HYPERLINK("J:\Depot - mpkCCD Fractions\Main Web Page\Web Pages_old\proteomic_fractions_linear_files/Yang_linear_img/13591862.jpg","show blot")</f>
        <v>show blot</v>
      </c>
      <c r="G6779" t="s">
        <v>6553</v>
      </c>
      <c r="I6779" s="6">
        <v>6.5717880339362287</v>
      </c>
      <c r="K6779" s="8"/>
    </row>
    <row r="6780" spans="1:11" ht="15" x14ac:dyDescent="0.25">
      <c r="A6780" s="3" t="str">
        <f>HYPERLINK("proteomic_fractions_linear_files/Yang_linear_img/325910859.jpg", "325910859")</f>
        <v>325910859</v>
      </c>
      <c r="C6780" s="3" t="str">
        <f>HYPERLINK("http://www.ncbi.nlm.nih.gov/protein/325910859","Set")</f>
        <v>Set</v>
      </c>
      <c r="E6780" t="str">
        <f>HYPERLINK("J:\Depot - mpkCCD Fractions\Main Web Page\Web Pages_old\proteomic_fractions_linear_files/Yang_linear_img/325910859.jpg","show blot")</f>
        <v>show blot</v>
      </c>
      <c r="G6780" t="s">
        <v>6554</v>
      </c>
      <c r="I6780" s="6">
        <v>6.5717880339362287</v>
      </c>
      <c r="K6780" s="8"/>
    </row>
    <row r="6781" spans="1:11" ht="15" x14ac:dyDescent="0.25">
      <c r="A6781" s="3" t="str">
        <f>HYPERLINK("proteomic_fractions_linear_files/Yang_linear_img/119508422.jpg", "119508422")</f>
        <v>119508422</v>
      </c>
      <c r="C6781" s="3" t="str">
        <f>HYPERLINK("http://www.ncbi.nlm.nih.gov/protein/119508422","Setd1a")</f>
        <v>Setd1a</v>
      </c>
      <c r="E6781" t="str">
        <f>HYPERLINK("J:\Depot - mpkCCD Fractions\Main Web Page\Web Pages_old\proteomic_fractions_linear_files/Yang_linear_img/119508422.jpg","show blot")</f>
        <v>show blot</v>
      </c>
      <c r="G6781" t="s">
        <v>6555</v>
      </c>
      <c r="I6781" s="6">
        <v>2.4284227443846063</v>
      </c>
      <c r="K6781" s="8"/>
    </row>
    <row r="6782" spans="1:11" ht="15" x14ac:dyDescent="0.25">
      <c r="A6782" s="3" t="str">
        <f>HYPERLINK("proteomic_fractions_linear_files/Yang_linear_img/268370088.jpg", "268370088")</f>
        <v>268370088</v>
      </c>
      <c r="C6782" s="3" t="str">
        <f>HYPERLINK("http://www.ncbi.nlm.nih.gov/protein/268370088","Setd3")</f>
        <v>Setd3</v>
      </c>
      <c r="E6782" t="str">
        <f>HYPERLINK("J:\Depot - mpkCCD Fractions\Main Web Page\Web Pages_old\proteomic_fractions_linear_files/Yang_linear_img/268370088.jpg","show blot")</f>
        <v>show blot</v>
      </c>
      <c r="G6782" t="s">
        <v>6556</v>
      </c>
      <c r="I6782" s="6">
        <v>5.2966034017171602</v>
      </c>
      <c r="K6782" s="8"/>
    </row>
    <row r="6783" spans="1:11" ht="15" x14ac:dyDescent="0.25">
      <c r="A6783" s="3" t="str">
        <f>HYPERLINK("proteomic_fractions_linear_files/Yang_linear_img/84490382.jpg", "84490382")</f>
        <v>84490382</v>
      </c>
      <c r="C6783" s="3" t="str">
        <f>HYPERLINK("http://www.ncbi.nlm.nih.gov/protein/84490382","Setd7")</f>
        <v>Setd7</v>
      </c>
      <c r="E6783" t="str">
        <f>HYPERLINK("J:\Depot - mpkCCD Fractions\Main Web Page\Web Pages_old\proteomic_fractions_linear_files/Yang_linear_img/84490382.jpg","show blot")</f>
        <v>show blot</v>
      </c>
      <c r="G6783" t="s">
        <v>6557</v>
      </c>
      <c r="I6783" s="6">
        <v>4.4046374786579152</v>
      </c>
      <c r="K6783" s="8"/>
    </row>
    <row r="6784" spans="1:11" ht="15" x14ac:dyDescent="0.25">
      <c r="A6784" s="3" t="str">
        <f>HYPERLINK("proteomic_fractions_linear_files/Yang_linear_img/113722131.jpg", "113722131")</f>
        <v>113722131</v>
      </c>
      <c r="C6784" s="3" t="str">
        <f>HYPERLINK("http://www.ncbi.nlm.nih.gov/protein/113722131","Setx")</f>
        <v>Setx</v>
      </c>
      <c r="E6784" t="str">
        <f>HYPERLINK("J:\Depot - mpkCCD Fractions\Main Web Page\Web Pages_old\proteomic_fractions_linear_files/Yang_linear_img/113722131.jpg","show blot")</f>
        <v>show blot</v>
      </c>
      <c r="G6784" t="s">
        <v>6558</v>
      </c>
      <c r="I6784" s="6">
        <v>1.7766620579187753</v>
      </c>
      <c r="K6784" s="8"/>
    </row>
    <row r="6785" spans="1:11" ht="15" x14ac:dyDescent="0.25">
      <c r="A6785" s="3" t="str">
        <f>HYPERLINK("proteomic_fractions_linear_files/Yang_linear_img/160707945.jpg", "160707945")</f>
        <v>160707945</v>
      </c>
      <c r="C6785" s="3" t="str">
        <f>HYPERLINK("http://www.ncbi.nlm.nih.gov/protein/160707945","Sf1")</f>
        <v>Sf1</v>
      </c>
      <c r="E6785" t="str">
        <f>HYPERLINK("J:\Depot - mpkCCD Fractions\Main Web Page\Web Pages_old\proteomic_fractions_linear_files/Yang_linear_img/160707945.jpg","show blot")</f>
        <v>show blot</v>
      </c>
      <c r="G6785" t="s">
        <v>6559</v>
      </c>
      <c r="I6785" s="6">
        <v>4.9070857620817412</v>
      </c>
      <c r="K6785" s="8"/>
    </row>
    <row r="6786" spans="1:11" ht="15" x14ac:dyDescent="0.25">
      <c r="A6786" s="3" t="str">
        <f>HYPERLINK("proteomic_fractions_linear_files/Yang_linear_img/160707947.jpg", "160707947")</f>
        <v>160707947</v>
      </c>
      <c r="C6786" s="3" t="str">
        <f>HYPERLINK("http://www.ncbi.nlm.nih.gov/protein/160707947","Sf1")</f>
        <v>Sf1</v>
      </c>
      <c r="E6786" t="str">
        <f>HYPERLINK("J:\Depot - mpkCCD Fractions\Main Web Page\Web Pages_old\proteomic_fractions_linear_files/Yang_linear_img/160707947.jpg","show blot")</f>
        <v>show blot</v>
      </c>
      <c r="G6786" t="s">
        <v>6560</v>
      </c>
      <c r="I6786" s="6">
        <v>4.9070857620817412</v>
      </c>
      <c r="K6786" s="8"/>
    </row>
    <row r="6787" spans="1:11" ht="15" x14ac:dyDescent="0.25">
      <c r="A6787" s="3" t="str">
        <f>HYPERLINK("proteomic_fractions_linear_files/Yang_linear_img/165932270.jpg", "165932270")</f>
        <v>165932270</v>
      </c>
      <c r="C6787" s="3" t="str">
        <f>HYPERLINK("http://www.ncbi.nlm.nih.gov/protein/165932270","Sf3a1")</f>
        <v>Sf3a1</v>
      </c>
      <c r="E6787" t="str">
        <f>HYPERLINK("J:\Depot - mpkCCD Fractions\Main Web Page\Web Pages_old\proteomic_fractions_linear_files/Yang_linear_img/165932270.jpg","show blot")</f>
        <v>show blot</v>
      </c>
      <c r="G6787" t="s">
        <v>6561</v>
      </c>
      <c r="I6787" s="6">
        <v>5.4261917457001747</v>
      </c>
      <c r="K6787" s="8"/>
    </row>
    <row r="6788" spans="1:11" ht="15" x14ac:dyDescent="0.25">
      <c r="A6788" s="3" t="str">
        <f>HYPERLINK("proteomic_fractions_linear_files/Yang_linear_img/158749553.jpg", "158749553")</f>
        <v>158749553</v>
      </c>
      <c r="C6788" s="3" t="str">
        <f>HYPERLINK("http://www.ncbi.nlm.nih.gov/protein/158749553","Sf3a2")</f>
        <v>Sf3a2</v>
      </c>
      <c r="E6788" t="str">
        <f>HYPERLINK("J:\Depot - mpkCCD Fractions\Main Web Page\Web Pages_old\proteomic_fractions_linear_files/Yang_linear_img/158749553.jpg","show blot")</f>
        <v>show blot</v>
      </c>
      <c r="G6788" t="s">
        <v>6562</v>
      </c>
      <c r="I6788" s="6">
        <v>4.4770665251706001</v>
      </c>
      <c r="K6788" s="8"/>
    </row>
    <row r="6789" spans="1:11" ht="15" x14ac:dyDescent="0.25">
      <c r="A6789" s="3" t="str">
        <f>HYPERLINK("proteomic_fractions_linear_files/Yang_linear_img/22095003.jpg", "22095003")</f>
        <v>22095003</v>
      </c>
      <c r="C6789" s="3" t="str">
        <f>HYPERLINK("http://www.ncbi.nlm.nih.gov/protein/22095003","Sf3a3")</f>
        <v>Sf3a3</v>
      </c>
      <c r="E6789" t="str">
        <f>HYPERLINK("J:\Depot - mpkCCD Fractions\Main Web Page\Web Pages_old\proteomic_fractions_linear_files/Yang_linear_img/22095003.jpg","show blot")</f>
        <v>show blot</v>
      </c>
      <c r="G6789" t="s">
        <v>6563</v>
      </c>
      <c r="I6789" s="6">
        <v>4.8435217864472682</v>
      </c>
      <c r="K6789" s="8"/>
    </row>
    <row r="6790" spans="1:11" ht="15" x14ac:dyDescent="0.25">
      <c r="A6790" s="3" t="str">
        <f>HYPERLINK("proteomic_fractions_linear_files/Yang_linear_img/153791358.jpg", "153791358")</f>
        <v>153791358</v>
      </c>
      <c r="C6790" s="3" t="str">
        <f>HYPERLINK("http://www.ncbi.nlm.nih.gov/protein/153791358","Sf3b1")</f>
        <v>Sf3b1</v>
      </c>
      <c r="E6790" t="str">
        <f>HYPERLINK("J:\Depot - mpkCCD Fractions\Main Web Page\Web Pages_old\proteomic_fractions_linear_files/Yang_linear_img/153791358.jpg","show blot")</f>
        <v>show blot</v>
      </c>
      <c r="G6790" t="s">
        <v>6564</v>
      </c>
      <c r="I6790" s="6">
        <v>5.6096651020687647</v>
      </c>
      <c r="K6790" s="8"/>
    </row>
    <row r="6791" spans="1:11" ht="15" x14ac:dyDescent="0.25">
      <c r="A6791" s="3" t="str">
        <f>HYPERLINK("proteomic_fractions_linear_files/Yang_linear_img/268837785.jpg", "268837785")</f>
        <v>268837785</v>
      </c>
      <c r="C6791" s="3" t="str">
        <f>HYPERLINK("http://www.ncbi.nlm.nih.gov/protein/268837785","Sf3b2")</f>
        <v>Sf3b2</v>
      </c>
      <c r="E6791" t="str">
        <f>HYPERLINK("J:\Depot - mpkCCD Fractions\Main Web Page\Web Pages_old\proteomic_fractions_linear_files/Yang_linear_img/268837785.jpg","show blot")</f>
        <v>show blot</v>
      </c>
      <c r="G6791" t="s">
        <v>6565</v>
      </c>
      <c r="I6791" s="6">
        <v>5.3284478601034486</v>
      </c>
      <c r="K6791" s="8"/>
    </row>
    <row r="6792" spans="1:11" ht="15" x14ac:dyDescent="0.25">
      <c r="A6792" s="3" t="str">
        <f>HYPERLINK("proteomic_fractions_linear_files/Yang_linear_img/19527174.jpg", "19527174")</f>
        <v>19527174</v>
      </c>
      <c r="C6792" s="3" t="str">
        <f>HYPERLINK("http://www.ncbi.nlm.nih.gov/protein/19527174","Sf3b3")</f>
        <v>Sf3b3</v>
      </c>
      <c r="E6792" t="str">
        <f>HYPERLINK("J:\Depot - mpkCCD Fractions\Main Web Page\Web Pages_old\proteomic_fractions_linear_files/Yang_linear_img/19527174.jpg","show blot")</f>
        <v>show blot</v>
      </c>
      <c r="G6792" t="s">
        <v>6566</v>
      </c>
      <c r="I6792" s="6">
        <v>5.834298932565777</v>
      </c>
      <c r="K6792" s="8"/>
    </row>
    <row r="6793" spans="1:11" ht="15" x14ac:dyDescent="0.25">
      <c r="A6793" s="3" t="str">
        <f>HYPERLINK("proteomic_fractions_linear_files/Yang_linear_img/23346437.jpg", "23346437")</f>
        <v>23346437</v>
      </c>
      <c r="C6793" s="3" t="str">
        <f>HYPERLINK("http://www.ncbi.nlm.nih.gov/protein/23346437","Sf3b4")</f>
        <v>Sf3b4</v>
      </c>
      <c r="E6793" t="str">
        <f>HYPERLINK("J:\Depot - mpkCCD Fractions\Main Web Page\Web Pages_old\proteomic_fractions_linear_files/Yang_linear_img/23346437.jpg","show blot")</f>
        <v>show blot</v>
      </c>
      <c r="G6793" t="s">
        <v>6567</v>
      </c>
      <c r="I6793" s="6">
        <v>3.8149955257514319</v>
      </c>
      <c r="K6793" s="8"/>
    </row>
    <row r="6794" spans="1:11" ht="15" x14ac:dyDescent="0.25">
      <c r="A6794" s="3" t="str">
        <f>HYPERLINK("proteomic_fractions_linear_files/Yang_linear_img/85540445.jpg", "85540445")</f>
        <v>85540445</v>
      </c>
      <c r="C6794" s="3" t="str">
        <f>HYPERLINK("http://www.ncbi.nlm.nih.gov/protein/85540445","Sf3b5")</f>
        <v>Sf3b5</v>
      </c>
      <c r="E6794" t="str">
        <f>HYPERLINK("J:\Depot - mpkCCD Fractions\Main Web Page\Web Pages_old\proteomic_fractions_linear_files/Yang_linear_img/85540445.jpg","show blot")</f>
        <v>show blot</v>
      </c>
      <c r="G6794" t="s">
        <v>6568</v>
      </c>
      <c r="I6794" s="6">
        <v>5.2639204411129921</v>
      </c>
      <c r="K6794" s="8"/>
    </row>
    <row r="6795" spans="1:11" ht="15" x14ac:dyDescent="0.25">
      <c r="A6795" s="3" t="str">
        <f>HYPERLINK("proteomic_fractions_linear_files/Yang_linear_img/134023662.jpg", "134023662")</f>
        <v>134023662</v>
      </c>
      <c r="C6795" s="3" t="str">
        <f>HYPERLINK("http://www.ncbi.nlm.nih.gov/protein/134023662","Sfn")</f>
        <v>Sfn</v>
      </c>
      <c r="E6795" t="str">
        <f>HYPERLINK("J:\Depot - mpkCCD Fractions\Main Web Page\Web Pages_old\proteomic_fractions_linear_files/Yang_linear_img/134023662.jpg","show blot")</f>
        <v>show blot</v>
      </c>
      <c r="G6795" t="s">
        <v>6569</v>
      </c>
      <c r="I6795" s="6">
        <v>6.9541945648594581</v>
      </c>
      <c r="K6795" s="8"/>
    </row>
    <row r="6796" spans="1:11" ht="15" x14ac:dyDescent="0.25">
      <c r="A6796" s="3" t="str">
        <f>HYPERLINK("proteomic_fractions_linear_files/Yang_linear_img/23956214.jpg", "23956214")</f>
        <v>23956214</v>
      </c>
      <c r="C6796" s="3" t="str">
        <f>HYPERLINK("http://www.ncbi.nlm.nih.gov/protein/23956214","Sfpq")</f>
        <v>Sfpq</v>
      </c>
      <c r="E6796" t="str">
        <f>HYPERLINK("J:\Depot - mpkCCD Fractions\Main Web Page\Web Pages_old\proteomic_fractions_linear_files/Yang_linear_img/23956214.jpg","show blot")</f>
        <v>show blot</v>
      </c>
      <c r="G6796" t="s">
        <v>6570</v>
      </c>
      <c r="I6796" s="6">
        <v>6.0297130138177923</v>
      </c>
      <c r="K6796" s="8"/>
    </row>
    <row r="6797" spans="1:11" ht="15" x14ac:dyDescent="0.25">
      <c r="A6797" s="3" t="str">
        <f>HYPERLINK("proteomic_fractions_linear_files/Yang_linear_img/125662573.jpg", "125662573")</f>
        <v>125662573</v>
      </c>
      <c r="C6797" s="3" t="str">
        <f>HYPERLINK("http://www.ncbi.nlm.nih.gov/protein/125662573","Sfr1")</f>
        <v>Sfr1</v>
      </c>
      <c r="E6797" t="str">
        <f>HYPERLINK("J:\Depot - mpkCCD Fractions\Main Web Page\Web Pages_old\proteomic_fractions_linear_files/Yang_linear_img/125662573.jpg","show blot")</f>
        <v>show blot</v>
      </c>
      <c r="G6797" t="s">
        <v>6571</v>
      </c>
      <c r="I6797" s="6">
        <v>4.860335339426074</v>
      </c>
      <c r="K6797" s="8"/>
    </row>
    <row r="6798" spans="1:11" ht="15" x14ac:dyDescent="0.25">
      <c r="A6798" s="3" t="str">
        <f>HYPERLINK("proteomic_fractions_linear_files/Yang_linear_img/226437597.jpg", "226437597")</f>
        <v>226437597</v>
      </c>
      <c r="C6798" s="3" t="str">
        <f>HYPERLINK("http://www.ncbi.nlm.nih.gov/protein/226437597","Sfrs18")</f>
        <v>Sfrs18</v>
      </c>
      <c r="E6798" t="str">
        <f>HYPERLINK("J:\Depot - mpkCCD Fractions\Main Web Page\Web Pages_old\proteomic_fractions_linear_files/Yang_linear_img/226437597.jpg","show blot")</f>
        <v>show blot</v>
      </c>
      <c r="G6798" t="s">
        <v>6572</v>
      </c>
      <c r="I6798" s="6">
        <v>3.4258709574434998</v>
      </c>
      <c r="K6798" s="8"/>
    </row>
    <row r="6799" spans="1:11" ht="15" x14ac:dyDescent="0.25">
      <c r="A6799" s="3" t="str">
        <f>HYPERLINK("proteomic_fractions_linear_files/Yang_linear_img/21704008.jpg", "21704008")</f>
        <v>21704008</v>
      </c>
      <c r="C6799" s="3" t="str">
        <f>HYPERLINK("http://www.ncbi.nlm.nih.gov/protein/21704008","Sft2d2")</f>
        <v>Sft2d2</v>
      </c>
      <c r="E6799" t="str">
        <f>HYPERLINK("J:\Depot - mpkCCD Fractions\Main Web Page\Web Pages_old\proteomic_fractions_linear_files/Yang_linear_img/21704008.jpg","show blot")</f>
        <v>show blot</v>
      </c>
      <c r="G6799" t="s">
        <v>6573</v>
      </c>
      <c r="I6799" s="6">
        <v>4.2799080807979921</v>
      </c>
      <c r="K6799" s="8"/>
    </row>
    <row r="6800" spans="1:11" ht="15" x14ac:dyDescent="0.25">
      <c r="A6800" s="3" t="str">
        <f>HYPERLINK("proteomic_fractions_linear_files/Yang_linear_img/242247185.jpg", "242247185")</f>
        <v>242247185</v>
      </c>
      <c r="C6800" s="3" t="str">
        <f>HYPERLINK("http://www.ncbi.nlm.nih.gov/protein/242247185","Sft2d3")</f>
        <v>Sft2d3</v>
      </c>
      <c r="E6800" t="str">
        <f>HYPERLINK("J:\Depot - mpkCCD Fractions\Main Web Page\Web Pages_old\proteomic_fractions_linear_files/Yang_linear_img/242247185.jpg","show blot")</f>
        <v>show blot</v>
      </c>
      <c r="G6800" t="s">
        <v>6574</v>
      </c>
      <c r="I6800" s="6">
        <v>3.9671275127967167</v>
      </c>
      <c r="K6800" s="8"/>
    </row>
    <row r="6801" spans="1:11" ht="15" x14ac:dyDescent="0.25">
      <c r="A6801" s="3" t="str">
        <f>HYPERLINK("proteomic_fractions_linear_files/Yang_linear_img/15147224.jpg", "15147224")</f>
        <v>15147224</v>
      </c>
      <c r="C6801" s="3" t="str">
        <f>HYPERLINK("http://www.ncbi.nlm.nih.gov/protein/15147224","Sfxn1")</f>
        <v>Sfxn1</v>
      </c>
      <c r="E6801" t="str">
        <f>HYPERLINK("J:\Depot - mpkCCD Fractions\Main Web Page\Web Pages_old\proteomic_fractions_linear_files/Yang_linear_img/15147224.jpg","show blot")</f>
        <v>show blot</v>
      </c>
      <c r="G6801" t="s">
        <v>6575</v>
      </c>
      <c r="I6801" s="6">
        <v>5.5856695518470287</v>
      </c>
      <c r="K6801" s="8"/>
    </row>
    <row r="6802" spans="1:11" ht="15" x14ac:dyDescent="0.25">
      <c r="A6802" s="3" t="str">
        <f>HYPERLINK("proteomic_fractions_linear_files/Yang_linear_img/86439984.jpg", "86439984")</f>
        <v>86439984</v>
      </c>
      <c r="C6802" s="3" t="str">
        <f>HYPERLINK("http://www.ncbi.nlm.nih.gov/protein/86439984","Sfxn2")</f>
        <v>Sfxn2</v>
      </c>
      <c r="E6802" t="str">
        <f>HYPERLINK("J:\Depot - mpkCCD Fractions\Main Web Page\Web Pages_old\proteomic_fractions_linear_files/Yang_linear_img/86439984.jpg","show blot")</f>
        <v>show blot</v>
      </c>
      <c r="G6802" t="s">
        <v>6576</v>
      </c>
      <c r="I6802" s="6">
        <v>4.1502724335728916</v>
      </c>
      <c r="K6802" s="8"/>
    </row>
    <row r="6803" spans="1:11" ht="15" x14ac:dyDescent="0.25">
      <c r="A6803" s="3" t="str">
        <f>HYPERLINK("proteomic_fractions_linear_files/Yang_linear_img/16716499.jpg", "16716499")</f>
        <v>16716499</v>
      </c>
      <c r="C6803" s="3" t="str">
        <f>HYPERLINK("http://www.ncbi.nlm.nih.gov/protein/16716499","Sfxn3")</f>
        <v>Sfxn3</v>
      </c>
      <c r="E6803" t="str">
        <f>HYPERLINK("J:\Depot - mpkCCD Fractions\Main Web Page\Web Pages_old\proteomic_fractions_linear_files/Yang_linear_img/16716499.jpg","show blot")</f>
        <v>show blot</v>
      </c>
      <c r="G6803" t="s">
        <v>6577</v>
      </c>
      <c r="I6803" s="6">
        <v>5.2836688053241838</v>
      </c>
      <c r="K6803" s="8"/>
    </row>
    <row r="6804" spans="1:11" ht="15" x14ac:dyDescent="0.25">
      <c r="A6804" s="3" t="str">
        <f>HYPERLINK("proteomic_fractions_linear_files/Yang_linear_img/295821210.jpg", "295821210")</f>
        <v>295821210</v>
      </c>
      <c r="C6804" s="3" t="str">
        <f>HYPERLINK("http://www.ncbi.nlm.nih.gov/protein/295821210","Sfxn3")</f>
        <v>Sfxn3</v>
      </c>
      <c r="E6804" t="str">
        <f>HYPERLINK("J:\Depot - mpkCCD Fractions\Main Web Page\Web Pages_old\proteomic_fractions_linear_files/Yang_linear_img/295821210.jpg","show blot")</f>
        <v>show blot</v>
      </c>
      <c r="G6804" t="s">
        <v>6578</v>
      </c>
      <c r="I6804" s="6">
        <v>5.2836688053241838</v>
      </c>
      <c r="K6804" s="8"/>
    </row>
    <row r="6805" spans="1:11" ht="15" x14ac:dyDescent="0.25">
      <c r="A6805" s="3" t="str">
        <f>HYPERLINK("proteomic_fractions_linear_files/Yang_linear_img/295821212.jpg", "295821212")</f>
        <v>295821212</v>
      </c>
      <c r="C6805" s="3" t="str">
        <f>HYPERLINK("http://www.ncbi.nlm.nih.gov/protein/295821212","Sfxn3")</f>
        <v>Sfxn3</v>
      </c>
      <c r="E6805" t="str">
        <f>HYPERLINK("J:\Depot - mpkCCD Fractions\Main Web Page\Web Pages_old\proteomic_fractions_linear_files/Yang_linear_img/295821212.jpg","show blot")</f>
        <v>show blot</v>
      </c>
      <c r="G6805" t="s">
        <v>6579</v>
      </c>
      <c r="I6805" s="6">
        <v>5.2836688053241838</v>
      </c>
      <c r="K6805" s="8"/>
    </row>
    <row r="6806" spans="1:11" ht="15" x14ac:dyDescent="0.25">
      <c r="A6806" s="3" t="str">
        <f>HYPERLINK("proteomic_fractions_linear_files/Yang_linear_img/31543694.jpg", "31543694")</f>
        <v>31543694</v>
      </c>
      <c r="C6806" s="3" t="str">
        <f>HYPERLINK("http://www.ncbi.nlm.nih.gov/protein/31543694","Sgpl1")</f>
        <v>Sgpl1</v>
      </c>
      <c r="E6806" t="str">
        <f>HYPERLINK("J:\Depot - mpkCCD Fractions\Main Web Page\Web Pages_old\proteomic_fractions_linear_files/Yang_linear_img/31543694.jpg","show blot")</f>
        <v>show blot</v>
      </c>
      <c r="G6806" t="s">
        <v>6580</v>
      </c>
      <c r="I6806" s="6">
        <v>4.7448485861406642</v>
      </c>
      <c r="K6806" s="8"/>
    </row>
    <row r="6807" spans="1:11" ht="15" x14ac:dyDescent="0.25">
      <c r="A6807" s="3" t="str">
        <f>HYPERLINK("proteomic_fractions_linear_files/Yang_linear_img/31543697.jpg", "31543697")</f>
        <v>31543697</v>
      </c>
      <c r="C6807" s="3" t="str">
        <f>HYPERLINK("http://www.ncbi.nlm.nih.gov/protein/31543697","Sgsh")</f>
        <v>Sgsh</v>
      </c>
      <c r="E6807" t="str">
        <f>HYPERLINK("J:\Depot - mpkCCD Fractions\Main Web Page\Web Pages_old\proteomic_fractions_linear_files/Yang_linear_img/31543697.jpg","show blot")</f>
        <v>show blot</v>
      </c>
      <c r="G6807" t="s">
        <v>6581</v>
      </c>
      <c r="I6807" s="6">
        <v>4.5414902086524611</v>
      </c>
      <c r="K6807" s="8"/>
    </row>
    <row r="6808" spans="1:11" ht="15" x14ac:dyDescent="0.25">
      <c r="A6808" s="3" t="str">
        <f>HYPERLINK("proteomic_fractions_linear_files/Yang_linear_img/21313588.jpg", "21313588")</f>
        <v>21313588</v>
      </c>
      <c r="C6808" s="3" t="str">
        <f>HYPERLINK("http://www.ncbi.nlm.nih.gov/protein/21313588","Sgta")</f>
        <v>Sgta</v>
      </c>
      <c r="E6808" t="str">
        <f>HYPERLINK("J:\Depot - mpkCCD Fractions\Main Web Page\Web Pages_old\proteomic_fractions_linear_files/Yang_linear_img/21313588.jpg","show blot")</f>
        <v>show blot</v>
      </c>
      <c r="G6808" t="s">
        <v>6582</v>
      </c>
      <c r="I6808" s="6">
        <v>5.9114053692743989</v>
      </c>
      <c r="K6808" s="8"/>
    </row>
    <row r="6809" spans="1:11" ht="15" x14ac:dyDescent="0.25">
      <c r="A6809" s="3" t="str">
        <f>HYPERLINK("proteomic_fractions_linear_files/Yang_linear_img/206597474.jpg", "206597474")</f>
        <v>206597474</v>
      </c>
      <c r="C6809" s="3" t="str">
        <f>HYPERLINK("http://www.ncbi.nlm.nih.gov/protein/206597474","Sh2d4a")</f>
        <v>Sh2d4a</v>
      </c>
      <c r="E6809" t="str">
        <f>HYPERLINK("J:\Depot - mpkCCD Fractions\Main Web Page\Web Pages_old\proteomic_fractions_linear_files/Yang_linear_img/206597474.jpg","show blot")</f>
        <v>show blot</v>
      </c>
      <c r="G6809" t="s">
        <v>6583</v>
      </c>
      <c r="I6809" s="6">
        <v>5.2475197210186275</v>
      </c>
      <c r="K6809" s="8"/>
    </row>
    <row r="6810" spans="1:11" ht="15" x14ac:dyDescent="0.25">
      <c r="A6810" s="3" t="str">
        <f>HYPERLINK("proteomic_fractions_linear_files/Yang_linear_img/9910548.jpg", "9910548")</f>
        <v>9910548</v>
      </c>
      <c r="C6810" s="3" t="str">
        <f>HYPERLINK("http://www.ncbi.nlm.nih.gov/protein/9910548","Sh3bgrl")</f>
        <v>Sh3bgrl</v>
      </c>
      <c r="E6810" t="str">
        <f>HYPERLINK("J:\Depot - mpkCCD Fractions\Main Web Page\Web Pages_old\proteomic_fractions_linear_files/Yang_linear_img/9910548.jpg","show blot")</f>
        <v>show blot</v>
      </c>
      <c r="G6810" t="s">
        <v>6584</v>
      </c>
      <c r="I6810" s="6">
        <v>5.2920517928370012</v>
      </c>
      <c r="K6810" s="8"/>
    </row>
    <row r="6811" spans="1:11" ht="15" x14ac:dyDescent="0.25">
      <c r="A6811" s="3" t="str">
        <f>HYPERLINK("proteomic_fractions_linear_files/Yang_linear_img/27369694.jpg", "27369694")</f>
        <v>27369694</v>
      </c>
      <c r="C6811" s="3" t="str">
        <f>HYPERLINK("http://www.ncbi.nlm.nih.gov/protein/27369694","Sh3bgrl2")</f>
        <v>Sh3bgrl2</v>
      </c>
      <c r="E6811" t="str">
        <f>HYPERLINK("J:\Depot - mpkCCD Fractions\Main Web Page\Web Pages_old\proteomic_fractions_linear_files/Yang_linear_img/27369694.jpg","show blot")</f>
        <v>show blot</v>
      </c>
      <c r="G6811" t="s">
        <v>6585</v>
      </c>
      <c r="I6811" s="6">
        <v>4.9816554360007128</v>
      </c>
      <c r="K6811" s="8"/>
    </row>
    <row r="6812" spans="1:11" ht="15" x14ac:dyDescent="0.25">
      <c r="A6812" s="3" t="str">
        <f>HYPERLINK("proteomic_fractions_linear_files/Yang_linear_img/18017602.jpg", "18017602")</f>
        <v>18017602</v>
      </c>
      <c r="C6812" s="3" t="str">
        <f>HYPERLINK("http://www.ncbi.nlm.nih.gov/protein/18017602","Sh3bgrl3")</f>
        <v>Sh3bgrl3</v>
      </c>
      <c r="E6812" t="str">
        <f>HYPERLINK("J:\Depot - mpkCCD Fractions\Main Web Page\Web Pages_old\proteomic_fractions_linear_files/Yang_linear_img/18017602.jpg","show blot")</f>
        <v>show blot</v>
      </c>
      <c r="G6812" t="s">
        <v>6586</v>
      </c>
      <c r="I6812" s="6">
        <v>5.2971785840333157</v>
      </c>
      <c r="K6812" s="8"/>
    </row>
    <row r="6813" spans="1:11" ht="15" x14ac:dyDescent="0.25">
      <c r="A6813" s="3" t="str">
        <f>HYPERLINK("proteomic_fractions_linear_files/Yang_linear_img/85838509.jpg", "85838509")</f>
        <v>85838509</v>
      </c>
      <c r="C6813" s="3" t="str">
        <f>HYPERLINK("http://www.ncbi.nlm.nih.gov/protein/85838509","Sh3bp1")</f>
        <v>Sh3bp1</v>
      </c>
      <c r="E6813" t="str">
        <f>HYPERLINK("J:\Depot - mpkCCD Fractions\Main Web Page\Web Pages_old\proteomic_fractions_linear_files/Yang_linear_img/85838509.jpg","show blot")</f>
        <v>show blot</v>
      </c>
      <c r="G6813" t="s">
        <v>6587</v>
      </c>
      <c r="I6813" s="6">
        <v>3.9093531300000057</v>
      </c>
      <c r="K6813" s="8"/>
    </row>
    <row r="6814" spans="1:11" ht="15" x14ac:dyDescent="0.25">
      <c r="A6814" s="3" t="str">
        <f>HYPERLINK("proteomic_fractions_linear_files/Yang_linear_img/19527036.jpg", "19527036")</f>
        <v>19527036</v>
      </c>
      <c r="C6814" s="3" t="str">
        <f>HYPERLINK("http://www.ncbi.nlm.nih.gov/protein/19527036","Sh3bp4")</f>
        <v>Sh3bp4</v>
      </c>
      <c r="E6814" t="str">
        <f>HYPERLINK("J:\Depot - mpkCCD Fractions\Main Web Page\Web Pages_old\proteomic_fractions_linear_files/Yang_linear_img/19527036.jpg","show blot")</f>
        <v>show blot</v>
      </c>
      <c r="G6814" t="s">
        <v>6588</v>
      </c>
      <c r="I6814" s="6">
        <v>3.4748981018099743</v>
      </c>
      <c r="K6814" s="8"/>
    </row>
    <row r="6815" spans="1:11" ht="15" x14ac:dyDescent="0.25">
      <c r="A6815" s="3" t="str">
        <f>HYPERLINK("proteomic_fractions_linear_files/Yang_linear_img/170671710.jpg", "170671710")</f>
        <v>170671710</v>
      </c>
      <c r="C6815" s="3" t="str">
        <f>HYPERLINK("http://www.ncbi.nlm.nih.gov/protein/170671710","Sh3d19")</f>
        <v>Sh3d19</v>
      </c>
      <c r="E6815" t="str">
        <f>HYPERLINK("J:\Depot - mpkCCD Fractions\Main Web Page\Web Pages_old\proteomic_fractions_linear_files/Yang_linear_img/170671710.jpg","show blot")</f>
        <v>show blot</v>
      </c>
      <c r="G6815" t="s">
        <v>6589</v>
      </c>
      <c r="I6815" s="6">
        <v>2.307496037913213</v>
      </c>
      <c r="K6815" s="8"/>
    </row>
    <row r="6816" spans="1:11" ht="15" x14ac:dyDescent="0.25">
      <c r="A6816" s="3" t="str">
        <f>HYPERLINK("proteomic_fractions_linear_files/Yang_linear_img/357197145.jpg", "357197145")</f>
        <v>357197145</v>
      </c>
      <c r="C6816" s="3" t="str">
        <f>HYPERLINK("http://www.ncbi.nlm.nih.gov/protein/357197145","Sh3gl1")</f>
        <v>Sh3gl1</v>
      </c>
      <c r="E6816" t="str">
        <f>HYPERLINK("J:\Depot - mpkCCD Fractions\Main Web Page\Web Pages_old\proteomic_fractions_linear_files/Yang_linear_img/357197145.jpg","show blot")</f>
        <v>show blot</v>
      </c>
      <c r="G6816" t="s">
        <v>6590</v>
      </c>
      <c r="I6816" s="6">
        <v>4.9257207964880489</v>
      </c>
      <c r="K6816" s="8"/>
    </row>
    <row r="6817" spans="1:11" ht="15" x14ac:dyDescent="0.25">
      <c r="A6817" s="3" t="str">
        <f>HYPERLINK("proteomic_fractions_linear_files/Yang_linear_img/7305485.jpg", "7305485")</f>
        <v>7305485</v>
      </c>
      <c r="C6817" s="3" t="str">
        <f>HYPERLINK("http://www.ncbi.nlm.nih.gov/protein/7305485","Sh3gl1")</f>
        <v>Sh3gl1</v>
      </c>
      <c r="E6817" t="str">
        <f>HYPERLINK("J:\Depot - mpkCCD Fractions\Main Web Page\Web Pages_old\proteomic_fractions_linear_files/Yang_linear_img/7305485.jpg","show blot")</f>
        <v>show blot</v>
      </c>
      <c r="G6817" t="s">
        <v>6591</v>
      </c>
      <c r="I6817" s="6">
        <v>4.9257207964880489</v>
      </c>
      <c r="K6817" s="8"/>
    </row>
    <row r="6818" spans="1:11" ht="15" x14ac:dyDescent="0.25">
      <c r="A6818" s="3" t="str">
        <f>HYPERLINK("proteomic_fractions_linear_files/Yang_linear_img/31560792.jpg", "31560792")</f>
        <v>31560792</v>
      </c>
      <c r="C6818" s="3" t="str">
        <f>HYPERLINK("http://www.ncbi.nlm.nih.gov/protein/31560792","Sh3gl2")</f>
        <v>Sh3gl2</v>
      </c>
      <c r="E6818" t="str">
        <f>HYPERLINK("J:\Depot - mpkCCD Fractions\Main Web Page\Web Pages_old\proteomic_fractions_linear_files/Yang_linear_img/31560792.jpg","show blot")</f>
        <v>show blot</v>
      </c>
      <c r="G6818" t="s">
        <v>6592</v>
      </c>
      <c r="I6818" s="6">
        <v>4.5109013865044876</v>
      </c>
      <c r="K6818" s="8"/>
    </row>
    <row r="6819" spans="1:11" ht="15" x14ac:dyDescent="0.25">
      <c r="A6819" s="3" t="str">
        <f>HYPERLINK("proteomic_fractions_linear_files/Yang_linear_img/530677952.jpg", "530677952")</f>
        <v>530677952</v>
      </c>
      <c r="C6819" s="3" t="str">
        <f>HYPERLINK("http://www.ncbi.nlm.nih.gov/protein/530677952","Sh3glb1")</f>
        <v>Sh3glb1</v>
      </c>
      <c r="E6819" t="str">
        <f>HYPERLINK("J:\Depot - mpkCCD Fractions\Main Web Page\Web Pages_old\proteomic_fractions_linear_files/Yang_linear_img/530677952.jpg","show blot")</f>
        <v>show blot</v>
      </c>
      <c r="G6819" t="s">
        <v>6593</v>
      </c>
      <c r="I6819" s="6">
        <v>5.0261770208813621</v>
      </c>
      <c r="K6819" s="8"/>
    </row>
    <row r="6820" spans="1:11" ht="15" x14ac:dyDescent="0.25">
      <c r="A6820" s="3" t="str">
        <f>HYPERLINK("proteomic_fractions_linear_files/Yang_linear_img/530677964.jpg", "530677964")</f>
        <v>530677964</v>
      </c>
      <c r="C6820" s="3" t="str">
        <f>HYPERLINK("http://www.ncbi.nlm.nih.gov/protein/530677964","Sh3glb1")</f>
        <v>Sh3glb1</v>
      </c>
      <c r="E6820" t="str">
        <f>HYPERLINK("J:\Depot - mpkCCD Fractions\Main Web Page\Web Pages_old\proteomic_fractions_linear_files/Yang_linear_img/530677964.jpg","show blot")</f>
        <v>show blot</v>
      </c>
      <c r="G6820" t="s">
        <v>6594</v>
      </c>
      <c r="I6820" s="6">
        <v>5.0261770208813621</v>
      </c>
      <c r="K6820" s="8"/>
    </row>
    <row r="6821" spans="1:11" ht="15" x14ac:dyDescent="0.25">
      <c r="A6821" s="3" t="str">
        <f>HYPERLINK("proteomic_fractions_linear_files/Yang_linear_img/9507097.jpg", "9507097")</f>
        <v>9507097</v>
      </c>
      <c r="C6821" s="3" t="str">
        <f>HYPERLINK("http://www.ncbi.nlm.nih.gov/protein/9507097","Sh3glb1")</f>
        <v>Sh3glb1</v>
      </c>
      <c r="E6821" t="str">
        <f>HYPERLINK("J:\Depot - mpkCCD Fractions\Main Web Page\Web Pages_old\proteomic_fractions_linear_files/Yang_linear_img/9507097.jpg","show blot")</f>
        <v>show blot</v>
      </c>
      <c r="G6821" t="s">
        <v>6595</v>
      </c>
      <c r="I6821" s="6">
        <v>5.0261770208813621</v>
      </c>
      <c r="K6821" s="8"/>
    </row>
    <row r="6822" spans="1:11" ht="15" x14ac:dyDescent="0.25">
      <c r="A6822" s="3" t="str">
        <f>HYPERLINK("proteomic_fractions_linear_files/Yang_linear_img/21314838.jpg", "21314838")</f>
        <v>21314838</v>
      </c>
      <c r="C6822" s="3" t="str">
        <f>HYPERLINK("http://www.ncbi.nlm.nih.gov/protein/21314838","Sh3glb2")</f>
        <v>Sh3glb2</v>
      </c>
      <c r="E6822" t="str">
        <f>HYPERLINK("J:\Depot - mpkCCD Fractions\Main Web Page\Web Pages_old\proteomic_fractions_linear_files/Yang_linear_img/21314838.jpg","show blot")</f>
        <v>show blot</v>
      </c>
      <c r="G6822" t="s">
        <v>6596</v>
      </c>
      <c r="I6822" s="6">
        <v>3.8782759010045558</v>
      </c>
      <c r="K6822" s="8"/>
    </row>
    <row r="6823" spans="1:11" ht="15" x14ac:dyDescent="0.25">
      <c r="A6823" s="3" t="str">
        <f>HYPERLINK("proteomic_fractions_linear_files/Yang_linear_img/7305487.jpg", "7305487")</f>
        <v>7305487</v>
      </c>
      <c r="C6823" s="3" t="str">
        <f>HYPERLINK("http://www.ncbi.nlm.nih.gov/protein/7305487","Sh3yl1")</f>
        <v>Sh3yl1</v>
      </c>
      <c r="E6823" t="str">
        <f>HYPERLINK("J:\Depot - mpkCCD Fractions\Main Web Page\Web Pages_old\proteomic_fractions_linear_files/Yang_linear_img/7305487.jpg","show blot")</f>
        <v>show blot</v>
      </c>
      <c r="G6823" t="s">
        <v>6597</v>
      </c>
      <c r="I6823" s="6">
        <v>4.5869945194343025</v>
      </c>
      <c r="K6823" s="8"/>
    </row>
    <row r="6824" spans="1:11" ht="15" x14ac:dyDescent="0.25">
      <c r="A6824" s="3" t="str">
        <f>HYPERLINK("proteomic_fractions_linear_files/Yang_linear_img/15778828.jpg", "15778828")</f>
        <v>15778828</v>
      </c>
      <c r="C6824" s="3" t="str">
        <f>HYPERLINK("http://www.ncbi.nlm.nih.gov/protein/15778828","Shc1")</f>
        <v>Shc1</v>
      </c>
      <c r="E6824" t="str">
        <f>HYPERLINK("J:\Depot - mpkCCD Fractions\Main Web Page\Web Pages_old\proteomic_fractions_linear_files/Yang_linear_img/15778828.jpg","show blot")</f>
        <v>show blot</v>
      </c>
      <c r="G6824" t="s">
        <v>6598</v>
      </c>
      <c r="I6824" s="6">
        <v>4.0321866077794262</v>
      </c>
      <c r="K6824" s="8"/>
    </row>
    <row r="6825" spans="1:11" ht="15" x14ac:dyDescent="0.25">
      <c r="A6825" s="3" t="str">
        <f>HYPERLINK("proteomic_fractions_linear_files/Yang_linear_img/164664522.jpg", "164664522")</f>
        <v>164664522</v>
      </c>
      <c r="C6825" s="3" t="str">
        <f>HYPERLINK("http://www.ncbi.nlm.nih.gov/protein/164664522","Shc1")</f>
        <v>Shc1</v>
      </c>
      <c r="E6825" t="str">
        <f>HYPERLINK("J:\Depot - mpkCCD Fractions\Main Web Page\Web Pages_old\proteomic_fractions_linear_files/Yang_linear_img/164664522.jpg","show blot")</f>
        <v>show blot</v>
      </c>
      <c r="G6825" t="s">
        <v>6599</v>
      </c>
      <c r="I6825" s="6">
        <v>4.0321866077794262</v>
      </c>
      <c r="K6825" s="8"/>
    </row>
    <row r="6826" spans="1:11" ht="15" x14ac:dyDescent="0.25">
      <c r="A6826" s="3" t="str">
        <f>HYPERLINK("proteomic_fractions_linear_files/Yang_linear_img/6755508.jpg", "6755508")</f>
        <v>6755508</v>
      </c>
      <c r="C6826" s="3" t="str">
        <f>HYPERLINK("http://www.ncbi.nlm.nih.gov/protein/6755508","Shcbp1")</f>
        <v>Shcbp1</v>
      </c>
      <c r="E6826" t="str">
        <f>HYPERLINK("J:\Depot - mpkCCD Fractions\Main Web Page\Web Pages_old\proteomic_fractions_linear_files/Yang_linear_img/6755508.jpg","show blot")</f>
        <v>show blot</v>
      </c>
      <c r="G6826" t="s">
        <v>6600</v>
      </c>
      <c r="I6826" s="6">
        <v>2.8935467164744253</v>
      </c>
      <c r="K6826" s="8"/>
    </row>
    <row r="6827" spans="1:11" ht="15" x14ac:dyDescent="0.25">
      <c r="A6827" s="3" t="str">
        <f>HYPERLINK("proteomic_fractions_linear_files/Yang_linear_img/21617861.jpg", "21617861")</f>
        <v>21617861</v>
      </c>
      <c r="C6827" s="3" t="str">
        <f>HYPERLINK("http://www.ncbi.nlm.nih.gov/protein/21617861","Shh")</f>
        <v>Shh</v>
      </c>
      <c r="E6827" t="str">
        <f>HYPERLINK("J:\Depot - mpkCCD Fractions\Main Web Page\Web Pages_old\proteomic_fractions_linear_files/Yang_linear_img/21617861.jpg","show blot")</f>
        <v>show blot</v>
      </c>
      <c r="G6827" t="s">
        <v>6601</v>
      </c>
      <c r="I6827" s="6">
        <v>3.602759011858538</v>
      </c>
      <c r="K6827" s="8"/>
    </row>
    <row r="6828" spans="1:11" ht="15" x14ac:dyDescent="0.25">
      <c r="A6828" s="3" t="str">
        <f>HYPERLINK("proteomic_fractions_linear_files/Yang_linear_img/291463305.jpg", "291463305")</f>
        <v>291463305</v>
      </c>
      <c r="C6828" s="3" t="str">
        <f>HYPERLINK("http://www.ncbi.nlm.nih.gov/protein/291463305","Shisa9")</f>
        <v>Shisa9</v>
      </c>
      <c r="E6828" t="str">
        <f>HYPERLINK("J:\Depot - mpkCCD Fractions\Main Web Page\Web Pages_old\proteomic_fractions_linear_files/Yang_linear_img/291463305.jpg","show blot")</f>
        <v>show blot</v>
      </c>
      <c r="G6828" t="s">
        <v>6602</v>
      </c>
      <c r="I6828" s="6">
        <v>2.3364597338485296</v>
      </c>
      <c r="K6828" s="8"/>
    </row>
    <row r="6829" spans="1:11" ht="15" x14ac:dyDescent="0.25">
      <c r="A6829" s="3" t="str">
        <f>HYPERLINK("proteomic_fractions_linear_files/Yang_linear_img/291463307.jpg", "291463307")</f>
        <v>291463307</v>
      </c>
      <c r="C6829" s="3" t="str">
        <f>HYPERLINK("http://www.ncbi.nlm.nih.gov/protein/291463307","Shisa9")</f>
        <v>Shisa9</v>
      </c>
      <c r="E6829" t="str">
        <f>HYPERLINK("J:\Depot - mpkCCD Fractions\Main Web Page\Web Pages_old\proteomic_fractions_linear_files/Yang_linear_img/291463307.jpg","show blot")</f>
        <v>show blot</v>
      </c>
      <c r="G6829" t="s">
        <v>6603</v>
      </c>
      <c r="I6829" s="6">
        <v>2.3364597338485296</v>
      </c>
      <c r="K6829" s="8"/>
    </row>
    <row r="6830" spans="1:11" ht="15" x14ac:dyDescent="0.25">
      <c r="A6830" s="3" t="str">
        <f>HYPERLINK("proteomic_fractions_linear_files/Yang_linear_img/67846103.jpg", "67846103")</f>
        <v>67846103</v>
      </c>
      <c r="C6830" s="3" t="str">
        <f>HYPERLINK("http://www.ncbi.nlm.nih.gov/protein/67846103","Shmt1")</f>
        <v>Shmt1</v>
      </c>
      <c r="E6830" t="str">
        <f>HYPERLINK("J:\Depot - mpkCCD Fractions\Main Web Page\Web Pages_old\proteomic_fractions_linear_files/Yang_linear_img/67846103.jpg","show blot")</f>
        <v>show blot</v>
      </c>
      <c r="G6830" t="s">
        <v>6604</v>
      </c>
      <c r="I6830" s="6">
        <v>5.8938905024384729</v>
      </c>
      <c r="K6830" s="8"/>
    </row>
    <row r="6831" spans="1:11" ht="15" x14ac:dyDescent="0.25">
      <c r="A6831" s="3" t="str">
        <f>HYPERLINK("proteomic_fractions_linear_files/Yang_linear_img/21312298.jpg", "21312298")</f>
        <v>21312298</v>
      </c>
      <c r="C6831" s="3" t="str">
        <f>HYPERLINK("http://www.ncbi.nlm.nih.gov/protein/21312298","Shmt2")</f>
        <v>Shmt2</v>
      </c>
      <c r="E6831" t="str">
        <f>HYPERLINK("J:\Depot - mpkCCD Fractions\Main Web Page\Web Pages_old\proteomic_fractions_linear_files/Yang_linear_img/21312298.jpg","show blot")</f>
        <v>show blot</v>
      </c>
      <c r="G6831" t="s">
        <v>6605</v>
      </c>
      <c r="I6831" s="6">
        <v>6.2748623283437528</v>
      </c>
      <c r="K6831" s="8"/>
    </row>
    <row r="6832" spans="1:11" ht="15" x14ac:dyDescent="0.25">
      <c r="A6832" s="3" t="str">
        <f>HYPERLINK("proteomic_fractions_linear_files/Yang_linear_img/356640163.jpg", "356640163")</f>
        <v>356640163</v>
      </c>
      <c r="C6832" s="3" t="str">
        <f>HYPERLINK("http://www.ncbi.nlm.nih.gov/protein/356640163","Shmt2")</f>
        <v>Shmt2</v>
      </c>
      <c r="E6832" t="str">
        <f>HYPERLINK("J:\Depot - mpkCCD Fractions\Main Web Page\Web Pages_old\proteomic_fractions_linear_files/Yang_linear_img/356640163.jpg","show blot")</f>
        <v>show blot</v>
      </c>
      <c r="G6832" t="s">
        <v>6606</v>
      </c>
      <c r="I6832" s="6">
        <v>6.2748623283437528</v>
      </c>
      <c r="K6832" s="8"/>
    </row>
    <row r="6833" spans="1:11" ht="15" x14ac:dyDescent="0.25">
      <c r="A6833" s="3" t="str">
        <f>HYPERLINK("proteomic_fractions_linear_files/Yang_linear_img/31543701.jpg", "31543701")</f>
        <v>31543701</v>
      </c>
      <c r="C6833" s="3" t="str">
        <f>HYPERLINK("http://www.ncbi.nlm.nih.gov/protein/31543701","Shoc2")</f>
        <v>Shoc2</v>
      </c>
      <c r="E6833" t="str">
        <f>HYPERLINK("J:\Depot - mpkCCD Fractions\Main Web Page\Web Pages_old\proteomic_fractions_linear_files/Yang_linear_img/31543701.jpg","show blot")</f>
        <v>show blot</v>
      </c>
      <c r="G6833" t="s">
        <v>6607</v>
      </c>
      <c r="I6833" s="6">
        <v>4.2253028054332544</v>
      </c>
      <c r="K6833" s="8"/>
    </row>
    <row r="6834" spans="1:11" ht="15" x14ac:dyDescent="0.25">
      <c r="A6834" s="3" t="str">
        <f>HYPERLINK("proteomic_fractions_linear_files/Yang_linear_img/22095001.jpg", "22095001")</f>
        <v>22095001</v>
      </c>
      <c r="C6834" s="3" t="str">
        <f>HYPERLINK("http://www.ncbi.nlm.nih.gov/protein/22095001","Shpk")</f>
        <v>Shpk</v>
      </c>
      <c r="E6834" t="str">
        <f>HYPERLINK("J:\Depot - mpkCCD Fractions\Main Web Page\Web Pages_old\proteomic_fractions_linear_files/Yang_linear_img/22095001.jpg","show blot")</f>
        <v>show blot</v>
      </c>
      <c r="G6834" t="s">
        <v>6608</v>
      </c>
      <c r="I6834" s="6">
        <v>1.9364563641622743</v>
      </c>
      <c r="K6834" s="8"/>
    </row>
    <row r="6835" spans="1:11" ht="15" x14ac:dyDescent="0.25">
      <c r="A6835" s="3" t="str">
        <f>HYPERLINK("proteomic_fractions_linear_files/Yang_linear_img/166998470.jpg", "166998470")</f>
        <v>166998470</v>
      </c>
      <c r="C6835" s="3" t="str">
        <f>HYPERLINK("http://www.ncbi.nlm.nih.gov/protein/166998470","Shq1")</f>
        <v>Shq1</v>
      </c>
      <c r="E6835" t="str">
        <f>HYPERLINK("J:\Depot - mpkCCD Fractions\Main Web Page\Web Pages_old\proteomic_fractions_linear_files/Yang_linear_img/166998470.jpg","show blot")</f>
        <v>show blot</v>
      </c>
      <c r="G6835" t="s">
        <v>6609</v>
      </c>
      <c r="I6835" s="6">
        <v>3.5167838487423464</v>
      </c>
      <c r="K6835" s="8"/>
    </row>
    <row r="6836" spans="1:11" ht="15" x14ac:dyDescent="0.25">
      <c r="A6836" s="3" t="str">
        <f>HYPERLINK("proteomic_fractions_linear_files/Yang_linear_img/94818779.jpg", "94818779")</f>
        <v>94818779</v>
      </c>
      <c r="C6836" s="3" t="str">
        <f>HYPERLINK("http://www.ncbi.nlm.nih.gov/protein/94818779","Shroom4")</f>
        <v>Shroom4</v>
      </c>
      <c r="E6836" t="str">
        <f>HYPERLINK("J:\Depot - mpkCCD Fractions\Main Web Page\Web Pages_old\proteomic_fractions_linear_files/Yang_linear_img/94818779.jpg","show blot")</f>
        <v>show blot</v>
      </c>
      <c r="G6836" t="s">
        <v>6610</v>
      </c>
      <c r="I6836" s="6">
        <v>1.3803222434967224</v>
      </c>
      <c r="K6836" s="8"/>
    </row>
    <row r="6837" spans="1:11" ht="15" x14ac:dyDescent="0.25">
      <c r="A6837" s="3" t="str">
        <f>HYPERLINK("proteomic_fractions_linear_files/Yang_linear_img/31560532.jpg", "31560532")</f>
        <v>31560532</v>
      </c>
      <c r="C6837" s="3" t="str">
        <f>HYPERLINK("http://www.ncbi.nlm.nih.gov/protein/31560532","Siae")</f>
        <v>Siae</v>
      </c>
      <c r="E6837" t="str">
        <f>HYPERLINK("J:\Depot - mpkCCD Fractions\Main Web Page\Web Pages_old\proteomic_fractions_linear_files/Yang_linear_img/31560532.jpg","show blot")</f>
        <v>show blot</v>
      </c>
      <c r="G6837" t="s">
        <v>6611</v>
      </c>
      <c r="I6837" s="6">
        <v>4.8673578749014688</v>
      </c>
      <c r="K6837" s="8"/>
    </row>
    <row r="6838" spans="1:11" ht="15" x14ac:dyDescent="0.25">
      <c r="A6838" s="3" t="str">
        <f>HYPERLINK("proteomic_fractions_linear_files/Yang_linear_img/26986551.jpg", "26986551")</f>
        <v>26986551</v>
      </c>
      <c r="C6838" s="3" t="str">
        <f>HYPERLINK("http://www.ncbi.nlm.nih.gov/protein/26986551","Sidt2")</f>
        <v>Sidt2</v>
      </c>
      <c r="E6838" t="str">
        <f>HYPERLINK("J:\Depot - mpkCCD Fractions\Main Web Page\Web Pages_old\proteomic_fractions_linear_files/Yang_linear_img/26986551.jpg","show blot")</f>
        <v>show blot</v>
      </c>
      <c r="G6838" t="s">
        <v>6612</v>
      </c>
      <c r="I6838" s="6">
        <v>3.1084138408984292</v>
      </c>
      <c r="K6838" s="8"/>
    </row>
    <row r="6839" spans="1:11" ht="15" x14ac:dyDescent="0.25">
      <c r="A6839" s="3" t="str">
        <f>HYPERLINK("proteomic_fractions_linear_files/Yang_linear_img/134032002.jpg", "134032002")</f>
        <v>134032002</v>
      </c>
      <c r="C6839" s="3" t="str">
        <f>HYPERLINK("http://www.ncbi.nlm.nih.gov/protein/134032002","Siglece")</f>
        <v>Siglece</v>
      </c>
      <c r="E6839" t="str">
        <f>HYPERLINK("J:\Depot - mpkCCD Fractions\Main Web Page\Web Pages_old\proteomic_fractions_linear_files/Yang_linear_img/134032002.jpg","show blot")</f>
        <v>show blot</v>
      </c>
      <c r="G6839" t="s">
        <v>6613</v>
      </c>
      <c r="I6839" s="6">
        <v>4.0209577855645726</v>
      </c>
      <c r="K6839" s="8"/>
    </row>
    <row r="6840" spans="1:11" ht="15" x14ac:dyDescent="0.25">
      <c r="A6840" s="3" t="str">
        <f>HYPERLINK("proteomic_fractions_linear_files/Yang_linear_img/13385140.jpg", "13385140")</f>
        <v>13385140</v>
      </c>
      <c r="C6840" s="3" t="str">
        <f>HYPERLINK("http://www.ncbi.nlm.nih.gov/protein/13385140","Sike1")</f>
        <v>Sike1</v>
      </c>
      <c r="E6840" t="str">
        <f>HYPERLINK("J:\Depot - mpkCCD Fractions\Main Web Page\Web Pages_old\proteomic_fractions_linear_files/Yang_linear_img/13385140.jpg","show blot")</f>
        <v>show blot</v>
      </c>
      <c r="G6840" t="s">
        <v>6614</v>
      </c>
      <c r="I6840" s="6">
        <v>2.6802387129146554</v>
      </c>
      <c r="K6840" s="8"/>
    </row>
    <row r="6841" spans="1:11" ht="15" x14ac:dyDescent="0.25">
      <c r="A6841" s="3" t="str">
        <f>HYPERLINK("proteomic_fractions_linear_files/Yang_linear_img/257196264.jpg", "257196264")</f>
        <v>257196264</v>
      </c>
      <c r="C6841" s="3" t="str">
        <f>HYPERLINK("http://www.ncbi.nlm.nih.gov/protein/257196264","Sil1")</f>
        <v>Sil1</v>
      </c>
      <c r="E6841" t="str">
        <f>HYPERLINK("J:\Depot - mpkCCD Fractions\Main Web Page\Web Pages_old\proteomic_fractions_linear_files/Yang_linear_img/257196264.jpg","show blot")</f>
        <v>show blot</v>
      </c>
      <c r="G6841" t="s">
        <v>6615</v>
      </c>
      <c r="I6841" s="6">
        <v>2.6092893183003278</v>
      </c>
      <c r="K6841" s="8"/>
    </row>
    <row r="6842" spans="1:11" ht="15" x14ac:dyDescent="0.25">
      <c r="A6842" s="3" t="str">
        <f>HYPERLINK("proteomic_fractions_linear_files/Yang_linear_img/160333357.jpg", "160333357")</f>
        <v>160333357</v>
      </c>
      <c r="C6842" s="3" t="str">
        <f>HYPERLINK("http://www.ncbi.nlm.nih.gov/protein/160333357","Sin3a")</f>
        <v>Sin3a</v>
      </c>
      <c r="E6842" t="str">
        <f>HYPERLINK("J:\Depot - mpkCCD Fractions\Main Web Page\Web Pages_old\proteomic_fractions_linear_files/Yang_linear_img/160333357.jpg","show blot")</f>
        <v>show blot</v>
      </c>
      <c r="G6842" t="s">
        <v>6616</v>
      </c>
      <c r="I6842" s="6">
        <v>2.1926042492515134</v>
      </c>
      <c r="K6842" s="8"/>
    </row>
    <row r="6843" spans="1:11" ht="15" x14ac:dyDescent="0.25">
      <c r="A6843" s="3" t="str">
        <f>HYPERLINK("proteomic_fractions_linear_files/Yang_linear_img/160333360.jpg", "160333360")</f>
        <v>160333360</v>
      </c>
      <c r="C6843" s="3" t="str">
        <f>HYPERLINK("http://www.ncbi.nlm.nih.gov/protein/160333360","Sin3a")</f>
        <v>Sin3a</v>
      </c>
      <c r="E6843" t="str">
        <f>HYPERLINK("J:\Depot - mpkCCD Fractions\Main Web Page\Web Pages_old\proteomic_fractions_linear_files/Yang_linear_img/160333360.jpg","show blot")</f>
        <v>show blot</v>
      </c>
      <c r="G6843" t="s">
        <v>6617</v>
      </c>
      <c r="I6843" s="6">
        <v>2.1926042492515134</v>
      </c>
      <c r="K6843" s="8"/>
    </row>
    <row r="6844" spans="1:11" ht="15" x14ac:dyDescent="0.25">
      <c r="A6844" s="3" t="str">
        <f>HYPERLINK("proteomic_fractions_linear_files/Yang_linear_img/227430309.jpg", "227430309")</f>
        <v>227430309</v>
      </c>
      <c r="C6844" s="3" t="str">
        <f>HYPERLINK("http://www.ncbi.nlm.nih.gov/protein/227430309","Sirt1")</f>
        <v>Sirt1</v>
      </c>
      <c r="E6844" t="str">
        <f>HYPERLINK("J:\Depot - mpkCCD Fractions\Main Web Page\Web Pages_old\proteomic_fractions_linear_files/Yang_linear_img/227430309.jpg","show blot")</f>
        <v>show blot</v>
      </c>
      <c r="G6844" t="s">
        <v>6618</v>
      </c>
      <c r="I6844" s="6">
        <v>3.4444541853550064</v>
      </c>
      <c r="K6844" s="8"/>
    </row>
    <row r="6845" spans="1:11" ht="15" x14ac:dyDescent="0.25">
      <c r="A6845" s="3" t="str">
        <f>HYPERLINK("proteomic_fractions_linear_files/Yang_linear_img/9790229.jpg", "9790229")</f>
        <v>9790229</v>
      </c>
      <c r="C6845" s="3" t="str">
        <f>HYPERLINK("http://www.ncbi.nlm.nih.gov/protein/9790229","Sirt1")</f>
        <v>Sirt1</v>
      </c>
      <c r="E6845" t="str">
        <f>HYPERLINK("J:\Depot - mpkCCD Fractions\Main Web Page\Web Pages_old\proteomic_fractions_linear_files/Yang_linear_img/9790229.jpg","show blot")</f>
        <v>show blot</v>
      </c>
      <c r="G6845" t="s">
        <v>6619</v>
      </c>
      <c r="I6845" s="6">
        <v>3.4444541853550064</v>
      </c>
      <c r="K6845" s="8"/>
    </row>
    <row r="6846" spans="1:11" ht="15" x14ac:dyDescent="0.25">
      <c r="A6846" s="3" t="str">
        <f>HYPERLINK("proteomic_fractions_linear_files/Yang_linear_img/170650630.jpg", "170650630")</f>
        <v>170650630</v>
      </c>
      <c r="C6846" s="3" t="str">
        <f>HYPERLINK("http://www.ncbi.nlm.nih.gov/protein/170650630","Sirt2")</f>
        <v>Sirt2</v>
      </c>
      <c r="E6846" t="str">
        <f>HYPERLINK("J:\Depot - mpkCCD Fractions\Main Web Page\Web Pages_old\proteomic_fractions_linear_files/Yang_linear_img/170650630.jpg","show blot")</f>
        <v>show blot</v>
      </c>
      <c r="G6846" t="s">
        <v>6620</v>
      </c>
      <c r="I6846" s="6">
        <v>4.7110745290802321</v>
      </c>
      <c r="K6846" s="8"/>
    </row>
    <row r="6847" spans="1:11" ht="15" x14ac:dyDescent="0.25">
      <c r="A6847" s="3" t="str">
        <f>HYPERLINK("proteomic_fractions_linear_files/Yang_linear_img/170650632.jpg", "170650632")</f>
        <v>170650632</v>
      </c>
      <c r="C6847" s="3" t="str">
        <f>HYPERLINK("http://www.ncbi.nlm.nih.gov/protein/170650632","Sirt2")</f>
        <v>Sirt2</v>
      </c>
      <c r="E6847" t="str">
        <f>HYPERLINK("J:\Depot - mpkCCD Fractions\Main Web Page\Web Pages_old\proteomic_fractions_linear_files/Yang_linear_img/170650632.jpg","show blot")</f>
        <v>show blot</v>
      </c>
      <c r="G6847" t="s">
        <v>6621</v>
      </c>
      <c r="I6847" s="6">
        <v>4.7110745290802321</v>
      </c>
      <c r="K6847" s="8"/>
    </row>
    <row r="6848" spans="1:11" ht="15" x14ac:dyDescent="0.25">
      <c r="A6848" s="3" t="str">
        <f>HYPERLINK("proteomic_fractions_linear_files/Yang_linear_img/170650634.jpg", "170650634")</f>
        <v>170650634</v>
      </c>
      <c r="C6848" s="3" t="str">
        <f>HYPERLINK("http://www.ncbi.nlm.nih.gov/protein/170650634","Sirt2")</f>
        <v>Sirt2</v>
      </c>
      <c r="E6848" t="str">
        <f>HYPERLINK("J:\Depot - mpkCCD Fractions\Main Web Page\Web Pages_old\proteomic_fractions_linear_files/Yang_linear_img/170650634.jpg","show blot")</f>
        <v>show blot</v>
      </c>
      <c r="G6848" t="s">
        <v>6622</v>
      </c>
      <c r="I6848" s="6">
        <v>4.7110745290802321</v>
      </c>
      <c r="K6848" s="8"/>
    </row>
    <row r="6849" spans="1:11" ht="15" x14ac:dyDescent="0.25">
      <c r="A6849" s="3" t="str">
        <f>HYPERLINK("proteomic_fractions_linear_files/Yang_linear_img/267844847.jpg", "267844847")</f>
        <v>267844847</v>
      </c>
      <c r="C6849" s="3" t="str">
        <f>HYPERLINK("http://www.ncbi.nlm.nih.gov/protein/267844847","Sirt4")</f>
        <v>Sirt4</v>
      </c>
      <c r="E6849" t="str">
        <f>HYPERLINK("J:\Depot - mpkCCD Fractions\Main Web Page\Web Pages_old\proteomic_fractions_linear_files/Yang_linear_img/267844847.jpg","show blot")</f>
        <v>show blot</v>
      </c>
      <c r="G6849" t="s">
        <v>6623</v>
      </c>
      <c r="I6849" s="6">
        <v>2.7420010534191244</v>
      </c>
      <c r="K6849" s="8"/>
    </row>
    <row r="6850" spans="1:11" ht="15" x14ac:dyDescent="0.25">
      <c r="A6850" s="3" t="str">
        <f>HYPERLINK("proteomic_fractions_linear_files/Yang_linear_img/30578432.jpg", "30578432")</f>
        <v>30578432</v>
      </c>
      <c r="C6850" s="3" t="str">
        <f>HYPERLINK("http://www.ncbi.nlm.nih.gov/protein/30578432","Sirt5")</f>
        <v>Sirt5</v>
      </c>
      <c r="E6850" t="str">
        <f>HYPERLINK("J:\Depot - mpkCCD Fractions\Main Web Page\Web Pages_old\proteomic_fractions_linear_files/Yang_linear_img/30578432.jpg","show blot")</f>
        <v>show blot</v>
      </c>
      <c r="G6850" t="s">
        <v>6624</v>
      </c>
      <c r="I6850" s="6">
        <v>4.0184372665867949</v>
      </c>
      <c r="K6850" s="8"/>
    </row>
    <row r="6851" spans="1:11" ht="15" x14ac:dyDescent="0.25">
      <c r="A6851" s="3" t="str">
        <f>HYPERLINK("proteomic_fractions_linear_files/Yang_linear_img/254939656.jpg", "254939656")</f>
        <v>254939656</v>
      </c>
      <c r="C6851" s="3" t="str">
        <f>HYPERLINK("http://www.ncbi.nlm.nih.gov/protein/254939656","Sirt6")</f>
        <v>Sirt6</v>
      </c>
      <c r="E6851" t="str">
        <f>HYPERLINK("J:\Depot - mpkCCD Fractions\Main Web Page\Web Pages_old\proteomic_fractions_linear_files/Yang_linear_img/254939656.jpg","show blot")</f>
        <v>show blot</v>
      </c>
      <c r="G6851" t="s">
        <v>6625</v>
      </c>
      <c r="I6851" s="6">
        <v>2.7587463522847044</v>
      </c>
      <c r="K6851" s="8"/>
    </row>
    <row r="6852" spans="1:11" ht="15" x14ac:dyDescent="0.25">
      <c r="A6852" s="3" t="str">
        <f>HYPERLINK("proteomic_fractions_linear_files/Yang_linear_img/31712018.jpg", "31712018")</f>
        <v>31712018</v>
      </c>
      <c r="C6852" s="3" t="str">
        <f>HYPERLINK("http://www.ncbi.nlm.nih.gov/protein/31712018","Sirt6")</f>
        <v>Sirt6</v>
      </c>
      <c r="E6852" t="str">
        <f>HYPERLINK("J:\Depot - mpkCCD Fractions\Main Web Page\Web Pages_old\proteomic_fractions_linear_files/Yang_linear_img/31712018.jpg","show blot")</f>
        <v>show blot</v>
      </c>
      <c r="G6852" t="s">
        <v>6626</v>
      </c>
      <c r="I6852" s="6">
        <v>2.7587463522847044</v>
      </c>
      <c r="K6852" s="8"/>
    </row>
    <row r="6853" spans="1:11" ht="15" x14ac:dyDescent="0.25">
      <c r="A6853" s="3" t="str">
        <f>HYPERLINK("proteomic_fractions_linear_files/Yang_linear_img/240120126.jpg", "240120126")</f>
        <v>240120126</v>
      </c>
      <c r="C6853" s="3" t="str">
        <f>HYPERLINK("http://www.ncbi.nlm.nih.gov/protein/240120126","Siva1")</f>
        <v>Siva1</v>
      </c>
      <c r="E6853" t="str">
        <f>HYPERLINK("J:\Depot - mpkCCD Fractions\Main Web Page\Web Pages_old\proteomic_fractions_linear_files/Yang_linear_img/240120126.jpg","show blot")</f>
        <v>show blot</v>
      </c>
      <c r="G6853" t="s">
        <v>6627</v>
      </c>
      <c r="I6853" s="6">
        <v>4.4820103532548634</v>
      </c>
      <c r="K6853" s="8"/>
    </row>
    <row r="6854" spans="1:11" ht="15" x14ac:dyDescent="0.25">
      <c r="A6854" s="3" t="str">
        <f>HYPERLINK("proteomic_fractions_linear_files/Yang_linear_img/240120128.jpg", "240120128")</f>
        <v>240120128</v>
      </c>
      <c r="C6854" s="3" t="str">
        <f>HYPERLINK("http://www.ncbi.nlm.nih.gov/protein/240120128","Siva1")</f>
        <v>Siva1</v>
      </c>
      <c r="E6854" t="str">
        <f>HYPERLINK("J:\Depot - mpkCCD Fractions\Main Web Page\Web Pages_old\proteomic_fractions_linear_files/Yang_linear_img/240120128.jpg","show blot")</f>
        <v>show blot</v>
      </c>
      <c r="G6854" t="s">
        <v>6628</v>
      </c>
      <c r="I6854" s="6">
        <v>4.4820103532548634</v>
      </c>
      <c r="K6854" s="8"/>
    </row>
    <row r="6855" spans="1:11" ht="15" x14ac:dyDescent="0.25">
      <c r="A6855" s="3" t="str">
        <f>HYPERLINK("proteomic_fractions_linear_files/Yang_linear_img/87252727.jpg", "87252727")</f>
        <v>87252727</v>
      </c>
      <c r="C6855" s="3" t="str">
        <f>HYPERLINK("http://www.ncbi.nlm.nih.gov/protein/87252727","Skiv2l")</f>
        <v>Skiv2l</v>
      </c>
      <c r="E6855" t="str">
        <f>HYPERLINK("J:\Depot - mpkCCD Fractions\Main Web Page\Web Pages_old\proteomic_fractions_linear_files/Yang_linear_img/87252727.jpg","show blot")</f>
        <v>show blot</v>
      </c>
      <c r="G6855" t="s">
        <v>6629</v>
      </c>
      <c r="I6855" s="6">
        <v>3.5374709920891059</v>
      </c>
      <c r="K6855" s="8"/>
    </row>
    <row r="6856" spans="1:11" ht="15" x14ac:dyDescent="0.25">
      <c r="A6856" s="3" t="str">
        <f>HYPERLINK("proteomic_fractions_linear_files/Yang_linear_img/21312352.jpg", "21312352")</f>
        <v>21312352</v>
      </c>
      <c r="C6856" s="3" t="str">
        <f>HYPERLINK("http://www.ncbi.nlm.nih.gov/protein/21312352","Skiv2l2")</f>
        <v>Skiv2l2</v>
      </c>
      <c r="E6856" t="str">
        <f>HYPERLINK("J:\Depot - mpkCCD Fractions\Main Web Page\Web Pages_old\proteomic_fractions_linear_files/Yang_linear_img/21312352.jpg","show blot")</f>
        <v>show blot</v>
      </c>
      <c r="G6856" t="s">
        <v>6630</v>
      </c>
      <c r="I6856" s="6">
        <v>4.7643203545101622</v>
      </c>
      <c r="K6856" s="8"/>
    </row>
    <row r="6857" spans="1:11" ht="15" x14ac:dyDescent="0.25">
      <c r="A6857" s="3" t="str">
        <f>HYPERLINK("proteomic_fractions_linear_files/Yang_linear_img/158854016.jpg", "158854016")</f>
        <v>158854016</v>
      </c>
      <c r="C6857" s="3" t="str">
        <f>HYPERLINK("http://www.ncbi.nlm.nih.gov/protein/158854016","Skp1a")</f>
        <v>Skp1a</v>
      </c>
      <c r="E6857" t="str">
        <f>HYPERLINK("J:\Depot - mpkCCD Fractions\Main Web Page\Web Pages_old\proteomic_fractions_linear_files/Yang_linear_img/158854016.jpg","show blot")</f>
        <v>show blot</v>
      </c>
      <c r="G6857" t="s">
        <v>6631</v>
      </c>
      <c r="I6857" s="6">
        <v>5.9680956905445743</v>
      </c>
      <c r="K6857" s="8"/>
    </row>
    <row r="6858" spans="1:11" ht="15" x14ac:dyDescent="0.25">
      <c r="A6858" s="3" t="str">
        <f>HYPERLINK("proteomic_fractions_linear_files/Yang_linear_img/371119693.jpg", "371119693")</f>
        <v>371119693</v>
      </c>
      <c r="C6858" s="3" t="str">
        <f>HYPERLINK("http://www.ncbi.nlm.nih.gov/protein/371119693","Slc10a3")</f>
        <v>Slc10a3</v>
      </c>
      <c r="E6858" t="str">
        <f>HYPERLINK("J:\Depot - mpkCCD Fractions\Main Web Page\Web Pages_old\proteomic_fractions_linear_files/Yang_linear_img/371119693.jpg","show blot")</f>
        <v>show blot</v>
      </c>
      <c r="G6858" t="s">
        <v>6632</v>
      </c>
      <c r="I6858" s="6">
        <v>3.8062699224811185</v>
      </c>
      <c r="K6858" s="8"/>
    </row>
    <row r="6859" spans="1:11" ht="15" x14ac:dyDescent="0.25">
      <c r="A6859" s="3" t="str">
        <f>HYPERLINK("proteomic_fractions_linear_files/Yang_linear_img/119226231.jpg", "119226231")</f>
        <v>119226231</v>
      </c>
      <c r="C6859" s="3" t="str">
        <f>HYPERLINK("http://www.ncbi.nlm.nih.gov/protein/119226231","Slc12a1")</f>
        <v>Slc12a1</v>
      </c>
      <c r="E6859" t="str">
        <f>HYPERLINK("J:\Depot - mpkCCD Fractions\Main Web Page\Web Pages_old\proteomic_fractions_linear_files/Yang_linear_img/119226231.jpg","show blot")</f>
        <v>show blot</v>
      </c>
      <c r="G6859" t="s">
        <v>6633</v>
      </c>
      <c r="I6859" s="6">
        <v>2.9152590932578977</v>
      </c>
      <c r="K6859" s="8"/>
    </row>
    <row r="6860" spans="1:11" ht="15" x14ac:dyDescent="0.25">
      <c r="A6860" s="3" t="str">
        <f>HYPERLINK("proteomic_fractions_linear_files/Yang_linear_img/119226233.jpg", "119226233")</f>
        <v>119226233</v>
      </c>
      <c r="C6860" s="3" t="str">
        <f>HYPERLINK("http://www.ncbi.nlm.nih.gov/protein/119226233","Slc12a1")</f>
        <v>Slc12a1</v>
      </c>
      <c r="E6860" t="str">
        <f>HYPERLINK("J:\Depot - mpkCCD Fractions\Main Web Page\Web Pages_old\proteomic_fractions_linear_files/Yang_linear_img/119226233.jpg","show blot")</f>
        <v>show blot</v>
      </c>
      <c r="G6860" t="s">
        <v>6634</v>
      </c>
      <c r="I6860" s="6">
        <v>2.9152590932578977</v>
      </c>
      <c r="K6860" s="8"/>
    </row>
    <row r="6861" spans="1:11" ht="15" x14ac:dyDescent="0.25">
      <c r="A6861" s="3" t="str">
        <f>HYPERLINK("proteomic_fractions_linear_files/Yang_linear_img/124517716.jpg", "124517716")</f>
        <v>124517716</v>
      </c>
      <c r="C6861" s="3" t="str">
        <f>HYPERLINK("http://www.ncbi.nlm.nih.gov/protein/124517716","Slc12a2")</f>
        <v>Slc12a2</v>
      </c>
      <c r="E6861" t="str">
        <f>HYPERLINK("J:\Depot - mpkCCD Fractions\Main Web Page\Web Pages_old\proteomic_fractions_linear_files/Yang_linear_img/124517716.jpg","show blot")</f>
        <v>show blot</v>
      </c>
      <c r="G6861" t="s">
        <v>6635</v>
      </c>
      <c r="I6861" s="6">
        <v>4.3059426351661552</v>
      </c>
      <c r="K6861" s="8"/>
    </row>
    <row r="6862" spans="1:11" ht="15" x14ac:dyDescent="0.25">
      <c r="A6862" s="3" t="str">
        <f>HYPERLINK("proteomic_fractions_linear_files/Yang_linear_img/6755534.jpg", "6755534")</f>
        <v>6755534</v>
      </c>
      <c r="C6862" s="3" t="str">
        <f>HYPERLINK("http://www.ncbi.nlm.nih.gov/protein/6755534","Slc12a7")</f>
        <v>Slc12a7</v>
      </c>
      <c r="E6862" t="str">
        <f>HYPERLINK("J:\Depot - mpkCCD Fractions\Main Web Page\Web Pages_old\proteomic_fractions_linear_files/Yang_linear_img/6755534.jpg","show blot")</f>
        <v>show blot</v>
      </c>
      <c r="G6862" t="s">
        <v>6636</v>
      </c>
      <c r="I6862" s="6">
        <v>3.6660194171679978</v>
      </c>
      <c r="K6862" s="8"/>
    </row>
    <row r="6863" spans="1:11" ht="15" x14ac:dyDescent="0.25">
      <c r="A6863" s="3" t="str">
        <f>HYPERLINK("proteomic_fractions_linear_files/Yang_linear_img/281371456.jpg", "281371456")</f>
        <v>281371456</v>
      </c>
      <c r="C6863" s="3" t="str">
        <f>HYPERLINK("http://www.ncbi.nlm.nih.gov/protein/281371456","Slc12a9")</f>
        <v>Slc12a9</v>
      </c>
      <c r="E6863" t="str">
        <f>HYPERLINK("J:\Depot - mpkCCD Fractions\Main Web Page\Web Pages_old\proteomic_fractions_linear_files/Yang_linear_img/281371456.jpg","show blot")</f>
        <v>show blot</v>
      </c>
      <c r="G6863" t="s">
        <v>6637</v>
      </c>
      <c r="I6863" s="6">
        <v>3.5717159743181286</v>
      </c>
      <c r="K6863" s="8"/>
    </row>
    <row r="6864" spans="1:11" ht="15" x14ac:dyDescent="0.25">
      <c r="A6864" s="3" t="str">
        <f>HYPERLINK("proteomic_fractions_linear_files/Yang_linear_img/19527112.jpg", "19527112")</f>
        <v>19527112</v>
      </c>
      <c r="C6864" s="3" t="str">
        <f>HYPERLINK("http://www.ncbi.nlm.nih.gov/protein/19527112","Slc15a4")</f>
        <v>Slc15a4</v>
      </c>
      <c r="E6864" t="str">
        <f>HYPERLINK("J:\Depot - mpkCCD Fractions\Main Web Page\Web Pages_old\proteomic_fractions_linear_files/Yang_linear_img/19527112.jpg","show blot")</f>
        <v>show blot</v>
      </c>
      <c r="G6864" t="s">
        <v>6638</v>
      </c>
      <c r="I6864" s="6">
        <v>1.4535622565487554</v>
      </c>
      <c r="K6864" s="8"/>
    </row>
    <row r="6865" spans="1:11" ht="15" x14ac:dyDescent="0.25">
      <c r="A6865" s="3" t="str">
        <f>HYPERLINK("proteomic_fractions_linear_files/Yang_linear_img/6677995.jpg", "6677995")</f>
        <v>6677995</v>
      </c>
      <c r="C6865" s="3" t="str">
        <f>HYPERLINK("http://www.ncbi.nlm.nih.gov/protein/6677995","Slc16a1")</f>
        <v>Slc16a1</v>
      </c>
      <c r="E6865" t="str">
        <f>HYPERLINK("J:\Depot - mpkCCD Fractions\Main Web Page\Web Pages_old\proteomic_fractions_linear_files/Yang_linear_img/6677995.jpg","show blot")</f>
        <v>show blot</v>
      </c>
      <c r="G6865" t="s">
        <v>6639</v>
      </c>
      <c r="I6865" s="6">
        <v>5.7729060411353368</v>
      </c>
      <c r="K6865" s="8"/>
    </row>
    <row r="6866" spans="1:11" ht="15" x14ac:dyDescent="0.25">
      <c r="A6866" s="3" t="str">
        <f>HYPERLINK("proteomic_fractions_linear_files/Yang_linear_img/166999494.jpg", "166999494")</f>
        <v>166999494</v>
      </c>
      <c r="C6866" s="3" t="str">
        <f>HYPERLINK("http://www.ncbi.nlm.nih.gov/protein/166999494","Slc16a10")</f>
        <v>Slc16a10</v>
      </c>
      <c r="E6866" t="str">
        <f>HYPERLINK("J:\Depot - mpkCCD Fractions\Main Web Page\Web Pages_old\proteomic_fractions_linear_files/Yang_linear_img/166999494.jpg","show blot")</f>
        <v>show blot</v>
      </c>
      <c r="G6866" t="s">
        <v>6640</v>
      </c>
      <c r="I6866" s="6">
        <v>3.7349639145671523</v>
      </c>
      <c r="K6866" s="8"/>
    </row>
    <row r="6867" spans="1:11" ht="15" x14ac:dyDescent="0.25">
      <c r="A6867" s="3" t="str">
        <f>HYPERLINK("proteomic_fractions_linear_files/Yang_linear_img/30794382.jpg", "30794382")</f>
        <v>30794382</v>
      </c>
      <c r="C6867" s="3" t="str">
        <f>HYPERLINK("http://www.ncbi.nlm.nih.gov/protein/30794382","Slc16a10")</f>
        <v>Slc16a10</v>
      </c>
      <c r="E6867" t="str">
        <f>HYPERLINK("J:\Depot - mpkCCD Fractions\Main Web Page\Web Pages_old\proteomic_fractions_linear_files/Yang_linear_img/30794382.jpg","show blot")</f>
        <v>show blot</v>
      </c>
      <c r="G6867" t="s">
        <v>6641</v>
      </c>
      <c r="I6867" s="6">
        <v>3.7349639145671523</v>
      </c>
      <c r="K6867" s="8"/>
    </row>
    <row r="6868" spans="1:11" ht="15" x14ac:dyDescent="0.25">
      <c r="A6868" s="3" t="str">
        <f>HYPERLINK("proteomic_fractions_linear_files/Yang_linear_img/114326474.jpg", "114326474")</f>
        <v>114326474</v>
      </c>
      <c r="C6868" s="3" t="str">
        <f>HYPERLINK("http://www.ncbi.nlm.nih.gov/protein/114326474","Slc1a5")</f>
        <v>Slc1a5</v>
      </c>
      <c r="E6868" t="str">
        <f>HYPERLINK("J:\Depot - mpkCCD Fractions\Main Web Page\Web Pages_old\proteomic_fractions_linear_files/Yang_linear_img/114326474.jpg","show blot")</f>
        <v>show blot</v>
      </c>
      <c r="G6868" t="s">
        <v>6642</v>
      </c>
      <c r="I6868" s="6">
        <v>3.831301167314086</v>
      </c>
      <c r="K6868" s="8"/>
    </row>
    <row r="6869" spans="1:11" ht="15" x14ac:dyDescent="0.25">
      <c r="A6869" s="3" t="str">
        <f>HYPERLINK("proteomic_fractions_linear_files/Yang_linear_img/42741686.jpg", "42741686")</f>
        <v>42741686</v>
      </c>
      <c r="C6869" s="3" t="str">
        <f>HYPERLINK("http://www.ncbi.nlm.nih.gov/protein/42741686","Slc23a1")</f>
        <v>Slc23a1</v>
      </c>
      <c r="E6869" t="str">
        <f>HYPERLINK("J:\Depot - mpkCCD Fractions\Main Web Page\Web Pages_old\proteomic_fractions_linear_files/Yang_linear_img/42741686.jpg","show blot")</f>
        <v>show blot</v>
      </c>
      <c r="G6869" t="s">
        <v>6643</v>
      </c>
      <c r="I6869" s="6">
        <v>3.0721933193849429</v>
      </c>
      <c r="K6869" s="8"/>
    </row>
    <row r="6870" spans="1:11" ht="15" x14ac:dyDescent="0.25">
      <c r="A6870" s="3" t="str">
        <f>HYPERLINK("proteomic_fractions_linear_files/Yang_linear_img/23943838.jpg", "23943838")</f>
        <v>23943838</v>
      </c>
      <c r="C6870" s="3" t="str">
        <f>HYPERLINK("http://www.ncbi.nlm.nih.gov/protein/23943838","Slc25a1")</f>
        <v>Slc25a1</v>
      </c>
      <c r="E6870" t="str">
        <f>HYPERLINK("J:\Depot - mpkCCD Fractions\Main Web Page\Web Pages_old\proteomic_fractions_linear_files/Yang_linear_img/23943838.jpg","show blot")</f>
        <v>show blot</v>
      </c>
      <c r="G6870" t="s">
        <v>6644</v>
      </c>
      <c r="I6870" s="6">
        <v>5.9488164266973635</v>
      </c>
      <c r="K6870" s="8"/>
    </row>
    <row r="6871" spans="1:11" ht="15" x14ac:dyDescent="0.25">
      <c r="A6871" s="3" t="str">
        <f>HYPERLINK("proteomic_fractions_linear_files/Yang_linear_img/254826790.jpg", "254826790")</f>
        <v>254826790</v>
      </c>
      <c r="C6871" s="3" t="str">
        <f>HYPERLINK("http://www.ncbi.nlm.nih.gov/protein/254826790","Slc25a10")</f>
        <v>Slc25a10</v>
      </c>
      <c r="E6871" t="str">
        <f>HYPERLINK("J:\Depot - mpkCCD Fractions\Main Web Page\Web Pages_old\proteomic_fractions_linear_files/Yang_linear_img/254826790.jpg","show blot")</f>
        <v>show blot</v>
      </c>
      <c r="G6871" t="s">
        <v>6645</v>
      </c>
      <c r="I6871" s="6">
        <v>5.9612991148792878</v>
      </c>
      <c r="K6871" s="8"/>
    </row>
    <row r="6872" spans="1:11" ht="15" x14ac:dyDescent="0.25">
      <c r="A6872" s="3" t="str">
        <f>HYPERLINK("proteomic_fractions_linear_files/Yang_linear_img/21312994.jpg", "21312994")</f>
        <v>21312994</v>
      </c>
      <c r="C6872" s="3" t="str">
        <f>HYPERLINK("http://www.ncbi.nlm.nih.gov/protein/21312994","Slc25a11")</f>
        <v>Slc25a11</v>
      </c>
      <c r="E6872" t="str">
        <f>HYPERLINK("J:\Depot - mpkCCD Fractions\Main Web Page\Web Pages_old\proteomic_fractions_linear_files/Yang_linear_img/21312994.jpg","show blot")</f>
        <v>show blot</v>
      </c>
      <c r="G6872" t="s">
        <v>6646</v>
      </c>
      <c r="I6872" s="6">
        <v>6.129958023856247</v>
      </c>
      <c r="K6872" s="8"/>
    </row>
    <row r="6873" spans="1:11" ht="15" x14ac:dyDescent="0.25">
      <c r="A6873" s="3" t="str">
        <f>HYPERLINK("proteomic_fractions_linear_files/Yang_linear_img/27369581.jpg", "27369581")</f>
        <v>27369581</v>
      </c>
      <c r="C6873" s="3" t="str">
        <f>HYPERLINK("http://www.ncbi.nlm.nih.gov/protein/27369581","Slc25a12")</f>
        <v>Slc25a12</v>
      </c>
      <c r="E6873" t="str">
        <f>HYPERLINK("J:\Depot - mpkCCD Fractions\Main Web Page\Web Pages_old\proteomic_fractions_linear_files/Yang_linear_img/27369581.jpg","show blot")</f>
        <v>show blot</v>
      </c>
      <c r="G6873" t="s">
        <v>6647</v>
      </c>
      <c r="I6873" s="6">
        <v>5.5725135426643861</v>
      </c>
      <c r="K6873" s="8"/>
    </row>
    <row r="6874" spans="1:11" ht="15" x14ac:dyDescent="0.25">
      <c r="A6874" s="3" t="str">
        <f>HYPERLINK("proteomic_fractions_linear_files/Yang_linear_img/294832028.jpg", "294832028")</f>
        <v>294832028</v>
      </c>
      <c r="C6874" s="3" t="str">
        <f>HYPERLINK("http://www.ncbi.nlm.nih.gov/protein/294832028","Slc25a13")</f>
        <v>Slc25a13</v>
      </c>
      <c r="E6874" t="str">
        <f>HYPERLINK("J:\Depot - mpkCCD Fractions\Main Web Page\Web Pages_old\proteomic_fractions_linear_files/Yang_linear_img/294832028.jpg","show blot")</f>
        <v>show blot</v>
      </c>
      <c r="G6874" t="s">
        <v>6648</v>
      </c>
      <c r="I6874" s="6">
        <v>5.7374641770437389</v>
      </c>
      <c r="K6874" s="8"/>
    </row>
    <row r="6875" spans="1:11" ht="15" x14ac:dyDescent="0.25">
      <c r="A6875" s="3" t="str">
        <f>HYPERLINK("proteomic_fractions_linear_files/Yang_linear_img/7657583.jpg", "7657583")</f>
        <v>7657583</v>
      </c>
      <c r="C6875" s="3" t="str">
        <f>HYPERLINK("http://www.ncbi.nlm.nih.gov/protein/7657583","Slc25a13")</f>
        <v>Slc25a13</v>
      </c>
      <c r="E6875" t="str">
        <f>HYPERLINK("J:\Depot - mpkCCD Fractions\Main Web Page\Web Pages_old\proteomic_fractions_linear_files/Yang_linear_img/7657583.jpg","show blot")</f>
        <v>show blot</v>
      </c>
      <c r="G6875" t="s">
        <v>6649</v>
      </c>
      <c r="I6875" s="6">
        <v>5.7374641770437389</v>
      </c>
      <c r="K6875" s="8"/>
    </row>
    <row r="6876" spans="1:11" ht="15" x14ac:dyDescent="0.25">
      <c r="A6876" s="3" t="str">
        <f>HYPERLINK("proteomic_fractions_linear_files/Yang_linear_img/31044465.jpg", "31044465")</f>
        <v>31044465</v>
      </c>
      <c r="C6876" s="3" t="str">
        <f>HYPERLINK("http://www.ncbi.nlm.nih.gov/protein/31044465","Slc25a15")</f>
        <v>Slc25a15</v>
      </c>
      <c r="E6876" t="str">
        <f>HYPERLINK("J:\Depot - mpkCCD Fractions\Main Web Page\Web Pages_old\proteomic_fractions_linear_files/Yang_linear_img/31044465.jpg","show blot")</f>
        <v>show blot</v>
      </c>
      <c r="G6876" t="s">
        <v>6650</v>
      </c>
      <c r="I6876" s="6">
        <v>3.3815143725191827</v>
      </c>
      <c r="K6876" s="8"/>
    </row>
    <row r="6877" spans="1:11" ht="15" x14ac:dyDescent="0.25">
      <c r="A6877" s="3" t="str">
        <f>HYPERLINK("proteomic_fractions_linear_files/Yang_linear_img/30424808.jpg", "30424808")</f>
        <v>30424808</v>
      </c>
      <c r="C6877" s="3" t="str">
        <f>HYPERLINK("http://www.ncbi.nlm.nih.gov/protein/30424808","Slc25a16")</f>
        <v>Slc25a16</v>
      </c>
      <c r="E6877" t="str">
        <f>HYPERLINK("J:\Depot - mpkCCD Fractions\Main Web Page\Web Pages_old\proteomic_fractions_linear_files/Yang_linear_img/30424808.jpg","show blot")</f>
        <v>show blot</v>
      </c>
      <c r="G6877" t="s">
        <v>6651</v>
      </c>
      <c r="I6877" s="6">
        <v>4.0013500790246814</v>
      </c>
      <c r="K6877" s="8"/>
    </row>
    <row r="6878" spans="1:11" ht="15" x14ac:dyDescent="0.25">
      <c r="A6878" s="3" t="str">
        <f>HYPERLINK("proteomic_fractions_linear_files/Yang_linear_img/29789024.jpg", "29789024")</f>
        <v>29789024</v>
      </c>
      <c r="C6878" s="3" t="str">
        <f>HYPERLINK("http://www.ncbi.nlm.nih.gov/protein/29789024","Slc25a17")</f>
        <v>Slc25a17</v>
      </c>
      <c r="E6878" t="str">
        <f>HYPERLINK("J:\Depot - mpkCCD Fractions\Main Web Page\Web Pages_old\proteomic_fractions_linear_files/Yang_linear_img/29789024.jpg","show blot")</f>
        <v>show blot</v>
      </c>
      <c r="G6878" t="s">
        <v>6652</v>
      </c>
      <c r="I6878" s="6">
        <v>4.4430494761225479</v>
      </c>
      <c r="K6878" s="8"/>
    </row>
    <row r="6879" spans="1:11" ht="15" x14ac:dyDescent="0.25">
      <c r="A6879" s="3" t="str">
        <f>HYPERLINK("proteomic_fractions_linear_files/Yang_linear_img/10048462.jpg", "10048462")</f>
        <v>10048462</v>
      </c>
      <c r="C6879" s="3" t="str">
        <f>HYPERLINK("http://www.ncbi.nlm.nih.gov/protein/10048462","Slc25a20")</f>
        <v>Slc25a20</v>
      </c>
      <c r="E6879" t="str">
        <f>HYPERLINK("J:\Depot - mpkCCD Fractions\Main Web Page\Web Pages_old\proteomic_fractions_linear_files/Yang_linear_img/10048462.jpg","show blot")</f>
        <v>show blot</v>
      </c>
      <c r="G6879" t="s">
        <v>6653</v>
      </c>
      <c r="I6879" s="6">
        <v>5.2665597710032142</v>
      </c>
      <c r="K6879" s="8"/>
    </row>
    <row r="6880" spans="1:11" ht="15" x14ac:dyDescent="0.25">
      <c r="A6880" s="3" t="str">
        <f>HYPERLINK("proteomic_fractions_linear_files/Yang_linear_img/294831970.jpg", "294831970")</f>
        <v>294831970</v>
      </c>
      <c r="C6880" s="3" t="str">
        <f>HYPERLINK("http://www.ncbi.nlm.nih.gov/protein/294831970","Slc25a22")</f>
        <v>Slc25a22</v>
      </c>
      <c r="E6880" t="str">
        <f>HYPERLINK("J:\Depot - mpkCCD Fractions\Main Web Page\Web Pages_old\proteomic_fractions_linear_files/Yang_linear_img/294831970.jpg","show blot")</f>
        <v>show blot</v>
      </c>
      <c r="G6880" t="s">
        <v>6654</v>
      </c>
      <c r="I6880" s="6">
        <v>4.1494863799973922</v>
      </c>
      <c r="K6880" s="8"/>
    </row>
    <row r="6881" spans="1:11" ht="15" x14ac:dyDescent="0.25">
      <c r="A6881" s="3" t="str">
        <f>HYPERLINK("proteomic_fractions_linear_files/Yang_linear_img/27369998.jpg", "27369998")</f>
        <v>27369998</v>
      </c>
      <c r="C6881" s="3" t="str">
        <f>HYPERLINK("http://www.ncbi.nlm.nih.gov/protein/27369998","Slc25a24")</f>
        <v>Slc25a24</v>
      </c>
      <c r="E6881" t="str">
        <f>HYPERLINK("J:\Depot - mpkCCD Fractions\Main Web Page\Web Pages_old\proteomic_fractions_linear_files/Yang_linear_img/27369998.jpg","show blot")</f>
        <v>show blot</v>
      </c>
      <c r="G6881" t="s">
        <v>6655</v>
      </c>
      <c r="I6881" s="6">
        <v>5.1724360086756924</v>
      </c>
      <c r="K6881" s="8"/>
    </row>
    <row r="6882" spans="1:11" ht="15" x14ac:dyDescent="0.25">
      <c r="A6882" s="3" t="str">
        <f>HYPERLINK("proteomic_fractions_linear_files/Yang_linear_img/27754081.jpg", "27754081")</f>
        <v>27754081</v>
      </c>
      <c r="C6882" s="3" t="str">
        <f>HYPERLINK("http://www.ncbi.nlm.nih.gov/protein/27754081","Slc25a26")</f>
        <v>Slc25a26</v>
      </c>
      <c r="E6882" t="str">
        <f>HYPERLINK("J:\Depot - mpkCCD Fractions\Main Web Page\Web Pages_old\proteomic_fractions_linear_files/Yang_linear_img/27754081.jpg","show blot")</f>
        <v>show blot</v>
      </c>
      <c r="G6882" t="s">
        <v>6656</v>
      </c>
      <c r="I6882" s="6">
        <v>2.7154829945318508</v>
      </c>
      <c r="K6882" s="8"/>
    </row>
    <row r="6883" spans="1:11" ht="15" x14ac:dyDescent="0.25">
      <c r="A6883" s="3" t="str">
        <f>HYPERLINK("proteomic_fractions_linear_files/Yang_linear_img/21312006.jpg", "21312006")</f>
        <v>21312006</v>
      </c>
      <c r="C6883" s="3" t="str">
        <f>HYPERLINK("http://www.ncbi.nlm.nih.gov/protein/21312006","Slc25a27")</f>
        <v>Slc25a27</v>
      </c>
      <c r="E6883" t="str">
        <f>HYPERLINK("J:\Depot - mpkCCD Fractions\Main Web Page\Web Pages_old\proteomic_fractions_linear_files/Yang_linear_img/21312006.jpg","show blot")</f>
        <v>show blot</v>
      </c>
      <c r="G6883" t="s">
        <v>6657</v>
      </c>
      <c r="I6883" s="6">
        <v>4.1710197103035114</v>
      </c>
      <c r="K6883" s="8"/>
    </row>
    <row r="6884" spans="1:11" ht="15" x14ac:dyDescent="0.25">
      <c r="A6884" s="3" t="str">
        <f>HYPERLINK("proteomic_fractions_linear_files/Yang_linear_img/31044469.jpg", "31044469")</f>
        <v>31044469</v>
      </c>
      <c r="C6884" s="3" t="str">
        <f>HYPERLINK("http://www.ncbi.nlm.nih.gov/protein/31044469","Slc25a29")</f>
        <v>Slc25a29</v>
      </c>
      <c r="E6884" t="str">
        <f>HYPERLINK("J:\Depot - mpkCCD Fractions\Main Web Page\Web Pages_old\proteomic_fractions_linear_files/Yang_linear_img/31044469.jpg","show blot")</f>
        <v>show blot</v>
      </c>
      <c r="G6884" t="s">
        <v>6658</v>
      </c>
      <c r="I6884" s="6">
        <v>3.2510632112725757</v>
      </c>
      <c r="K6884" s="8"/>
    </row>
    <row r="6885" spans="1:11" ht="15" x14ac:dyDescent="0.25">
      <c r="A6885" s="3" t="str">
        <f>HYPERLINK("proteomic_fractions_linear_files/Yang_linear_img/19526818.jpg", "19526818")</f>
        <v>19526818</v>
      </c>
      <c r="C6885" s="3" t="str">
        <f>HYPERLINK("http://www.ncbi.nlm.nih.gov/protein/19526818","Slc25a3")</f>
        <v>Slc25a3</v>
      </c>
      <c r="E6885" t="str">
        <f>HYPERLINK("J:\Depot - mpkCCD Fractions\Main Web Page\Web Pages_old\proteomic_fractions_linear_files/Yang_linear_img/19526818.jpg","show blot")</f>
        <v>show blot</v>
      </c>
      <c r="G6885" t="s">
        <v>6659</v>
      </c>
      <c r="I6885" s="6">
        <v>7.2221524437844664</v>
      </c>
      <c r="K6885" s="8"/>
    </row>
    <row r="6886" spans="1:11" ht="15" x14ac:dyDescent="0.25">
      <c r="A6886" s="3" t="str">
        <f>HYPERLINK("proteomic_fractions_linear_files/Yang_linear_img/13385736.jpg", "13385736")</f>
        <v>13385736</v>
      </c>
      <c r="C6886" s="3" t="str">
        <f>HYPERLINK("http://www.ncbi.nlm.nih.gov/protein/13385736","Slc25a30")</f>
        <v>Slc25a30</v>
      </c>
      <c r="E6886" t="str">
        <f>HYPERLINK("J:\Depot - mpkCCD Fractions\Main Web Page\Web Pages_old\proteomic_fractions_linear_files/Yang_linear_img/13385736.jpg","show blot")</f>
        <v>show blot</v>
      </c>
      <c r="G6886" t="s">
        <v>6660</v>
      </c>
      <c r="I6886" s="6">
        <v>3.2644271728305569</v>
      </c>
      <c r="K6886" s="8"/>
    </row>
    <row r="6887" spans="1:11" ht="15" x14ac:dyDescent="0.25">
      <c r="A6887" s="3" t="str">
        <f>HYPERLINK("proteomic_fractions_linear_files/Yang_linear_img/254692892.jpg", "254692892")</f>
        <v>254692892</v>
      </c>
      <c r="C6887" s="3" t="str">
        <f>HYPERLINK("http://www.ncbi.nlm.nih.gov/protein/254692892","Slc25a31")</f>
        <v>Slc25a31</v>
      </c>
      <c r="E6887" t="str">
        <f>HYPERLINK("J:\Depot - mpkCCD Fractions\Main Web Page\Web Pages_old\proteomic_fractions_linear_files/Yang_linear_img/254692892.jpg","show blot")</f>
        <v>show blot</v>
      </c>
      <c r="G6887" t="s">
        <v>6661</v>
      </c>
      <c r="I6887" s="6">
        <v>6.7196136839703779</v>
      </c>
      <c r="K6887" s="8"/>
    </row>
    <row r="6888" spans="1:11" ht="15" x14ac:dyDescent="0.25">
      <c r="A6888" s="3" t="str">
        <f>HYPERLINK("proteomic_fractions_linear_files/Yang_linear_img/168480117.jpg", "168480117")</f>
        <v>168480117</v>
      </c>
      <c r="C6888" s="3" t="str">
        <f>HYPERLINK("http://www.ncbi.nlm.nih.gov/protein/168480117","Slc25a32")</f>
        <v>Slc25a32</v>
      </c>
      <c r="E6888" t="str">
        <f>HYPERLINK("J:\Depot - mpkCCD Fractions\Main Web Page\Web Pages_old\proteomic_fractions_linear_files/Yang_linear_img/168480117.jpg","show blot")</f>
        <v>show blot</v>
      </c>
      <c r="G6888" t="s">
        <v>6662</v>
      </c>
      <c r="I6888" s="6">
        <v>2.7515463713253547</v>
      </c>
      <c r="K6888" s="8"/>
    </row>
    <row r="6889" spans="1:11" ht="15" x14ac:dyDescent="0.25">
      <c r="A6889" s="3" t="str">
        <f>HYPERLINK("proteomic_fractions_linear_files/Yang_linear_img/148747424.jpg", "148747424")</f>
        <v>148747424</v>
      </c>
      <c r="C6889" s="3" t="str">
        <f>HYPERLINK("http://www.ncbi.nlm.nih.gov/protein/148747424","Slc25a4")</f>
        <v>Slc25a4</v>
      </c>
      <c r="E6889" t="str">
        <f>HYPERLINK("J:\Depot - mpkCCD Fractions\Main Web Page\Web Pages_old\proteomic_fractions_linear_files/Yang_linear_img/148747424.jpg","show blot")</f>
        <v>show blot</v>
      </c>
      <c r="G6889" t="s">
        <v>6663</v>
      </c>
      <c r="I6889" s="6">
        <v>6.9776016797982034</v>
      </c>
      <c r="K6889" s="8"/>
    </row>
    <row r="6890" spans="1:11" ht="15" x14ac:dyDescent="0.25">
      <c r="A6890" s="3" t="str">
        <f>HYPERLINK("proteomic_fractions_linear_files/Yang_linear_img/158749545.jpg", "158749545")</f>
        <v>158749545</v>
      </c>
      <c r="C6890" s="3" t="str">
        <f>HYPERLINK("http://www.ncbi.nlm.nih.gov/protein/158749545","Slc25a40")</f>
        <v>Slc25a40</v>
      </c>
      <c r="E6890" t="str">
        <f>HYPERLINK("J:\Depot - mpkCCD Fractions\Main Web Page\Web Pages_old\proteomic_fractions_linear_files/Yang_linear_img/158749545.jpg","show blot")</f>
        <v>show blot</v>
      </c>
      <c r="G6890" t="s">
        <v>6664</v>
      </c>
      <c r="I6890" s="6">
        <v>3.8430886715841281</v>
      </c>
      <c r="K6890" s="8"/>
    </row>
    <row r="6891" spans="1:11" ht="15" x14ac:dyDescent="0.25">
      <c r="A6891" s="3" t="str">
        <f>HYPERLINK("proteomic_fractions_linear_files/Yang_linear_img/23956272.jpg", "23956272")</f>
        <v>23956272</v>
      </c>
      <c r="C6891" s="3" t="str">
        <f>HYPERLINK("http://www.ncbi.nlm.nih.gov/protein/23956272","Slc25a45")</f>
        <v>Slc25a45</v>
      </c>
      <c r="E6891" t="str">
        <f>HYPERLINK("J:\Depot - mpkCCD Fractions\Main Web Page\Web Pages_old\proteomic_fractions_linear_files/Yang_linear_img/23956272.jpg","show blot")</f>
        <v>show blot</v>
      </c>
      <c r="G6891" t="s">
        <v>6665</v>
      </c>
      <c r="I6891" s="6">
        <v>2.7711592821603377</v>
      </c>
      <c r="K6891" s="8"/>
    </row>
    <row r="6892" spans="1:11" ht="15" x14ac:dyDescent="0.25">
      <c r="A6892" s="3" t="str">
        <f>HYPERLINK("proteomic_fractions_linear_files/Yang_linear_img/254692847.jpg", "254692847")</f>
        <v>254692847</v>
      </c>
      <c r="C6892" s="3" t="str">
        <f>HYPERLINK("http://www.ncbi.nlm.nih.gov/protein/254692847","Slc25a48")</f>
        <v>Slc25a48</v>
      </c>
      <c r="E6892" t="str">
        <f>HYPERLINK("J:\Depot - mpkCCD Fractions\Main Web Page\Web Pages_old\proteomic_fractions_linear_files/Yang_linear_img/254692847.jpg","show blot")</f>
        <v>show blot</v>
      </c>
      <c r="G6892" t="s">
        <v>6666</v>
      </c>
      <c r="I6892" s="6">
        <v>4.1608378084508768</v>
      </c>
      <c r="K6892" s="8"/>
    </row>
    <row r="6893" spans="1:11" ht="15" x14ac:dyDescent="0.25">
      <c r="A6893" s="3" t="str">
        <f>HYPERLINK("proteomic_fractions_linear_files/Yang_linear_img/22094075.jpg", "22094075")</f>
        <v>22094075</v>
      </c>
      <c r="C6893" s="3" t="str">
        <f>HYPERLINK("http://www.ncbi.nlm.nih.gov/protein/22094075","Slc25a5")</f>
        <v>Slc25a5</v>
      </c>
      <c r="E6893" t="str">
        <f>HYPERLINK("J:\Depot - mpkCCD Fractions\Main Web Page\Web Pages_old\proteomic_fractions_linear_files/Yang_linear_img/22094075.jpg","show blot")</f>
        <v>show blot</v>
      </c>
      <c r="G6893" t="s">
        <v>6667</v>
      </c>
      <c r="I6893" s="6">
        <v>7.0309170112724404</v>
      </c>
      <c r="K6893" s="8"/>
    </row>
    <row r="6894" spans="1:11" ht="15" x14ac:dyDescent="0.25">
      <c r="A6894" s="3" t="str">
        <f>HYPERLINK("proteomic_fractions_linear_files/Yang_linear_img/6755546.jpg", "6755546")</f>
        <v>6755546</v>
      </c>
      <c r="C6894" s="3" t="str">
        <f>HYPERLINK("http://www.ncbi.nlm.nih.gov/protein/6755546","Slc27a1")</f>
        <v>Slc27a1</v>
      </c>
      <c r="E6894" t="str">
        <f>HYPERLINK("J:\Depot - mpkCCD Fractions\Main Web Page\Web Pages_old\proteomic_fractions_linear_files/Yang_linear_img/6755546.jpg","show blot")</f>
        <v>show blot</v>
      </c>
      <c r="G6894" t="s">
        <v>6668</v>
      </c>
      <c r="I6894" s="6">
        <v>2.7792949721549833</v>
      </c>
      <c r="K6894" s="8"/>
    </row>
    <row r="6895" spans="1:11" ht="15" x14ac:dyDescent="0.25">
      <c r="A6895" s="3" t="str">
        <f>HYPERLINK("proteomic_fractions_linear_files/Yang_linear_img/45597453.jpg", "45597453")</f>
        <v>45597453</v>
      </c>
      <c r="C6895" s="3" t="str">
        <f>HYPERLINK("http://www.ncbi.nlm.nih.gov/protein/45597453","Slc27a4")</f>
        <v>Slc27a4</v>
      </c>
      <c r="E6895" t="str">
        <f>HYPERLINK("J:\Depot - mpkCCD Fractions\Main Web Page\Web Pages_old\proteomic_fractions_linear_files/Yang_linear_img/45597453.jpg","show blot")</f>
        <v>show blot</v>
      </c>
      <c r="G6895" t="s">
        <v>6669</v>
      </c>
      <c r="I6895" s="6">
        <v>3.824730522035058</v>
      </c>
      <c r="K6895" s="8"/>
    </row>
    <row r="6896" spans="1:11" ht="15" x14ac:dyDescent="0.25">
      <c r="A6896" s="3" t="str">
        <f>HYPERLINK("proteomic_fractions_linear_files/Yang_linear_img/12584968.jpg", "12584968")</f>
        <v>12584968</v>
      </c>
      <c r="C6896" s="3" t="str">
        <f>HYPERLINK("http://www.ncbi.nlm.nih.gov/protein/12584968","Slc29a1")</f>
        <v>Slc29a1</v>
      </c>
      <c r="E6896" t="str">
        <f>HYPERLINK("J:\Depot - mpkCCD Fractions\Main Web Page\Web Pages_old\proteomic_fractions_linear_files/Yang_linear_img/12584968.jpg","show blot")</f>
        <v>show blot</v>
      </c>
      <c r="G6896" t="s">
        <v>6670</v>
      </c>
      <c r="I6896" s="6">
        <v>2.2807412422120912</v>
      </c>
      <c r="K6896" s="8"/>
    </row>
    <row r="6897" spans="1:11" ht="15" x14ac:dyDescent="0.25">
      <c r="A6897" s="3" t="str">
        <f>HYPERLINK("proteomic_fractions_linear_files/Yang_linear_img/312283707.jpg", "312283707")</f>
        <v>312283707</v>
      </c>
      <c r="C6897" s="3" t="str">
        <f>HYPERLINK("http://www.ncbi.nlm.nih.gov/protein/312283707","Slc29a1")</f>
        <v>Slc29a1</v>
      </c>
      <c r="E6897" t="str">
        <f>HYPERLINK("J:\Depot - mpkCCD Fractions\Main Web Page\Web Pages_old\proteomic_fractions_linear_files/Yang_linear_img/312283707.jpg","show blot")</f>
        <v>show blot</v>
      </c>
      <c r="G6897" t="s">
        <v>6671</v>
      </c>
      <c r="I6897" s="6">
        <v>2.2807412422120912</v>
      </c>
      <c r="K6897" s="8"/>
    </row>
    <row r="6898" spans="1:11" ht="15" x14ac:dyDescent="0.25">
      <c r="A6898" s="3" t="str">
        <f>HYPERLINK("proteomic_fractions_linear_files/Yang_linear_img/165377226.jpg", "165377226")</f>
        <v>165377226</v>
      </c>
      <c r="C6898" s="3" t="str">
        <f>HYPERLINK("http://www.ncbi.nlm.nih.gov/protein/165377226","Slc2a1")</f>
        <v>Slc2a1</v>
      </c>
      <c r="E6898" t="str">
        <f>HYPERLINK("J:\Depot - mpkCCD Fractions\Main Web Page\Web Pages_old\proteomic_fractions_linear_files/Yang_linear_img/165377226.jpg","show blot")</f>
        <v>show blot</v>
      </c>
      <c r="G6898" t="s">
        <v>6672</v>
      </c>
      <c r="I6898" s="6">
        <v>4.7834619698305545</v>
      </c>
      <c r="K6898" s="8"/>
    </row>
    <row r="6899" spans="1:11" ht="15" x14ac:dyDescent="0.25">
      <c r="A6899" s="3" t="str">
        <f>HYPERLINK("proteomic_fractions_linear_files/Yang_linear_img/6678017.jpg", "6678017")</f>
        <v>6678017</v>
      </c>
      <c r="C6899" s="3" t="str">
        <f>HYPERLINK("http://www.ncbi.nlm.nih.gov/protein/6678017","Slc30a1")</f>
        <v>Slc30a1</v>
      </c>
      <c r="E6899" t="str">
        <f>HYPERLINK("J:\Depot - mpkCCD Fractions\Main Web Page\Web Pages_old\proteomic_fractions_linear_files/Yang_linear_img/6678017.jpg","show blot")</f>
        <v>show blot</v>
      </c>
      <c r="G6899" t="s">
        <v>6673</v>
      </c>
      <c r="I6899" s="6">
        <v>3.1378775275806379</v>
      </c>
      <c r="K6899" s="8"/>
    </row>
    <row r="6900" spans="1:11" ht="15" x14ac:dyDescent="0.25">
      <c r="A6900" s="3" t="str">
        <f>HYPERLINK("proteomic_fractions_linear_files/Yang_linear_img/12963579.jpg", "12963579")</f>
        <v>12963579</v>
      </c>
      <c r="C6900" s="3" t="str">
        <f>HYPERLINK("http://www.ncbi.nlm.nih.gov/protein/12963579","Slc30a7")</f>
        <v>Slc30a7</v>
      </c>
      <c r="E6900" t="str">
        <f>HYPERLINK("J:\Depot - mpkCCD Fractions\Main Web Page\Web Pages_old\proteomic_fractions_linear_files/Yang_linear_img/12963579.jpg","show blot")</f>
        <v>show blot</v>
      </c>
      <c r="G6900" t="s">
        <v>6674</v>
      </c>
      <c r="I6900" s="6">
        <v>4.7149266027022261</v>
      </c>
      <c r="K6900" s="8"/>
    </row>
    <row r="6901" spans="1:11" ht="15" x14ac:dyDescent="0.25">
      <c r="A6901" s="3" t="str">
        <f>HYPERLINK("proteomic_fractions_linear_files/Yang_linear_img/227116313.jpg", "227116313")</f>
        <v>227116313</v>
      </c>
      <c r="C6901" s="3" t="str">
        <f>HYPERLINK("http://www.ncbi.nlm.nih.gov/protein/227116313","Slc31a1")</f>
        <v>Slc31a1</v>
      </c>
      <c r="E6901" t="str">
        <f>HYPERLINK("J:\Depot - mpkCCD Fractions\Main Web Page\Web Pages_old\proteomic_fractions_linear_files/Yang_linear_img/227116313.jpg","show blot")</f>
        <v>show blot</v>
      </c>
      <c r="G6901" t="s">
        <v>6675</v>
      </c>
      <c r="I6901" s="6">
        <v>2.8685375745946056</v>
      </c>
      <c r="K6901" s="8"/>
    </row>
    <row r="6902" spans="1:11" ht="15" x14ac:dyDescent="0.25">
      <c r="A6902" s="3" t="str">
        <f>HYPERLINK("proteomic_fractions_linear_files/Yang_linear_img/13384632.jpg", "13384632")</f>
        <v>13384632</v>
      </c>
      <c r="C6902" s="3" t="str">
        <f>HYPERLINK("http://www.ncbi.nlm.nih.gov/protein/13384632","Slc31a2")</f>
        <v>Slc31a2</v>
      </c>
      <c r="E6902" t="str">
        <f>HYPERLINK("J:\Depot - mpkCCD Fractions\Main Web Page\Web Pages_old\proteomic_fractions_linear_files/Yang_linear_img/13384632.jpg","show blot")</f>
        <v>show blot</v>
      </c>
      <c r="G6902" t="s">
        <v>6676</v>
      </c>
      <c r="I6902" s="6">
        <v>2.4785664955938436</v>
      </c>
      <c r="K6902" s="8"/>
    </row>
    <row r="6903" spans="1:11" ht="15" x14ac:dyDescent="0.25">
      <c r="A6903" s="3" t="str">
        <f>HYPERLINK("proteomic_fractions_linear_files/Yang_linear_img/31543730.jpg", "31543730")</f>
        <v>31543730</v>
      </c>
      <c r="C6903" s="3" t="str">
        <f>HYPERLINK("http://www.ncbi.nlm.nih.gov/protein/31543730","Slc33a1")</f>
        <v>Slc33a1</v>
      </c>
      <c r="E6903" t="str">
        <f>HYPERLINK("J:\Depot - mpkCCD Fractions\Main Web Page\Web Pages_old\proteomic_fractions_linear_files/Yang_linear_img/31543730.jpg","show blot")</f>
        <v>show blot</v>
      </c>
      <c r="G6903" t="s">
        <v>6677</v>
      </c>
      <c r="I6903" s="6">
        <v>4.1377016352173879</v>
      </c>
      <c r="K6903" s="8"/>
    </row>
    <row r="6904" spans="1:11" ht="15" x14ac:dyDescent="0.25">
      <c r="A6904" s="3" t="str">
        <f>HYPERLINK("proteomic_fractions_linear_files/Yang_linear_img/225543514.jpg", "225543514")</f>
        <v>225543514</v>
      </c>
      <c r="C6904" s="3" t="str">
        <f>HYPERLINK("http://www.ncbi.nlm.nih.gov/protein/225543514","Slc35a1")</f>
        <v>Slc35a1</v>
      </c>
      <c r="E6904" t="str">
        <f>HYPERLINK("J:\Depot - mpkCCD Fractions\Main Web Page\Web Pages_old\proteomic_fractions_linear_files/Yang_linear_img/225543514.jpg","show blot")</f>
        <v>show blot</v>
      </c>
      <c r="G6904" t="s">
        <v>6678</v>
      </c>
      <c r="I6904" s="6">
        <v>3.1304610870514988</v>
      </c>
      <c r="K6904" s="8"/>
    </row>
    <row r="6905" spans="1:11" ht="15" x14ac:dyDescent="0.25">
      <c r="A6905" s="3" t="str">
        <f>HYPERLINK("proteomic_fractions_linear_files/Yang_linear_img/145279183.jpg", "145279183")</f>
        <v>145279183</v>
      </c>
      <c r="C6905" s="3" t="str">
        <f>HYPERLINK("http://www.ncbi.nlm.nih.gov/protein/145279183","Slc35a2")</f>
        <v>Slc35a2</v>
      </c>
      <c r="E6905" t="str">
        <f>HYPERLINK("J:\Depot - mpkCCD Fractions\Main Web Page\Web Pages_old\proteomic_fractions_linear_files/Yang_linear_img/145279183.jpg","show blot")</f>
        <v>show blot</v>
      </c>
      <c r="G6905" t="s">
        <v>6679</v>
      </c>
      <c r="I6905" s="6">
        <v>2.8589218180115759</v>
      </c>
      <c r="K6905" s="8"/>
    </row>
    <row r="6906" spans="1:11" ht="15" x14ac:dyDescent="0.25">
      <c r="A6906" s="3" t="str">
        <f>HYPERLINK("proteomic_fractions_linear_files/Yang_linear_img/145279202.jpg", "145279202")</f>
        <v>145279202</v>
      </c>
      <c r="C6906" s="3" t="str">
        <f>HYPERLINK("http://www.ncbi.nlm.nih.gov/protein/145279202","Slc35a2")</f>
        <v>Slc35a2</v>
      </c>
      <c r="E6906" t="str">
        <f>HYPERLINK("J:\Depot - mpkCCD Fractions\Main Web Page\Web Pages_old\proteomic_fractions_linear_files/Yang_linear_img/145279202.jpg","show blot")</f>
        <v>show blot</v>
      </c>
      <c r="G6906" t="s">
        <v>6680</v>
      </c>
      <c r="I6906" s="6">
        <v>2.8589218180115759</v>
      </c>
      <c r="K6906" s="8"/>
    </row>
    <row r="6907" spans="1:11" ht="15" x14ac:dyDescent="0.25">
      <c r="A6907" s="3" t="str">
        <f>HYPERLINK("proteomic_fractions_linear_files/Yang_linear_img/21450281.jpg", "21450281")</f>
        <v>21450281</v>
      </c>
      <c r="C6907" s="3" t="str">
        <f>HYPERLINK("http://www.ncbi.nlm.nih.gov/protein/21450281","Slc35a3")</f>
        <v>Slc35a3</v>
      </c>
      <c r="E6907" t="str">
        <f>HYPERLINK("J:\Depot - mpkCCD Fractions\Main Web Page\Web Pages_old\proteomic_fractions_linear_files/Yang_linear_img/21450281.jpg","show blot")</f>
        <v>show blot</v>
      </c>
      <c r="G6907" t="s">
        <v>6681</v>
      </c>
      <c r="I6907" s="6">
        <v>3.5112175237294303</v>
      </c>
      <c r="K6907" s="8"/>
    </row>
    <row r="6908" spans="1:11" ht="15" x14ac:dyDescent="0.25">
      <c r="A6908" s="3" t="str">
        <f>HYPERLINK("proteomic_fractions_linear_files/Yang_linear_img/7949137.jpg", "7949137")</f>
        <v>7949137</v>
      </c>
      <c r="C6908" s="3" t="str">
        <f>HYPERLINK("http://www.ncbi.nlm.nih.gov/protein/7949137","Slc35b1")</f>
        <v>Slc35b1</v>
      </c>
      <c r="E6908" t="str">
        <f>HYPERLINK("J:\Depot - mpkCCD Fractions\Main Web Page\Web Pages_old\proteomic_fractions_linear_files/Yang_linear_img/7949137.jpg","show blot")</f>
        <v>show blot</v>
      </c>
      <c r="G6908" t="s">
        <v>6682</v>
      </c>
      <c r="I6908" s="6">
        <v>2.9046264617629554</v>
      </c>
      <c r="K6908" s="8"/>
    </row>
    <row r="6909" spans="1:11" ht="15" x14ac:dyDescent="0.25">
      <c r="A6909" s="3" t="str">
        <f>HYPERLINK("proteomic_fractions_linear_files/Yang_linear_img/110625963.jpg", "110625963")</f>
        <v>110625963</v>
      </c>
      <c r="C6909" s="3" t="str">
        <f>HYPERLINK("http://www.ncbi.nlm.nih.gov/protein/110625963","Slc35b2")</f>
        <v>Slc35b2</v>
      </c>
      <c r="E6909" t="str">
        <f>HYPERLINK("J:\Depot - mpkCCD Fractions\Main Web Page\Web Pages_old\proteomic_fractions_linear_files/Yang_linear_img/110625963.jpg","show blot")</f>
        <v>show blot</v>
      </c>
      <c r="G6909" t="s">
        <v>6683</v>
      </c>
      <c r="I6909" s="6">
        <v>5.3046237379525625</v>
      </c>
      <c r="K6909" s="8"/>
    </row>
    <row r="6910" spans="1:11" ht="15" x14ac:dyDescent="0.25">
      <c r="A6910" s="3" t="str">
        <f>HYPERLINK("proteomic_fractions_linear_files/Yang_linear_img/165377022.jpg", "165377022")</f>
        <v>165377022</v>
      </c>
      <c r="C6910" s="3" t="str">
        <f>HYPERLINK("http://www.ncbi.nlm.nih.gov/protein/165377022","Slc35e1")</f>
        <v>Slc35e1</v>
      </c>
      <c r="E6910" t="str">
        <f>HYPERLINK("J:\Depot - mpkCCD Fractions\Main Web Page\Web Pages_old\proteomic_fractions_linear_files/Yang_linear_img/165377022.jpg","show blot")</f>
        <v>show blot</v>
      </c>
      <c r="G6910" t="s">
        <v>6684</v>
      </c>
      <c r="I6910" s="6">
        <v>2.7143115744101856</v>
      </c>
      <c r="K6910" s="8"/>
    </row>
    <row r="6911" spans="1:11" ht="15" x14ac:dyDescent="0.25">
      <c r="A6911" s="3" t="str">
        <f>HYPERLINK("proteomic_fractions_linear_files/Yang_linear_img/160333206.jpg", "160333206")</f>
        <v>160333206</v>
      </c>
      <c r="C6911" s="3" t="str">
        <f>HYPERLINK("http://www.ncbi.nlm.nih.gov/protein/160333206","Slc35f2")</f>
        <v>Slc35f2</v>
      </c>
      <c r="E6911" t="str">
        <f>HYPERLINK("J:\Depot - mpkCCD Fractions\Main Web Page\Web Pages_old\proteomic_fractions_linear_files/Yang_linear_img/160333206.jpg","show blot")</f>
        <v>show blot</v>
      </c>
      <c r="G6911" t="s">
        <v>6685</v>
      </c>
      <c r="I6911" s="6">
        <v>3.5301783459337548</v>
      </c>
      <c r="K6911" s="8"/>
    </row>
    <row r="6912" spans="1:11" ht="15" x14ac:dyDescent="0.25">
      <c r="A6912" s="3" t="str">
        <f>HYPERLINK("proteomic_fractions_linear_files/Yang_linear_img/188497646.jpg", "188497646")</f>
        <v>188497646</v>
      </c>
      <c r="C6912" s="3" t="str">
        <f>HYPERLINK("http://www.ncbi.nlm.nih.gov/protein/188497646","Slc35f6")</f>
        <v>Slc35f6</v>
      </c>
      <c r="E6912" t="str">
        <f>HYPERLINK("J:\Depot - mpkCCD Fractions\Main Web Page\Web Pages_old\proteomic_fractions_linear_files/Yang_linear_img/188497646.jpg","show blot")</f>
        <v>show blot</v>
      </c>
      <c r="G6912" t="s">
        <v>6686</v>
      </c>
      <c r="I6912" s="6">
        <v>4.8241454880645556</v>
      </c>
      <c r="K6912" s="8"/>
    </row>
    <row r="6913" spans="1:11" ht="15" x14ac:dyDescent="0.25">
      <c r="A6913" s="3" t="str">
        <f>HYPERLINK("proteomic_fractions_linear_files/Yang_linear_img/145207965.jpg", "145207965")</f>
        <v>145207965</v>
      </c>
      <c r="C6913" s="3" t="str">
        <f>HYPERLINK("http://www.ncbi.nlm.nih.gov/protein/145207965","Slc36a1")</f>
        <v>Slc36a1</v>
      </c>
      <c r="E6913" t="str">
        <f>HYPERLINK("J:\Depot - mpkCCD Fractions\Main Web Page\Web Pages_old\proteomic_fractions_linear_files/Yang_linear_img/145207965.jpg","show blot")</f>
        <v>show blot</v>
      </c>
      <c r="G6913" t="s">
        <v>6687</v>
      </c>
      <c r="I6913" s="6">
        <v>1.9386544110147255</v>
      </c>
      <c r="K6913" s="8"/>
    </row>
    <row r="6914" spans="1:11" ht="15" x14ac:dyDescent="0.25">
      <c r="A6914" s="3" t="str">
        <f>HYPERLINK("proteomic_fractions_linear_files/Yang_linear_img/258645131.jpg", "258645131")</f>
        <v>258645131</v>
      </c>
      <c r="C6914" s="3" t="str">
        <f>HYPERLINK("http://www.ncbi.nlm.nih.gov/protein/258645131","Slc38a10")</f>
        <v>Slc38a10</v>
      </c>
      <c r="E6914" t="str">
        <f>HYPERLINK("J:\Depot - mpkCCD Fractions\Main Web Page\Web Pages_old\proteomic_fractions_linear_files/Yang_linear_img/258645131.jpg","show blot")</f>
        <v>show blot</v>
      </c>
      <c r="G6914" t="s">
        <v>6688</v>
      </c>
      <c r="I6914" s="6">
        <v>2.3500005572586615</v>
      </c>
      <c r="K6914" s="8"/>
    </row>
    <row r="6915" spans="1:11" ht="15" x14ac:dyDescent="0.25">
      <c r="A6915" s="3" t="str">
        <f>HYPERLINK("proteomic_fractions_linear_files/Yang_linear_img/258645133.jpg", "258645133")</f>
        <v>258645133</v>
      </c>
      <c r="C6915" s="3" t="str">
        <f>HYPERLINK("http://www.ncbi.nlm.nih.gov/protein/258645133","Slc38a10")</f>
        <v>Slc38a10</v>
      </c>
      <c r="E6915" t="str">
        <f>HYPERLINK("J:\Depot - mpkCCD Fractions\Main Web Page\Web Pages_old\proteomic_fractions_linear_files/Yang_linear_img/258645133.jpg","show blot")</f>
        <v>show blot</v>
      </c>
      <c r="G6915" t="s">
        <v>6689</v>
      </c>
      <c r="I6915" s="6">
        <v>2.3500005572586615</v>
      </c>
      <c r="K6915" s="8"/>
    </row>
    <row r="6916" spans="1:11" ht="15" x14ac:dyDescent="0.25">
      <c r="A6916" s="3" t="str">
        <f>HYPERLINK("proteomic_fractions_linear_files/Yang_linear_img/258645135.jpg", "258645135")</f>
        <v>258645135</v>
      </c>
      <c r="C6916" s="3" t="str">
        <f>HYPERLINK("http://www.ncbi.nlm.nih.gov/protein/258645135","Slc38a10")</f>
        <v>Slc38a10</v>
      </c>
      <c r="E6916" t="str">
        <f>HYPERLINK("J:\Depot - mpkCCD Fractions\Main Web Page\Web Pages_old\proteomic_fractions_linear_files/Yang_linear_img/258645135.jpg","show blot")</f>
        <v>show blot</v>
      </c>
      <c r="G6916" t="s">
        <v>6690</v>
      </c>
      <c r="I6916" s="6">
        <v>2.3500005572586615</v>
      </c>
      <c r="K6916" s="8"/>
    </row>
    <row r="6917" spans="1:11" ht="15" x14ac:dyDescent="0.25">
      <c r="A6917" s="3" t="str">
        <f>HYPERLINK("proteomic_fractions_linear_files/Yang_linear_img/258645137.jpg", "258645137")</f>
        <v>258645137</v>
      </c>
      <c r="C6917" s="3" t="str">
        <f>HYPERLINK("http://www.ncbi.nlm.nih.gov/protein/258645137","Slc38a10")</f>
        <v>Slc38a10</v>
      </c>
      <c r="E6917" t="str">
        <f>HYPERLINK("J:\Depot - mpkCCD Fractions\Main Web Page\Web Pages_old\proteomic_fractions_linear_files/Yang_linear_img/258645137.jpg","show blot")</f>
        <v>show blot</v>
      </c>
      <c r="G6917" t="s">
        <v>6691</v>
      </c>
      <c r="I6917" s="6">
        <v>2.3500005572586615</v>
      </c>
      <c r="K6917" s="8"/>
    </row>
    <row r="6918" spans="1:11" ht="15" x14ac:dyDescent="0.25">
      <c r="A6918" s="3" t="str">
        <f>HYPERLINK("proteomic_fractions_linear_files/Yang_linear_img/27370116.jpg", "27370116")</f>
        <v>27370116</v>
      </c>
      <c r="C6918" s="3" t="str">
        <f>HYPERLINK("http://www.ncbi.nlm.nih.gov/protein/27370116","Slc38a7")</f>
        <v>Slc38a7</v>
      </c>
      <c r="E6918" t="str">
        <f>HYPERLINK("J:\Depot - mpkCCD Fractions\Main Web Page\Web Pages_old\proteomic_fractions_linear_files/Yang_linear_img/27370116.jpg","show blot")</f>
        <v>show blot</v>
      </c>
      <c r="G6918" t="s">
        <v>6692</v>
      </c>
      <c r="I6918" s="6">
        <v>3.8916409726248875</v>
      </c>
      <c r="K6918" s="8"/>
    </row>
    <row r="6919" spans="1:11" ht="15" x14ac:dyDescent="0.25">
      <c r="A6919" s="3" t="str">
        <f>HYPERLINK("proteomic_fractions_linear_files/Yang_linear_img/262073041.jpg", "262073041")</f>
        <v>262073041</v>
      </c>
      <c r="C6919" s="3" t="str">
        <f>HYPERLINK("http://www.ncbi.nlm.nih.gov/protein/262073041","Slc39a11")</f>
        <v>Slc39a11</v>
      </c>
      <c r="E6919" t="str">
        <f>HYPERLINK("J:\Depot - mpkCCD Fractions\Main Web Page\Web Pages_old\proteomic_fractions_linear_files/Yang_linear_img/262073041.jpg","show blot")</f>
        <v>show blot</v>
      </c>
      <c r="G6919" t="s">
        <v>6693</v>
      </c>
      <c r="I6919" s="6">
        <v>1.9758911364017928</v>
      </c>
      <c r="K6919" s="8"/>
    </row>
    <row r="6920" spans="1:11" ht="15" x14ac:dyDescent="0.25">
      <c r="A6920" s="3" t="str">
        <f>HYPERLINK("proteomic_fractions_linear_files/Yang_linear_img/262073043.jpg", "262073043")</f>
        <v>262073043</v>
      </c>
      <c r="C6920" s="3" t="str">
        <f>HYPERLINK("http://www.ncbi.nlm.nih.gov/protein/262073043","Slc39a11")</f>
        <v>Slc39a11</v>
      </c>
      <c r="E6920" t="str">
        <f>HYPERLINK("J:\Depot - mpkCCD Fractions\Main Web Page\Web Pages_old\proteomic_fractions_linear_files/Yang_linear_img/262073043.jpg","show blot")</f>
        <v>show blot</v>
      </c>
      <c r="G6920" t="s">
        <v>6694</v>
      </c>
      <c r="I6920" s="6">
        <v>1.9758911364017928</v>
      </c>
      <c r="K6920" s="8"/>
    </row>
    <row r="6921" spans="1:11" ht="15" x14ac:dyDescent="0.25">
      <c r="A6921" s="3" t="str">
        <f>HYPERLINK("proteomic_fractions_linear_files/Yang_linear_img/118150670.jpg", "118150670")</f>
        <v>118150670</v>
      </c>
      <c r="C6921" s="3" t="str">
        <f>HYPERLINK("http://www.ncbi.nlm.nih.gov/protein/118150670","Slc39a7")</f>
        <v>Slc39a7</v>
      </c>
      <c r="E6921" t="str">
        <f>HYPERLINK("J:\Depot - mpkCCD Fractions\Main Web Page\Web Pages_old\proteomic_fractions_linear_files/Yang_linear_img/118150670.jpg","show blot")</f>
        <v>show blot</v>
      </c>
      <c r="G6921" t="s">
        <v>6695</v>
      </c>
      <c r="I6921" s="6">
        <v>4.372085929225757</v>
      </c>
      <c r="K6921" s="8"/>
    </row>
    <row r="6922" spans="1:11" ht="15" x14ac:dyDescent="0.25">
      <c r="A6922" s="3" t="str">
        <f>HYPERLINK("proteomic_fractions_linear_files/Yang_linear_img/238637277.jpg", "238637277")</f>
        <v>238637277</v>
      </c>
      <c r="C6922" s="3" t="str">
        <f>HYPERLINK("http://www.ncbi.nlm.nih.gov/protein/238637277","Slc3a2")</f>
        <v>Slc3a2</v>
      </c>
      <c r="E6922" t="str">
        <f>HYPERLINK("J:\Depot - mpkCCD Fractions\Main Web Page\Web Pages_old\proteomic_fractions_linear_files/Yang_linear_img/238637277.jpg","show blot")</f>
        <v>show blot</v>
      </c>
      <c r="G6922" t="s">
        <v>6696</v>
      </c>
      <c r="I6922" s="6">
        <v>5.090172206885085</v>
      </c>
      <c r="K6922" s="8"/>
    </row>
    <row r="6923" spans="1:11" ht="15" x14ac:dyDescent="0.25">
      <c r="A6923" s="3" t="str">
        <f>HYPERLINK("proteomic_fractions_linear_files/Yang_linear_img/238637279.jpg", "238637279")</f>
        <v>238637279</v>
      </c>
      <c r="C6923" s="3" t="str">
        <f>HYPERLINK("http://www.ncbi.nlm.nih.gov/protein/238637279","Slc3a2")</f>
        <v>Slc3a2</v>
      </c>
      <c r="E6923" t="str">
        <f>HYPERLINK("J:\Depot - mpkCCD Fractions\Main Web Page\Web Pages_old\proteomic_fractions_linear_files/Yang_linear_img/238637279.jpg","show blot")</f>
        <v>show blot</v>
      </c>
      <c r="G6923" t="s">
        <v>6697</v>
      </c>
      <c r="I6923" s="6">
        <v>5.090172206885085</v>
      </c>
      <c r="K6923" s="8"/>
    </row>
    <row r="6924" spans="1:11" ht="15" x14ac:dyDescent="0.25">
      <c r="A6924" s="3" t="str">
        <f>HYPERLINK("proteomic_fractions_linear_files/Yang_linear_img/124248585.jpg", "124248585")</f>
        <v>124248585</v>
      </c>
      <c r="C6924" s="3" t="str">
        <f>HYPERLINK("http://www.ncbi.nlm.nih.gov/protein/124248585","Slc40a1")</f>
        <v>Slc40a1</v>
      </c>
      <c r="E6924" t="str">
        <f>HYPERLINK("J:\Depot - mpkCCD Fractions\Main Web Page\Web Pages_old\proteomic_fractions_linear_files/Yang_linear_img/124248585.jpg","show blot")</f>
        <v>show blot</v>
      </c>
      <c r="G6924" t="s">
        <v>6698</v>
      </c>
      <c r="I6924" s="6">
        <v>3.1486124809425649</v>
      </c>
      <c r="K6924" s="8"/>
    </row>
    <row r="6925" spans="1:11" ht="15" x14ac:dyDescent="0.25">
      <c r="A6925" s="3" t="str">
        <f>HYPERLINK("proteomic_fractions_linear_files/Yang_linear_img/313482803.jpg", "313482803")</f>
        <v>313482803</v>
      </c>
      <c r="C6925" s="3" t="str">
        <f>HYPERLINK("http://www.ncbi.nlm.nih.gov/protein/313482803","Slc43a2")</f>
        <v>Slc43a2</v>
      </c>
      <c r="E6925" t="str">
        <f>HYPERLINK("J:\Depot - mpkCCD Fractions\Main Web Page\Web Pages_old\proteomic_fractions_linear_files/Yang_linear_img/313482803.jpg","show blot")</f>
        <v>show blot</v>
      </c>
      <c r="G6925" t="s">
        <v>6699</v>
      </c>
      <c r="I6925" s="6">
        <v>1.6861748060955895</v>
      </c>
      <c r="K6925" s="8"/>
    </row>
    <row r="6926" spans="1:11" ht="15" x14ac:dyDescent="0.25">
      <c r="A6926" s="3" t="str">
        <f>HYPERLINK("proteomic_fractions_linear_files/Yang_linear_img/227499980.jpg", "227499980")</f>
        <v>227499980</v>
      </c>
      <c r="C6926" s="3" t="str">
        <f>HYPERLINK("http://www.ncbi.nlm.nih.gov/protein/227499980","Slc44a1")</f>
        <v>Slc44a1</v>
      </c>
      <c r="E6926" t="str">
        <f>HYPERLINK("J:\Depot - mpkCCD Fractions\Main Web Page\Web Pages_old\proteomic_fractions_linear_files/Yang_linear_img/227499980.jpg","show blot")</f>
        <v>show blot</v>
      </c>
      <c r="G6926" t="s">
        <v>6700</v>
      </c>
      <c r="I6926" s="6">
        <v>4.8691883449140496</v>
      </c>
      <c r="K6926" s="8"/>
    </row>
    <row r="6927" spans="1:11" ht="15" x14ac:dyDescent="0.25">
      <c r="A6927" s="3" t="str">
        <f>HYPERLINK("proteomic_fractions_linear_files/Yang_linear_img/227499988.jpg", "227499988")</f>
        <v>227499988</v>
      </c>
      <c r="C6927" s="3" t="str">
        <f>HYPERLINK("http://www.ncbi.nlm.nih.gov/protein/227499988","Slc44a1")</f>
        <v>Slc44a1</v>
      </c>
      <c r="E6927" t="str">
        <f>HYPERLINK("J:\Depot - mpkCCD Fractions\Main Web Page\Web Pages_old\proteomic_fractions_linear_files/Yang_linear_img/227499988.jpg","show blot")</f>
        <v>show blot</v>
      </c>
      <c r="G6927" t="s">
        <v>6701</v>
      </c>
      <c r="I6927" s="6">
        <v>4.8691883449140496</v>
      </c>
      <c r="K6927" s="8"/>
    </row>
    <row r="6928" spans="1:11" ht="15" x14ac:dyDescent="0.25">
      <c r="A6928" s="3" t="str">
        <f>HYPERLINK("proteomic_fractions_linear_files/Yang_linear_img/22779895.jpg", "22779895")</f>
        <v>22779895</v>
      </c>
      <c r="C6928" s="3" t="str">
        <f>HYPERLINK("http://www.ncbi.nlm.nih.gov/protein/22779895","Slc44a2")</f>
        <v>Slc44a2</v>
      </c>
      <c r="E6928" t="str">
        <f>HYPERLINK("J:\Depot - mpkCCD Fractions\Main Web Page\Web Pages_old\proteomic_fractions_linear_files/Yang_linear_img/22779895.jpg","show blot")</f>
        <v>show blot</v>
      </c>
      <c r="G6928" t="s">
        <v>6702</v>
      </c>
      <c r="I6928" s="6">
        <v>4.5424681480767539</v>
      </c>
      <c r="K6928" s="8"/>
    </row>
    <row r="6929" spans="1:11" ht="15" x14ac:dyDescent="0.25">
      <c r="A6929" s="3" t="str">
        <f>HYPERLINK("proteomic_fractions_linear_files/Yang_linear_img/312596932.jpg", "312596932")</f>
        <v>312596932</v>
      </c>
      <c r="C6929" s="3" t="str">
        <f>HYPERLINK("http://www.ncbi.nlm.nih.gov/protein/312596932","Slc44a2")</f>
        <v>Slc44a2</v>
      </c>
      <c r="E6929" t="str">
        <f>HYPERLINK("J:\Depot - mpkCCD Fractions\Main Web Page\Web Pages_old\proteomic_fractions_linear_files/Yang_linear_img/312596932.jpg","show blot")</f>
        <v>show blot</v>
      </c>
      <c r="G6929" t="s">
        <v>6703</v>
      </c>
      <c r="I6929" s="6">
        <v>4.5424681480767539</v>
      </c>
      <c r="K6929" s="8"/>
    </row>
    <row r="6930" spans="1:11" ht="15" x14ac:dyDescent="0.25">
      <c r="A6930" s="3" t="str">
        <f>HYPERLINK("proteomic_fractions_linear_files/Yang_linear_img/225579159.jpg", "225579159")</f>
        <v>225579159</v>
      </c>
      <c r="C6930" s="3" t="str">
        <f>HYPERLINK("http://www.ncbi.nlm.nih.gov/protein/225579159","Slc44a3")</f>
        <v>Slc44a3</v>
      </c>
      <c r="E6930" t="str">
        <f>HYPERLINK("J:\Depot - mpkCCD Fractions\Main Web Page\Web Pages_old\proteomic_fractions_linear_files/Yang_linear_img/225579159.jpg","show blot")</f>
        <v>show blot</v>
      </c>
      <c r="G6930" t="s">
        <v>6704</v>
      </c>
      <c r="I6930" s="6">
        <v>3.7108964125240043</v>
      </c>
      <c r="K6930" s="8"/>
    </row>
    <row r="6931" spans="1:11" ht="15" x14ac:dyDescent="0.25">
      <c r="A6931" s="3" t="str">
        <f>HYPERLINK("proteomic_fractions_linear_files/Yang_linear_img/12963733.jpg", "12963733")</f>
        <v>12963733</v>
      </c>
      <c r="C6931" s="3" t="str">
        <f>HYPERLINK("http://www.ncbi.nlm.nih.gov/protein/12963733","Slc44a4")</f>
        <v>Slc44a4</v>
      </c>
      <c r="E6931" t="str">
        <f>HYPERLINK("J:\Depot - mpkCCD Fractions\Main Web Page\Web Pages_old\proteomic_fractions_linear_files/Yang_linear_img/12963733.jpg","show blot")</f>
        <v>show blot</v>
      </c>
      <c r="G6931" t="s">
        <v>6705</v>
      </c>
      <c r="I6931" s="6">
        <v>3.6244527053813629</v>
      </c>
      <c r="K6931" s="8"/>
    </row>
    <row r="6932" spans="1:11" ht="15" x14ac:dyDescent="0.25">
      <c r="A6932" s="3" t="str">
        <f>HYPERLINK("proteomic_fractions_linear_files/Yang_linear_img/225543517.jpg", "225543517")</f>
        <v>225543517</v>
      </c>
      <c r="C6932" s="3" t="str">
        <f>HYPERLINK("http://www.ncbi.nlm.nih.gov/protein/225543517","Slc46a2")</f>
        <v>Slc46a2</v>
      </c>
      <c r="E6932" t="str">
        <f>HYPERLINK("J:\Depot - mpkCCD Fractions\Main Web Page\Web Pages_old\proteomic_fractions_linear_files/Yang_linear_img/225543517.jpg","show blot")</f>
        <v>show blot</v>
      </c>
      <c r="G6932" t="s">
        <v>6706</v>
      </c>
      <c r="I6932" s="6">
        <v>3.2174080119675543</v>
      </c>
      <c r="K6932" s="8"/>
    </row>
    <row r="6933" spans="1:11" ht="15" x14ac:dyDescent="0.25">
      <c r="A6933" s="3" t="str">
        <f>HYPERLINK("proteomic_fractions_linear_files/Yang_linear_img/85702045.jpg", "85702045")</f>
        <v>85702045</v>
      </c>
      <c r="C6933" s="3" t="str">
        <f>HYPERLINK("http://www.ncbi.nlm.nih.gov/protein/85702045","Slc47a2")</f>
        <v>Slc47a2</v>
      </c>
      <c r="E6933" t="str">
        <f>HYPERLINK("J:\Depot - mpkCCD Fractions\Main Web Page\Web Pages_old\proteomic_fractions_linear_files/Yang_linear_img/85702045.jpg","show blot")</f>
        <v>show blot</v>
      </c>
      <c r="G6933" t="s">
        <v>6707</v>
      </c>
      <c r="I6933" s="6">
        <v>4.2778866930760326</v>
      </c>
      <c r="K6933" s="8"/>
    </row>
    <row r="6934" spans="1:11" ht="15" x14ac:dyDescent="0.25">
      <c r="A6934" s="3" t="str">
        <f>HYPERLINK("proteomic_fractions_linear_files/Yang_linear_img/155722992.jpg", "155722992")</f>
        <v>155722992</v>
      </c>
      <c r="C6934" s="3" t="str">
        <f>HYPERLINK("http://www.ncbi.nlm.nih.gov/protein/155722992","Slc4a1ap")</f>
        <v>Slc4a1ap</v>
      </c>
      <c r="E6934" t="str">
        <f>HYPERLINK("J:\Depot - mpkCCD Fractions\Main Web Page\Web Pages_old\proteomic_fractions_linear_files/Yang_linear_img/155722992.jpg","show blot")</f>
        <v>show blot</v>
      </c>
      <c r="G6934" t="s">
        <v>6708</v>
      </c>
      <c r="I6934" s="6">
        <v>3.9778378977302724</v>
      </c>
      <c r="K6934" s="8"/>
    </row>
    <row r="6935" spans="1:11" ht="15" x14ac:dyDescent="0.25">
      <c r="A6935" s="3" t="str">
        <f>HYPERLINK("proteomic_fractions_linear_files/Yang_linear_img/359751389.jpg", "359751389")</f>
        <v>359751389</v>
      </c>
      <c r="C6935" s="3" t="str">
        <f>HYPERLINK("http://www.ncbi.nlm.nih.gov/protein/359751389","Slc4a2")</f>
        <v>Slc4a2</v>
      </c>
      <c r="E6935" t="str">
        <f>HYPERLINK("J:\Depot - mpkCCD Fractions\Main Web Page\Web Pages_old\proteomic_fractions_linear_files/Yang_linear_img/359751389.jpg","show blot")</f>
        <v>show blot</v>
      </c>
      <c r="G6935" t="s">
        <v>6709</v>
      </c>
      <c r="I6935" s="6">
        <v>3.5942134428973356</v>
      </c>
      <c r="K6935" s="8"/>
    </row>
    <row r="6936" spans="1:11" ht="15" x14ac:dyDescent="0.25">
      <c r="A6936" s="3" t="str">
        <f>HYPERLINK("proteomic_fractions_linear_files/Yang_linear_img/161169001;359751389.jpg", "161169001;359751389")</f>
        <v>161169001;359751389</v>
      </c>
      <c r="C6936" s="3" t="str">
        <f>HYPERLINK("http://www.ncbi.nlm.nih.gov/protein/161169001;359751389","Slc4a2")</f>
        <v>Slc4a2</v>
      </c>
      <c r="E6936" t="str">
        <f>HYPERLINK("J:\Depot - mpkCCD Fractions\Main Web Page\Web Pages_old\proteomic_fractions_linear_files/Yang_linear_img/161169001;359751389.jpg","show blot")</f>
        <v>show blot</v>
      </c>
      <c r="G6936" t="s">
        <v>6709</v>
      </c>
      <c r="I6936" s="6">
        <v>3.5942134428973356</v>
      </c>
      <c r="K6936" s="8"/>
    </row>
    <row r="6937" spans="1:11" ht="15" x14ac:dyDescent="0.25">
      <c r="A6937" s="3" t="str">
        <f>HYPERLINK("proteomic_fractions_linear_files/Yang_linear_img/165377246.jpg", "165377246")</f>
        <v>165377246</v>
      </c>
      <c r="C6937" s="3" t="str">
        <f>HYPERLINK("http://www.ncbi.nlm.nih.gov/protein/165377246","Slc4a3")</f>
        <v>Slc4a3</v>
      </c>
      <c r="E6937" t="str">
        <f>HYPERLINK("J:\Depot - mpkCCD Fractions\Main Web Page\Web Pages_old\proteomic_fractions_linear_files/Yang_linear_img/165377246.jpg","show blot")</f>
        <v>show blot</v>
      </c>
      <c r="G6937" t="s">
        <v>6710</v>
      </c>
      <c r="I6937" s="6">
        <v>3.356545875515951</v>
      </c>
      <c r="K6937" s="8"/>
    </row>
    <row r="6938" spans="1:11" ht="15" x14ac:dyDescent="0.25">
      <c r="A6938" s="3" t="str">
        <f>HYPERLINK("proteomic_fractions_linear_files/Yang_linear_img/133922580.jpg", "133922580")</f>
        <v>133922580</v>
      </c>
      <c r="C6938" s="3" t="str">
        <f>HYPERLINK("http://www.ncbi.nlm.nih.gov/protein/133922580","Slc4a4")</f>
        <v>Slc4a4</v>
      </c>
      <c r="E6938" t="str">
        <f>HYPERLINK("J:\Depot - mpkCCD Fractions\Main Web Page\Web Pages_old\proteomic_fractions_linear_files/Yang_linear_img/133922580.jpg","show blot")</f>
        <v>show blot</v>
      </c>
      <c r="G6938" t="s">
        <v>6711</v>
      </c>
      <c r="I6938" s="6">
        <v>2.730080798761894</v>
      </c>
      <c r="K6938" s="8"/>
    </row>
    <row r="6939" spans="1:11" ht="15" x14ac:dyDescent="0.25">
      <c r="A6939" s="3" t="str">
        <f>HYPERLINK("proteomic_fractions_linear_files/Yang_linear_img/210147430.jpg", "210147430")</f>
        <v>210147430</v>
      </c>
      <c r="C6939" s="3" t="str">
        <f>HYPERLINK("http://www.ncbi.nlm.nih.gov/protein/210147430","Slc4a4")</f>
        <v>Slc4a4</v>
      </c>
      <c r="E6939" t="str">
        <f>HYPERLINK("J:\Depot - mpkCCD Fractions\Main Web Page\Web Pages_old\proteomic_fractions_linear_files/Yang_linear_img/210147430.jpg","show blot")</f>
        <v>show blot</v>
      </c>
      <c r="G6939" t="s">
        <v>6712</v>
      </c>
      <c r="I6939" s="6">
        <v>2.730080798761894</v>
      </c>
      <c r="K6939" s="8"/>
    </row>
    <row r="6940" spans="1:11" ht="15" x14ac:dyDescent="0.25">
      <c r="A6940" s="3" t="str">
        <f>HYPERLINK("proteomic_fractions_linear_files/Yang_linear_img/308210768.jpg", "308210768")</f>
        <v>308210768</v>
      </c>
      <c r="C6940" s="3" t="str">
        <f>HYPERLINK("http://www.ncbi.nlm.nih.gov/protein/308210768","Slc4a4")</f>
        <v>Slc4a4</v>
      </c>
      <c r="E6940" t="str">
        <f>HYPERLINK("J:\Depot - mpkCCD Fractions\Main Web Page\Web Pages_old\proteomic_fractions_linear_files/Yang_linear_img/308210768.jpg","show blot")</f>
        <v>show blot</v>
      </c>
      <c r="G6940" t="s">
        <v>6713</v>
      </c>
      <c r="I6940" s="6">
        <v>2.730080798761894</v>
      </c>
      <c r="K6940" s="8"/>
    </row>
    <row r="6941" spans="1:11" ht="15" x14ac:dyDescent="0.25">
      <c r="A6941" s="3" t="str">
        <f>HYPERLINK("proteomic_fractions_linear_files/Yang_linear_img/117320529.jpg", "117320529")</f>
        <v>117320529</v>
      </c>
      <c r="C6941" s="3" t="str">
        <f>HYPERLINK("http://www.ncbi.nlm.nih.gov/protein/117320529","Slc4a7")</f>
        <v>Slc4a7</v>
      </c>
      <c r="E6941" t="str">
        <f>HYPERLINK("J:\Depot - mpkCCD Fractions\Main Web Page\Web Pages_old\proteomic_fractions_linear_files/Yang_linear_img/117320529.jpg","show blot")</f>
        <v>show blot</v>
      </c>
      <c r="G6941" t="s">
        <v>6714</v>
      </c>
      <c r="I6941" s="6">
        <v>2.5916002385558228</v>
      </c>
      <c r="K6941" s="8"/>
    </row>
    <row r="6942" spans="1:11" ht="15" x14ac:dyDescent="0.25">
      <c r="A6942" s="3" t="str">
        <f>HYPERLINK("proteomic_fractions_linear_files/Yang_linear_img/22122353.jpg", "22122353")</f>
        <v>22122353</v>
      </c>
      <c r="C6942" s="3" t="str">
        <f>HYPERLINK("http://www.ncbi.nlm.nih.gov/protein/22122353","Slc51a")</f>
        <v>Slc51a</v>
      </c>
      <c r="E6942" t="str">
        <f>HYPERLINK("J:\Depot - mpkCCD Fractions\Main Web Page\Web Pages_old\proteomic_fractions_linear_files/Yang_linear_img/22122353.jpg","show blot")</f>
        <v>show blot</v>
      </c>
      <c r="G6942" t="s">
        <v>6715</v>
      </c>
      <c r="I6942" s="6">
        <v>4.5006960851375322</v>
      </c>
      <c r="K6942" s="8"/>
    </row>
    <row r="6943" spans="1:11" ht="15" x14ac:dyDescent="0.25">
      <c r="A6943" s="3" t="str">
        <f>HYPERLINK("proteomic_fractions_linear_files/Yang_linear_img/148536859.jpg", "148536859")</f>
        <v>148536859</v>
      </c>
      <c r="C6943" s="3" t="str">
        <f>HYPERLINK("http://www.ncbi.nlm.nih.gov/protein/148536859","Slc5a3")</f>
        <v>Slc5a3</v>
      </c>
      <c r="E6943" t="str">
        <f>HYPERLINK("J:\Depot - mpkCCD Fractions\Main Web Page\Web Pages_old\proteomic_fractions_linear_files/Yang_linear_img/148536859.jpg","show blot")</f>
        <v>show blot</v>
      </c>
      <c r="G6943" t="s">
        <v>6716</v>
      </c>
      <c r="I6943" s="6">
        <v>3.4919351767580897</v>
      </c>
      <c r="K6943" s="8"/>
    </row>
    <row r="6944" spans="1:11" ht="15" x14ac:dyDescent="0.25">
      <c r="A6944" s="3" t="str">
        <f>HYPERLINK("proteomic_fractions_linear_files/Yang_linear_img/31982828.jpg", "31982828")</f>
        <v>31982828</v>
      </c>
      <c r="C6944" s="3" t="str">
        <f>HYPERLINK("http://www.ncbi.nlm.nih.gov/protein/31982828","Slc6a6")</f>
        <v>Slc6a6</v>
      </c>
      <c r="E6944" t="str">
        <f>HYPERLINK("J:\Depot - mpkCCD Fractions\Main Web Page\Web Pages_old\proteomic_fractions_linear_files/Yang_linear_img/31982828.jpg","show blot")</f>
        <v>show blot</v>
      </c>
      <c r="G6944" t="s">
        <v>6717</v>
      </c>
      <c r="I6944" s="6">
        <v>4.0005823906582343</v>
      </c>
      <c r="K6944" s="8"/>
    </row>
    <row r="6945" spans="1:11" ht="15" x14ac:dyDescent="0.25">
      <c r="A6945" s="3" t="str">
        <f>HYPERLINK("proteomic_fractions_linear_files/Yang_linear_img/161016790.jpg", "161016790")</f>
        <v>161016790</v>
      </c>
      <c r="C6945" s="3" t="str">
        <f>HYPERLINK("http://www.ncbi.nlm.nih.gov/protein/161016790","Slc7a1")</f>
        <v>Slc7a1</v>
      </c>
      <c r="E6945" t="str">
        <f>HYPERLINK("J:\Depot - mpkCCD Fractions\Main Web Page\Web Pages_old\proteomic_fractions_linear_files/Yang_linear_img/161016790.jpg","show blot")</f>
        <v>show blot</v>
      </c>
      <c r="G6945" t="s">
        <v>6718</v>
      </c>
      <c r="I6945" s="6">
        <v>4.6031284811567073</v>
      </c>
      <c r="K6945" s="8"/>
    </row>
    <row r="6946" spans="1:11" ht="15" x14ac:dyDescent="0.25">
      <c r="A6946" s="3" t="str">
        <f>HYPERLINK("proteomic_fractions_linear_files/Yang_linear_img/6756011.jpg", "6756011")</f>
        <v>6756011</v>
      </c>
      <c r="C6946" s="3" t="str">
        <f>HYPERLINK("http://www.ncbi.nlm.nih.gov/protein/6756011","Slc7a11")</f>
        <v>Slc7a11</v>
      </c>
      <c r="E6946" t="str">
        <f>HYPERLINK("J:\Depot - mpkCCD Fractions\Main Web Page\Web Pages_old\proteomic_fractions_linear_files/Yang_linear_img/6756011.jpg","show blot")</f>
        <v>show blot</v>
      </c>
      <c r="G6946" t="s">
        <v>6719</v>
      </c>
      <c r="I6946" s="6">
        <v>2.6972451984206929</v>
      </c>
      <c r="K6946" s="8"/>
    </row>
    <row r="6947" spans="1:11" ht="15" x14ac:dyDescent="0.25">
      <c r="A6947" s="3" t="str">
        <f>HYPERLINK("proteomic_fractions_linear_files/Yang_linear_img/113680233.jpg", "113680233")</f>
        <v>113680233</v>
      </c>
      <c r="C6947" s="3" t="str">
        <f>HYPERLINK("http://www.ncbi.nlm.nih.gov/protein/113680233","Slc7a2")</f>
        <v>Slc7a2</v>
      </c>
      <c r="E6947" t="str">
        <f>HYPERLINK("J:\Depot - mpkCCD Fractions\Main Web Page\Web Pages_old\proteomic_fractions_linear_files/Yang_linear_img/113680233.jpg","show blot")</f>
        <v>show blot</v>
      </c>
      <c r="G6947" t="s">
        <v>6720</v>
      </c>
      <c r="I6947" s="6">
        <v>3.119242271413377</v>
      </c>
      <c r="K6947" s="8"/>
    </row>
    <row r="6948" spans="1:11" ht="15" x14ac:dyDescent="0.25">
      <c r="A6948" s="3" t="str">
        <f>HYPERLINK("proteomic_fractions_linear_files/Yang_linear_img/31982764.jpg", "31982764")</f>
        <v>31982764</v>
      </c>
      <c r="C6948" s="3" t="str">
        <f>HYPERLINK("http://www.ncbi.nlm.nih.gov/protein/31982764","Slc7a5")</f>
        <v>Slc7a5</v>
      </c>
      <c r="E6948" t="str">
        <f>HYPERLINK("J:\Depot - mpkCCD Fractions\Main Web Page\Web Pages_old\proteomic_fractions_linear_files/Yang_linear_img/31982764.jpg","show blot")</f>
        <v>show blot</v>
      </c>
      <c r="G6948" t="s">
        <v>6721</v>
      </c>
      <c r="I6948" s="6">
        <v>4.1737004111793157</v>
      </c>
      <c r="K6948" s="8"/>
    </row>
    <row r="6949" spans="1:11" ht="15" x14ac:dyDescent="0.25">
      <c r="A6949" s="3" t="str">
        <f>HYPERLINK("proteomic_fractions_linear_files/Yang_linear_img/57222272.jpg", "57222272")</f>
        <v>57222272</v>
      </c>
      <c r="C6949" s="3" t="str">
        <f>HYPERLINK("http://www.ncbi.nlm.nih.gov/protein/57222272","Slc7a6os")</f>
        <v>Slc7a6os</v>
      </c>
      <c r="E6949" t="str">
        <f>HYPERLINK("J:\Depot - mpkCCD Fractions\Main Web Page\Web Pages_old\proteomic_fractions_linear_files/Yang_linear_img/57222272.jpg","show blot")</f>
        <v>show blot</v>
      </c>
      <c r="G6949" t="s">
        <v>6722</v>
      </c>
      <c r="I6949" s="6">
        <v>4.0613795899763829</v>
      </c>
      <c r="K6949" s="8"/>
    </row>
    <row r="6950" spans="1:11" ht="15" x14ac:dyDescent="0.25">
      <c r="A6950" s="3" t="str">
        <f>HYPERLINK("proteomic_fractions_linear_files/Yang_linear_img/8567404.jpg", "8567404")</f>
        <v>8567404</v>
      </c>
      <c r="C6950" s="3" t="str">
        <f>HYPERLINK("http://www.ncbi.nlm.nih.gov/protein/8567404","Slc9a1")</f>
        <v>Slc9a1</v>
      </c>
      <c r="E6950" t="str">
        <f>HYPERLINK("J:\Depot - mpkCCD Fractions\Main Web Page\Web Pages_old\proteomic_fractions_linear_files/Yang_linear_img/8567404.jpg","show blot")</f>
        <v>show blot</v>
      </c>
      <c r="G6950" t="s">
        <v>6723</v>
      </c>
      <c r="I6950" s="6">
        <v>2.4865681136650322</v>
      </c>
      <c r="K6950" s="8"/>
    </row>
    <row r="6951" spans="1:11" ht="15" x14ac:dyDescent="0.25">
      <c r="A6951" s="3" t="str">
        <f>HYPERLINK("proteomic_fractions_linear_files/Yang_linear_img/6755566.jpg", "6755566")</f>
        <v>6755566</v>
      </c>
      <c r="C6951" s="3" t="str">
        <f>HYPERLINK("http://www.ncbi.nlm.nih.gov/protein/6755566","Slc9a3r1")</f>
        <v>Slc9a3r1</v>
      </c>
      <c r="E6951" t="str">
        <f>HYPERLINK("J:\Depot - mpkCCD Fractions\Main Web Page\Web Pages_old\proteomic_fractions_linear_files/Yang_linear_img/6755566.jpg","show blot")</f>
        <v>show blot</v>
      </c>
      <c r="G6951" t="s">
        <v>6724</v>
      </c>
      <c r="I6951" s="6">
        <v>6.4838862856167134</v>
      </c>
      <c r="K6951" s="8"/>
    </row>
    <row r="6952" spans="1:11" ht="15" x14ac:dyDescent="0.25">
      <c r="A6952" s="3" t="str">
        <f>HYPERLINK("proteomic_fractions_linear_files/Yang_linear_img/84490391.jpg", "84490391")</f>
        <v>84490391</v>
      </c>
      <c r="C6952" s="3" t="str">
        <f>HYPERLINK("http://www.ncbi.nlm.nih.gov/protein/84490391","Slfn4")</f>
        <v>Slfn4</v>
      </c>
      <c r="E6952" t="str">
        <f>HYPERLINK("J:\Depot - mpkCCD Fractions\Main Web Page\Web Pages_old\proteomic_fractions_linear_files/Yang_linear_img/84490391.jpg","show blot")</f>
        <v>show blot</v>
      </c>
      <c r="G6952" t="s">
        <v>6725</v>
      </c>
      <c r="I6952" s="6">
        <v>4.7300971056796657</v>
      </c>
      <c r="K6952" s="8"/>
    </row>
    <row r="6953" spans="1:11" ht="15" x14ac:dyDescent="0.25">
      <c r="A6953" s="3" t="str">
        <f>HYPERLINK("proteomic_fractions_linear_files/Yang_linear_img/268370030.jpg", "268370030")</f>
        <v>268370030</v>
      </c>
      <c r="C6953" s="3" t="str">
        <f>HYPERLINK("http://www.ncbi.nlm.nih.gov/protein/268370030","Slfn8")</f>
        <v>Slfn8</v>
      </c>
      <c r="E6953" t="str">
        <f>HYPERLINK("J:\Depot - mpkCCD Fractions\Main Web Page\Web Pages_old\proteomic_fractions_linear_files/Yang_linear_img/268370030.jpg","show blot")</f>
        <v>show blot</v>
      </c>
      <c r="G6953" t="s">
        <v>6726</v>
      </c>
      <c r="I6953" s="6">
        <v>3.5589593156896027</v>
      </c>
      <c r="K6953" s="8"/>
    </row>
    <row r="6954" spans="1:11" ht="15" x14ac:dyDescent="0.25">
      <c r="A6954" s="3" t="str">
        <f>HYPERLINK("proteomic_fractions_linear_files/Yang_linear_img/116089296.jpg", "116089296")</f>
        <v>116089296</v>
      </c>
      <c r="C6954" s="3" t="str">
        <f>HYPERLINK("http://www.ncbi.nlm.nih.gov/protein/116089296","Slfn9")</f>
        <v>Slfn9</v>
      </c>
      <c r="E6954" t="str">
        <f>HYPERLINK("J:\Depot - mpkCCD Fractions\Main Web Page\Web Pages_old\proteomic_fractions_linear_files/Yang_linear_img/116089296.jpg","show blot")</f>
        <v>show blot</v>
      </c>
      <c r="G6954" t="s">
        <v>6727</v>
      </c>
      <c r="I6954" s="6">
        <v>3.887064588946505</v>
      </c>
      <c r="K6954" s="8"/>
    </row>
    <row r="6955" spans="1:11" ht="15" x14ac:dyDescent="0.25">
      <c r="A6955" s="3" t="str">
        <f>HYPERLINK("proteomic_fractions_linear_files/Yang_linear_img/283046784.jpg", "283046784")</f>
        <v>283046784</v>
      </c>
      <c r="C6955" s="3" t="str">
        <f>HYPERLINK("http://www.ncbi.nlm.nih.gov/protein/283046784","Slirp")</f>
        <v>Slirp</v>
      </c>
      <c r="E6955" t="str">
        <f>HYPERLINK("J:\Depot - mpkCCD Fractions\Main Web Page\Web Pages_old\proteomic_fractions_linear_files/Yang_linear_img/283046784.jpg","show blot")</f>
        <v>show blot</v>
      </c>
      <c r="G6955" t="s">
        <v>6728</v>
      </c>
      <c r="I6955" s="6">
        <v>4.5300267220673511</v>
      </c>
      <c r="K6955" s="8"/>
    </row>
    <row r="6956" spans="1:11" ht="15" x14ac:dyDescent="0.25">
      <c r="A6956" s="3" t="str">
        <f>HYPERLINK("proteomic_fractions_linear_files/Yang_linear_img/257467552.jpg", "257467552")</f>
        <v>257467552</v>
      </c>
      <c r="C6956" s="3" t="str">
        <f>HYPERLINK("http://www.ncbi.nlm.nih.gov/protein/257467552","Slk")</f>
        <v>Slk</v>
      </c>
      <c r="E6956" t="str">
        <f>HYPERLINK("J:\Depot - mpkCCD Fractions\Main Web Page\Web Pages_old\proteomic_fractions_linear_files/Yang_linear_img/257467552.jpg","show blot")</f>
        <v>show blot</v>
      </c>
      <c r="G6956" t="s">
        <v>6729</v>
      </c>
      <c r="I6956" s="6">
        <v>5.6082107635316722</v>
      </c>
      <c r="K6956" s="8"/>
    </row>
    <row r="6957" spans="1:11" ht="15" x14ac:dyDescent="0.25">
      <c r="A6957" s="3" t="str">
        <f>HYPERLINK("proteomic_fractions_linear_files/Yang_linear_img/257467554.jpg", "257467554")</f>
        <v>257467554</v>
      </c>
      <c r="C6957" s="3" t="str">
        <f>HYPERLINK("http://www.ncbi.nlm.nih.gov/protein/257467554","Slk")</f>
        <v>Slk</v>
      </c>
      <c r="E6957" t="str">
        <f>HYPERLINK("J:\Depot - mpkCCD Fractions\Main Web Page\Web Pages_old\proteomic_fractions_linear_files/Yang_linear_img/257467554.jpg","show blot")</f>
        <v>show blot</v>
      </c>
      <c r="G6957" t="s">
        <v>6730</v>
      </c>
      <c r="I6957" s="6">
        <v>5.6082107635316722</v>
      </c>
      <c r="K6957" s="8"/>
    </row>
    <row r="6958" spans="1:11" ht="15" x14ac:dyDescent="0.25">
      <c r="A6958" s="3" t="str">
        <f>HYPERLINK("proteomic_fractions_linear_files/Yang_linear_img/13384954.jpg", "13384954")</f>
        <v>13384954</v>
      </c>
      <c r="C6958" s="3" t="str">
        <f>HYPERLINK("http://www.ncbi.nlm.nih.gov/protein/13384954","Slmo2")</f>
        <v>Slmo2</v>
      </c>
      <c r="E6958" t="str">
        <f>HYPERLINK("J:\Depot - mpkCCD Fractions\Main Web Page\Web Pages_old\proteomic_fractions_linear_files/Yang_linear_img/13384954.jpg","show blot")</f>
        <v>show blot</v>
      </c>
      <c r="G6958" t="s">
        <v>6731</v>
      </c>
      <c r="I6958" s="6">
        <v>2.6116672849241183</v>
      </c>
      <c r="K6958" s="8"/>
    </row>
    <row r="6959" spans="1:11" ht="15" x14ac:dyDescent="0.25">
      <c r="A6959" s="3" t="str">
        <f>HYPERLINK("proteomic_fractions_linear_files/Yang_linear_img/31543220.jpg", "31543220")</f>
        <v>31543220</v>
      </c>
      <c r="C6959" s="3" t="str">
        <f>HYPERLINK("http://www.ncbi.nlm.nih.gov/protein/31543220","Smad1")</f>
        <v>Smad1</v>
      </c>
      <c r="E6959" t="str">
        <f>HYPERLINK("J:\Depot - mpkCCD Fractions\Main Web Page\Web Pages_old\proteomic_fractions_linear_files/Yang_linear_img/31543220.jpg","show blot")</f>
        <v>show blot</v>
      </c>
      <c r="G6959" t="s">
        <v>6732</v>
      </c>
      <c r="I6959" s="6">
        <v>3.8404249585836885</v>
      </c>
      <c r="K6959" s="8"/>
    </row>
    <row r="6960" spans="1:11" ht="15" x14ac:dyDescent="0.25">
      <c r="A6960" s="3" t="str">
        <f>HYPERLINK("proteomic_fractions_linear_files/Yang_linear_img/31560568.jpg", "31560568")</f>
        <v>31560568</v>
      </c>
      <c r="C6960" s="3" t="str">
        <f>HYPERLINK("http://www.ncbi.nlm.nih.gov/protein/31560568","Smad2")</f>
        <v>Smad2</v>
      </c>
      <c r="E6960" t="str">
        <f>HYPERLINK("J:\Depot - mpkCCD Fractions\Main Web Page\Web Pages_old\proteomic_fractions_linear_files/Yang_linear_img/31560568.jpg","show blot")</f>
        <v>show blot</v>
      </c>
      <c r="G6960" t="s">
        <v>6733</v>
      </c>
      <c r="I6960" s="6">
        <v>4.7578598151927904</v>
      </c>
      <c r="K6960" s="8"/>
    </row>
    <row r="6961" spans="1:11" ht="15" x14ac:dyDescent="0.25">
      <c r="A6961" s="3" t="str">
        <f>HYPERLINK("proteomic_fractions_linear_files/Yang_linear_img/254675249.jpg", "254675249")</f>
        <v>254675249</v>
      </c>
      <c r="C6961" s="3" t="str">
        <f>HYPERLINK("http://www.ncbi.nlm.nih.gov/protein/254675249","Smad3")</f>
        <v>Smad3</v>
      </c>
      <c r="E6961" t="str">
        <f>HYPERLINK("J:\Depot - mpkCCD Fractions\Main Web Page\Web Pages_old\proteomic_fractions_linear_files/Yang_linear_img/254675249.jpg","show blot")</f>
        <v>show blot</v>
      </c>
      <c r="G6961" t="s">
        <v>6734</v>
      </c>
      <c r="I6961" s="6">
        <v>4.2083182473871874</v>
      </c>
      <c r="K6961" s="8"/>
    </row>
    <row r="6962" spans="1:11" ht="15" x14ac:dyDescent="0.25">
      <c r="A6962" s="3" t="str">
        <f>HYPERLINK("proteomic_fractions_linear_files/Yang_linear_img/255708405.jpg", "255708405")</f>
        <v>255708405</v>
      </c>
      <c r="C6962" s="3" t="str">
        <f>HYPERLINK("http://www.ncbi.nlm.nih.gov/protein/255708405","Smad5")</f>
        <v>Smad5</v>
      </c>
      <c r="E6962" t="str">
        <f>HYPERLINK("J:\Depot - mpkCCD Fractions\Main Web Page\Web Pages_old\proteomic_fractions_linear_files/Yang_linear_img/255708405.jpg","show blot")</f>
        <v>show blot</v>
      </c>
      <c r="G6962" t="s">
        <v>6735</v>
      </c>
      <c r="I6962" s="6">
        <v>3.8404249585836885</v>
      </c>
      <c r="K6962" s="8"/>
    </row>
    <row r="6963" spans="1:11" ht="15" x14ac:dyDescent="0.25">
      <c r="A6963" s="3" t="str">
        <f>HYPERLINK("proteomic_fractions_linear_files/Yang_linear_img/84490384.jpg", "84490384")</f>
        <v>84490384</v>
      </c>
      <c r="C6963" s="3" t="str">
        <f>HYPERLINK("http://www.ncbi.nlm.nih.gov/protein/84490384","Smad9")</f>
        <v>Smad9</v>
      </c>
      <c r="E6963" t="str">
        <f>HYPERLINK("J:\Depot - mpkCCD Fractions\Main Web Page\Web Pages_old\proteomic_fractions_linear_files/Yang_linear_img/84490384.jpg","show blot")</f>
        <v>show blot</v>
      </c>
      <c r="G6963" t="s">
        <v>6736</v>
      </c>
      <c r="I6963" s="6">
        <v>4.0414708495725824</v>
      </c>
      <c r="K6963" s="8"/>
    </row>
    <row r="6964" spans="1:11" ht="15" x14ac:dyDescent="0.25">
      <c r="A6964" s="3" t="str">
        <f>HYPERLINK("proteomic_fractions_linear_files/Yang_linear_img/262050608.jpg", "262050608")</f>
        <v>262050608</v>
      </c>
      <c r="C6964" s="3" t="str">
        <f>HYPERLINK("http://www.ncbi.nlm.nih.gov/protein/262050608","Smarca1")</f>
        <v>Smarca1</v>
      </c>
      <c r="E6964" t="str">
        <f>HYPERLINK("J:\Depot - mpkCCD Fractions\Main Web Page\Web Pages_old\proteomic_fractions_linear_files/Yang_linear_img/262050608.jpg","show blot")</f>
        <v>show blot</v>
      </c>
      <c r="G6964" t="s">
        <v>6737</v>
      </c>
      <c r="I6964" s="6">
        <v>4.1831881193517431</v>
      </c>
      <c r="K6964" s="8"/>
    </row>
    <row r="6965" spans="1:11" ht="15" x14ac:dyDescent="0.25">
      <c r="A6965" s="3" t="str">
        <f>HYPERLINK("proteomic_fractions_linear_files/Yang_linear_img/21313112.jpg", "21313112")</f>
        <v>21313112</v>
      </c>
      <c r="C6965" s="3" t="str">
        <f>HYPERLINK("http://www.ncbi.nlm.nih.gov/protein/21313112","Smarca2")</f>
        <v>Smarca2</v>
      </c>
      <c r="E6965" t="str">
        <f>HYPERLINK("J:\Depot - mpkCCD Fractions\Main Web Page\Web Pages_old\proteomic_fractions_linear_files/Yang_linear_img/21313112.jpg","show blot")</f>
        <v>show blot</v>
      </c>
      <c r="G6965" t="s">
        <v>6738</v>
      </c>
      <c r="I6965" s="6">
        <v>3.2384609953805992</v>
      </c>
      <c r="K6965" s="8"/>
    </row>
    <row r="6966" spans="1:11" ht="15" x14ac:dyDescent="0.25">
      <c r="A6966" s="3" t="str">
        <f>HYPERLINK("proteomic_fractions_linear_files/Yang_linear_img/51593084.jpg", "51593084")</f>
        <v>51593084</v>
      </c>
      <c r="C6966" s="3" t="str">
        <f>HYPERLINK("http://www.ncbi.nlm.nih.gov/protein/51593084","Smarca2")</f>
        <v>Smarca2</v>
      </c>
      <c r="E6966" t="str">
        <f>HYPERLINK("J:\Depot - mpkCCD Fractions\Main Web Page\Web Pages_old\proteomic_fractions_linear_files/Yang_linear_img/51593084.jpg","show blot")</f>
        <v>show blot</v>
      </c>
      <c r="G6966" t="s">
        <v>6739</v>
      </c>
      <c r="I6966" s="6">
        <v>3.2384609953805992</v>
      </c>
      <c r="K6966" s="8"/>
    </row>
    <row r="6967" spans="1:11" ht="15" x14ac:dyDescent="0.25">
      <c r="A6967" s="3" t="str">
        <f>HYPERLINK("proteomic_fractions_linear_files/Yang_linear_img/291463269.jpg", "291463269")</f>
        <v>291463269</v>
      </c>
      <c r="C6967" s="3" t="str">
        <f>HYPERLINK("http://www.ncbi.nlm.nih.gov/protein/291463269","Smarca4")</f>
        <v>Smarca4</v>
      </c>
      <c r="E6967" t="str">
        <f>HYPERLINK("J:\Depot - mpkCCD Fractions\Main Web Page\Web Pages_old\proteomic_fractions_linear_files/Yang_linear_img/291463269.jpg","show blot")</f>
        <v>show blot</v>
      </c>
      <c r="G6967" t="s">
        <v>6740</v>
      </c>
      <c r="I6967" s="6">
        <v>4.3830634454668829</v>
      </c>
      <c r="K6967" s="8"/>
    </row>
    <row r="6968" spans="1:11" ht="15" x14ac:dyDescent="0.25">
      <c r="A6968" s="3" t="str">
        <f>HYPERLINK("proteomic_fractions_linear_files/Yang_linear_img/291463271.jpg", "291463271")</f>
        <v>291463271</v>
      </c>
      <c r="C6968" s="3" t="str">
        <f>HYPERLINK("http://www.ncbi.nlm.nih.gov/protein/291463271","Smarca4")</f>
        <v>Smarca4</v>
      </c>
      <c r="E6968" t="str">
        <f>HYPERLINK("J:\Depot - mpkCCD Fractions\Main Web Page\Web Pages_old\proteomic_fractions_linear_files/Yang_linear_img/291463271.jpg","show blot")</f>
        <v>show blot</v>
      </c>
      <c r="G6968" t="s">
        <v>6741</v>
      </c>
      <c r="I6968" s="6">
        <v>4.3830634454668829</v>
      </c>
      <c r="K6968" s="8"/>
    </row>
    <row r="6969" spans="1:11" ht="15" x14ac:dyDescent="0.25">
      <c r="A6969" s="3" t="str">
        <f>HYPERLINK("proteomic_fractions_linear_files/Yang_linear_img/76253779.jpg", "76253779")</f>
        <v>76253779</v>
      </c>
      <c r="C6969" s="3" t="str">
        <f>HYPERLINK("http://www.ncbi.nlm.nih.gov/protein/76253779","Smarca4")</f>
        <v>Smarca4</v>
      </c>
      <c r="E6969" t="str">
        <f>HYPERLINK("J:\Depot - mpkCCD Fractions\Main Web Page\Web Pages_old\proteomic_fractions_linear_files/Yang_linear_img/76253779.jpg","show blot")</f>
        <v>show blot</v>
      </c>
      <c r="G6969" t="s">
        <v>6742</v>
      </c>
      <c r="I6969" s="6">
        <v>4.3830634454668829</v>
      </c>
      <c r="K6969" s="8"/>
    </row>
    <row r="6970" spans="1:11" ht="15" x14ac:dyDescent="0.25">
      <c r="A6970" s="3" t="str">
        <f>HYPERLINK("proteomic_fractions_linear_files/Yang_linear_img/40254124.jpg", "40254124")</f>
        <v>40254124</v>
      </c>
      <c r="C6970" s="3" t="str">
        <f>HYPERLINK("http://www.ncbi.nlm.nih.gov/protein/40254124","Smarca5")</f>
        <v>Smarca5</v>
      </c>
      <c r="E6970" t="str">
        <f>HYPERLINK("J:\Depot - mpkCCD Fractions\Main Web Page\Web Pages_old\proteomic_fractions_linear_files/Yang_linear_img/40254124.jpg","show blot")</f>
        <v>show blot</v>
      </c>
      <c r="G6970" t="s">
        <v>6743</v>
      </c>
      <c r="I6970" s="6">
        <v>4.9646875211861383</v>
      </c>
      <c r="K6970" s="8"/>
    </row>
    <row r="6971" spans="1:11" ht="15" x14ac:dyDescent="0.25">
      <c r="A6971" s="3" t="str">
        <f>HYPERLINK("proteomic_fractions_linear_files/Yang_linear_img/358438428.jpg", "358438428")</f>
        <v>358438428</v>
      </c>
      <c r="C6971" s="3" t="str">
        <f>HYPERLINK("http://www.ncbi.nlm.nih.gov/protein/358438428","Smarcad1")</f>
        <v>Smarcad1</v>
      </c>
      <c r="E6971" t="str">
        <f>HYPERLINK("J:\Depot - mpkCCD Fractions\Main Web Page\Web Pages_old\proteomic_fractions_linear_files/Yang_linear_img/358438428.jpg","show blot")</f>
        <v>show blot</v>
      </c>
      <c r="G6971" t="s">
        <v>6744</v>
      </c>
      <c r="I6971" s="6">
        <v>3.2933205533097629</v>
      </c>
      <c r="K6971" s="8"/>
    </row>
    <row r="6972" spans="1:11" ht="15" x14ac:dyDescent="0.25">
      <c r="A6972" s="3" t="str">
        <f>HYPERLINK("proteomic_fractions_linear_files/Yang_linear_img/62543565.jpg", "62543565")</f>
        <v>62543565</v>
      </c>
      <c r="C6972" s="3" t="str">
        <f>HYPERLINK("http://www.ncbi.nlm.nih.gov/protein/62543565","Smarcad1")</f>
        <v>Smarcad1</v>
      </c>
      <c r="E6972" t="str">
        <f>HYPERLINK("J:\Depot - mpkCCD Fractions\Main Web Page\Web Pages_old\proteomic_fractions_linear_files/Yang_linear_img/62543565.jpg","show blot")</f>
        <v>show blot</v>
      </c>
      <c r="G6972" t="s">
        <v>6744</v>
      </c>
      <c r="I6972" s="6">
        <v>3.2933205533097629</v>
      </c>
      <c r="K6972" s="8"/>
    </row>
    <row r="6973" spans="1:11" ht="15" x14ac:dyDescent="0.25">
      <c r="A6973" s="3" t="str">
        <f>HYPERLINK("proteomic_fractions_linear_files/Yang_linear_img/229577278.jpg", "229577278")</f>
        <v>229577278</v>
      </c>
      <c r="C6973" s="3" t="str">
        <f>HYPERLINK("http://www.ncbi.nlm.nih.gov/protein/229577278","Smarcal1")</f>
        <v>Smarcal1</v>
      </c>
      <c r="E6973" t="str">
        <f>HYPERLINK("J:\Depot - mpkCCD Fractions\Main Web Page\Web Pages_old\proteomic_fractions_linear_files/Yang_linear_img/229577278.jpg","show blot")</f>
        <v>show blot</v>
      </c>
      <c r="G6973" t="s">
        <v>6745</v>
      </c>
      <c r="I6973" s="6">
        <v>2.0179301843996136</v>
      </c>
      <c r="K6973" s="8"/>
    </row>
    <row r="6974" spans="1:11" ht="15" x14ac:dyDescent="0.25">
      <c r="A6974" s="3" t="str">
        <f>HYPERLINK("proteomic_fractions_linear_files/Yang_linear_img/112421097.jpg", "112421097")</f>
        <v>112421097</v>
      </c>
      <c r="C6974" s="3" t="str">
        <f>HYPERLINK("http://www.ncbi.nlm.nih.gov/protein/112421097","Smarcc1")</f>
        <v>Smarcc1</v>
      </c>
      <c r="E6974" t="str">
        <f>HYPERLINK("J:\Depot - mpkCCD Fractions\Main Web Page\Web Pages_old\proteomic_fractions_linear_files/Yang_linear_img/112421097.jpg","show blot")</f>
        <v>show blot</v>
      </c>
      <c r="G6974" t="s">
        <v>6746</v>
      </c>
      <c r="I6974" s="6">
        <v>4.8105845075971301</v>
      </c>
      <c r="K6974" s="8"/>
    </row>
    <row r="6975" spans="1:11" ht="15" x14ac:dyDescent="0.25">
      <c r="A6975" s="3" t="str">
        <f>HYPERLINK("proteomic_fractions_linear_files/Yang_linear_img/166235123.jpg", "166235123")</f>
        <v>166235123</v>
      </c>
      <c r="C6975" s="3" t="str">
        <f>HYPERLINK("http://www.ncbi.nlm.nih.gov/protein/166235123","Smarcc2")</f>
        <v>Smarcc2</v>
      </c>
      <c r="E6975" t="str">
        <f>HYPERLINK("J:\Depot - mpkCCD Fractions\Main Web Page\Web Pages_old\proteomic_fractions_linear_files/Yang_linear_img/166235123.jpg","show blot")</f>
        <v>show blot</v>
      </c>
      <c r="G6975" t="s">
        <v>6747</v>
      </c>
      <c r="I6975" s="6">
        <v>4.6471137349374194</v>
      </c>
      <c r="K6975" s="8"/>
    </row>
    <row r="6976" spans="1:11" ht="15" x14ac:dyDescent="0.25">
      <c r="A6976" s="3" t="str">
        <f>HYPERLINK("proteomic_fractions_linear_files/Yang_linear_img/166235125.jpg", "166235125")</f>
        <v>166235125</v>
      </c>
      <c r="C6976" s="3" t="str">
        <f>HYPERLINK("http://www.ncbi.nlm.nih.gov/protein/166235125","Smarcc2")</f>
        <v>Smarcc2</v>
      </c>
      <c r="E6976" t="str">
        <f>HYPERLINK("J:\Depot - mpkCCD Fractions\Main Web Page\Web Pages_old\proteomic_fractions_linear_files/Yang_linear_img/166235125.jpg","show blot")</f>
        <v>show blot</v>
      </c>
      <c r="G6976" t="s">
        <v>6748</v>
      </c>
      <c r="I6976" s="6">
        <v>4.6471137349374194</v>
      </c>
      <c r="K6976" s="8"/>
    </row>
    <row r="6977" spans="1:11" ht="15" x14ac:dyDescent="0.25">
      <c r="A6977" s="3" t="str">
        <f>HYPERLINK("proteomic_fractions_linear_files/Yang_linear_img/37718972.jpg", "37718972")</f>
        <v>37718972</v>
      </c>
      <c r="C6977" s="3" t="str">
        <f>HYPERLINK("http://www.ncbi.nlm.nih.gov/protein/37718972","Smarcc2")</f>
        <v>Smarcc2</v>
      </c>
      <c r="E6977" t="str">
        <f>HYPERLINK("J:\Depot - mpkCCD Fractions\Main Web Page\Web Pages_old\proteomic_fractions_linear_files/Yang_linear_img/37718972.jpg","show blot")</f>
        <v>show blot</v>
      </c>
      <c r="G6977" t="s">
        <v>6749</v>
      </c>
      <c r="I6977" s="6">
        <v>4.6471137349374194</v>
      </c>
      <c r="K6977" s="8"/>
    </row>
    <row r="6978" spans="1:11" ht="15" x14ac:dyDescent="0.25">
      <c r="A6978" s="3" t="str">
        <f>HYPERLINK("proteomic_fractions_linear_files/Yang_linear_img/125347396.jpg", "125347396")</f>
        <v>125347396</v>
      </c>
      <c r="C6978" s="3" t="str">
        <f>HYPERLINK("http://www.ncbi.nlm.nih.gov/protein/125347396","Smarcd1")</f>
        <v>Smarcd1</v>
      </c>
      <c r="E6978" t="str">
        <f>HYPERLINK("J:\Depot - mpkCCD Fractions\Main Web Page\Web Pages_old\proteomic_fractions_linear_files/Yang_linear_img/125347396.jpg","show blot")</f>
        <v>show blot</v>
      </c>
      <c r="G6978" t="s">
        <v>6750</v>
      </c>
      <c r="I6978" s="6">
        <v>3.6185729815237946</v>
      </c>
      <c r="K6978" s="8"/>
    </row>
    <row r="6979" spans="1:11" ht="15" x14ac:dyDescent="0.25">
      <c r="A6979" s="3" t="str">
        <f>HYPERLINK("proteomic_fractions_linear_files/Yang_linear_img/194328771.jpg", "194328771")</f>
        <v>194328771</v>
      </c>
      <c r="C6979" s="3" t="str">
        <f>HYPERLINK("http://www.ncbi.nlm.nih.gov/protein/194328771","Smarcd2")</f>
        <v>Smarcd2</v>
      </c>
      <c r="E6979" t="str">
        <f>HYPERLINK("J:\Depot - mpkCCD Fractions\Main Web Page\Web Pages_old\proteomic_fractions_linear_files/Yang_linear_img/194328771.jpg","show blot")</f>
        <v>show blot</v>
      </c>
      <c r="G6979" t="s">
        <v>6751</v>
      </c>
      <c r="I6979" s="6">
        <v>3.6475644821145985</v>
      </c>
      <c r="K6979" s="8"/>
    </row>
    <row r="6980" spans="1:11" ht="15" x14ac:dyDescent="0.25">
      <c r="A6980" s="3" t="str">
        <f>HYPERLINK("proteomic_fractions_linear_files/Yang_linear_img/194328773.jpg", "194328773")</f>
        <v>194328773</v>
      </c>
      <c r="C6980" s="3" t="str">
        <f>HYPERLINK("http://www.ncbi.nlm.nih.gov/protein/194328773","Smarcd2")</f>
        <v>Smarcd2</v>
      </c>
      <c r="E6980" t="str">
        <f>HYPERLINK("J:\Depot - mpkCCD Fractions\Main Web Page\Web Pages_old\proteomic_fractions_linear_files/Yang_linear_img/194328773.jpg","show blot")</f>
        <v>show blot</v>
      </c>
      <c r="G6980" t="s">
        <v>6752</v>
      </c>
      <c r="I6980" s="6">
        <v>3.6475644821145985</v>
      </c>
      <c r="K6980" s="8"/>
    </row>
    <row r="6981" spans="1:11" ht="15" x14ac:dyDescent="0.25">
      <c r="A6981" s="3" t="str">
        <f>HYPERLINK("proteomic_fractions_linear_files/Yang_linear_img/77404373.jpg", "77404373")</f>
        <v>77404373</v>
      </c>
      <c r="C6981" s="3" t="str">
        <f>HYPERLINK("http://www.ncbi.nlm.nih.gov/protein/77404373","Smarcd3")</f>
        <v>Smarcd3</v>
      </c>
      <c r="E6981" t="str">
        <f>HYPERLINK("J:\Depot - mpkCCD Fractions\Main Web Page\Web Pages_old\proteomic_fractions_linear_files/Yang_linear_img/77404373.jpg","show blot")</f>
        <v>show blot</v>
      </c>
      <c r="G6981" t="s">
        <v>6753</v>
      </c>
      <c r="I6981" s="6">
        <v>3.6416382855924878</v>
      </c>
      <c r="K6981" s="8"/>
    </row>
    <row r="6982" spans="1:11" ht="15" x14ac:dyDescent="0.25">
      <c r="A6982" s="3" t="str">
        <f>HYPERLINK("proteomic_fractions_linear_files/Yang_linear_img/10181166.jpg", "10181166")</f>
        <v>10181166</v>
      </c>
      <c r="C6982" s="3" t="str">
        <f>HYPERLINK("http://www.ncbi.nlm.nih.gov/protein/10181166","Smarce1")</f>
        <v>Smarce1</v>
      </c>
      <c r="E6982" t="str">
        <f>HYPERLINK("J:\Depot - mpkCCD Fractions\Main Web Page\Web Pages_old\proteomic_fractions_linear_files/Yang_linear_img/10181166.jpg","show blot")</f>
        <v>show blot</v>
      </c>
      <c r="G6982" t="s">
        <v>6754</v>
      </c>
      <c r="I6982" s="6">
        <v>4.8416433049606464</v>
      </c>
      <c r="K6982" s="8"/>
    </row>
    <row r="6983" spans="1:11" ht="15" x14ac:dyDescent="0.25">
      <c r="A6983" s="3" t="str">
        <f>HYPERLINK("proteomic_fractions_linear_files/Yang_linear_img/258613892.jpg", "258613892")</f>
        <v>258613892</v>
      </c>
      <c r="C6983" s="3" t="str">
        <f>HYPERLINK("http://www.ncbi.nlm.nih.gov/protein/258613892","Smc1a")</f>
        <v>Smc1a</v>
      </c>
      <c r="E6983" t="str">
        <f>HYPERLINK("J:\Depot - mpkCCD Fractions\Main Web Page\Web Pages_old\proteomic_fractions_linear_files/Yang_linear_img/258613892.jpg","show blot")</f>
        <v>show blot</v>
      </c>
      <c r="G6983" t="s">
        <v>6755</v>
      </c>
      <c r="I6983" s="6">
        <v>4.7047676806752898</v>
      </c>
      <c r="K6983" s="8"/>
    </row>
    <row r="6984" spans="1:11" ht="15" x14ac:dyDescent="0.25">
      <c r="A6984" s="3" t="str">
        <f>HYPERLINK("proteomic_fractions_linear_files/Yang_linear_img/62990166.jpg", "62990166")</f>
        <v>62990166</v>
      </c>
      <c r="C6984" s="3" t="str">
        <f>HYPERLINK("http://www.ncbi.nlm.nih.gov/protein/62990166","Smc2")</f>
        <v>Smc2</v>
      </c>
      <c r="E6984" t="str">
        <f>HYPERLINK("J:\Depot - mpkCCD Fractions\Main Web Page\Web Pages_old\proteomic_fractions_linear_files/Yang_linear_img/62990166.jpg","show blot")</f>
        <v>show blot</v>
      </c>
      <c r="G6984" t="s">
        <v>6756</v>
      </c>
      <c r="I6984" s="6">
        <v>5.1269970052507139</v>
      </c>
      <c r="K6984" s="8"/>
    </row>
    <row r="6985" spans="1:11" ht="15" x14ac:dyDescent="0.25">
      <c r="A6985" s="3" t="str">
        <f>HYPERLINK("proteomic_fractions_linear_files/Yang_linear_img/36031035.jpg", "36031035")</f>
        <v>36031035</v>
      </c>
      <c r="C6985" s="3" t="str">
        <f>HYPERLINK("http://www.ncbi.nlm.nih.gov/protein/36031035","Smc3")</f>
        <v>Smc3</v>
      </c>
      <c r="E6985" t="str">
        <f>HYPERLINK("J:\Depot - mpkCCD Fractions\Main Web Page\Web Pages_old\proteomic_fractions_linear_files/Yang_linear_img/36031035.jpg","show blot")</f>
        <v>show blot</v>
      </c>
      <c r="G6985" t="s">
        <v>6757</v>
      </c>
      <c r="I6985" s="6">
        <v>5.1102464904287688</v>
      </c>
      <c r="K6985" s="8"/>
    </row>
    <row r="6986" spans="1:11" ht="15" x14ac:dyDescent="0.25">
      <c r="A6986" s="3" t="str">
        <f>HYPERLINK("proteomic_fractions_linear_files/Yang_linear_img/29789347.jpg", "29789347")</f>
        <v>29789347</v>
      </c>
      <c r="C6986" s="3" t="str">
        <f>HYPERLINK("http://www.ncbi.nlm.nih.gov/protein/29789347","Smc4")</f>
        <v>Smc4</v>
      </c>
      <c r="E6986" t="str">
        <f>HYPERLINK("J:\Depot - mpkCCD Fractions\Main Web Page\Web Pages_old\proteomic_fractions_linear_files/Yang_linear_img/29789347.jpg","show blot")</f>
        <v>show blot</v>
      </c>
      <c r="G6986" t="s">
        <v>6758</v>
      </c>
      <c r="I6986" s="6">
        <v>5.0199996245594365</v>
      </c>
      <c r="K6986" s="8"/>
    </row>
    <row r="6987" spans="1:11" ht="15" x14ac:dyDescent="0.25">
      <c r="A6987" s="3" t="str">
        <f>HYPERLINK("proteomic_fractions_linear_files/Yang_linear_img/148839318.jpg", "148839318")</f>
        <v>148839318</v>
      </c>
      <c r="C6987" s="3" t="str">
        <f>HYPERLINK("http://www.ncbi.nlm.nih.gov/protein/148839318","Smchd1")</f>
        <v>Smchd1</v>
      </c>
      <c r="E6987" t="str">
        <f>HYPERLINK("J:\Depot - mpkCCD Fractions\Main Web Page\Web Pages_old\proteomic_fractions_linear_files/Yang_linear_img/148839318.jpg","show blot")</f>
        <v>show blot</v>
      </c>
      <c r="G6987" t="s">
        <v>6759</v>
      </c>
      <c r="I6987" s="6">
        <v>4.1137657497498505</v>
      </c>
      <c r="K6987" s="8"/>
    </row>
    <row r="6988" spans="1:11" ht="15" x14ac:dyDescent="0.25">
      <c r="A6988" s="3" t="str">
        <f>HYPERLINK("proteomic_fractions_linear_files/Yang_linear_img/281427239.jpg", "281427239")</f>
        <v>281427239</v>
      </c>
      <c r="C6988" s="3" t="str">
        <f>HYPERLINK("http://www.ncbi.nlm.nih.gov/protein/281427239","Smco1")</f>
        <v>Smco1</v>
      </c>
      <c r="E6988" t="str">
        <f>HYPERLINK("J:\Depot - mpkCCD Fractions\Main Web Page\Web Pages_old\proteomic_fractions_linear_files/Yang_linear_img/281427239.jpg","show blot")</f>
        <v>show blot</v>
      </c>
      <c r="G6988" t="s">
        <v>6760</v>
      </c>
      <c r="I6988" s="6">
        <v>4.300909360900758</v>
      </c>
      <c r="K6988" s="8"/>
    </row>
    <row r="6989" spans="1:11" ht="15" x14ac:dyDescent="0.25">
      <c r="A6989" s="3" t="str">
        <f>HYPERLINK("proteomic_fractions_linear_files/Yang_linear_img/58037137.jpg", "58037137")</f>
        <v>58037137</v>
      </c>
      <c r="C6989" s="3" t="str">
        <f>HYPERLINK("http://www.ncbi.nlm.nih.gov/protein/58037137","Smdt1")</f>
        <v>Smdt1</v>
      </c>
      <c r="E6989" t="str">
        <f>HYPERLINK("J:\Depot - mpkCCD Fractions\Main Web Page\Web Pages_old\proteomic_fractions_linear_files/Yang_linear_img/58037137.jpg","show blot")</f>
        <v>show blot</v>
      </c>
      <c r="G6989" t="s">
        <v>6761</v>
      </c>
      <c r="I6989" s="6">
        <v>4.1321508176649102</v>
      </c>
      <c r="K6989" s="8"/>
    </row>
    <row r="6990" spans="1:11" ht="15" x14ac:dyDescent="0.25">
      <c r="A6990" s="3" t="str">
        <f>HYPERLINK("proteomic_fractions_linear_files/Yang_linear_img/237649040.jpg", "237649040")</f>
        <v>237649040</v>
      </c>
      <c r="C6990" s="3" t="str">
        <f>HYPERLINK("http://www.ncbi.nlm.nih.gov/protein/237649040","Smek1")</f>
        <v>Smek1</v>
      </c>
      <c r="E6990" t="str">
        <f>HYPERLINK("J:\Depot - mpkCCD Fractions\Main Web Page\Web Pages_old\proteomic_fractions_linear_files/Yang_linear_img/237649040.jpg","show blot")</f>
        <v>show blot</v>
      </c>
      <c r="G6990" t="s">
        <v>6762</v>
      </c>
      <c r="I6990" s="6">
        <v>4.950936300101862</v>
      </c>
      <c r="K6990" s="8"/>
    </row>
    <row r="6991" spans="1:11" ht="15" x14ac:dyDescent="0.25">
      <c r="A6991" s="3" t="str">
        <f>HYPERLINK("proteomic_fractions_linear_files/Yang_linear_img/46849745.jpg", "46849745")</f>
        <v>46849745</v>
      </c>
      <c r="C6991" s="3" t="str">
        <f>HYPERLINK("http://www.ncbi.nlm.nih.gov/protein/46849745","Smek1")</f>
        <v>Smek1</v>
      </c>
      <c r="E6991" t="str">
        <f>HYPERLINK("J:\Depot - mpkCCD Fractions\Main Web Page\Web Pages_old\proteomic_fractions_linear_files/Yang_linear_img/46849745.jpg","show blot")</f>
        <v>show blot</v>
      </c>
      <c r="G6991" t="s">
        <v>6763</v>
      </c>
      <c r="I6991" s="6">
        <v>4.950936300101862</v>
      </c>
      <c r="K6991" s="8"/>
    </row>
    <row r="6992" spans="1:11" ht="15" x14ac:dyDescent="0.25">
      <c r="A6992" s="3" t="str">
        <f>HYPERLINK("proteomic_fractions_linear_files/Yang_linear_img/262231766.jpg", "262231766")</f>
        <v>262231766</v>
      </c>
      <c r="C6992" s="3" t="str">
        <f>HYPERLINK("http://www.ncbi.nlm.nih.gov/protein/262231766","Smek2")</f>
        <v>Smek2</v>
      </c>
      <c r="E6992" t="str">
        <f>HYPERLINK("J:\Depot - mpkCCD Fractions\Main Web Page\Web Pages_old\proteomic_fractions_linear_files/Yang_linear_img/262231766.jpg","show blot")</f>
        <v>show blot</v>
      </c>
      <c r="G6992" t="s">
        <v>6764</v>
      </c>
      <c r="I6992" s="6">
        <v>4.6009690176703151</v>
      </c>
      <c r="K6992" s="8"/>
    </row>
    <row r="6993" spans="1:11" ht="15" x14ac:dyDescent="0.25">
      <c r="A6993" s="3" t="str">
        <f>HYPERLINK("proteomic_fractions_linear_files/Yang_linear_img/73532758.jpg", "73532758")</f>
        <v>73532758</v>
      </c>
      <c r="C6993" s="3" t="str">
        <f>HYPERLINK("http://www.ncbi.nlm.nih.gov/protein/73532758","Smg1")</f>
        <v>Smg1</v>
      </c>
      <c r="E6993" t="str">
        <f>HYPERLINK("J:\Depot - mpkCCD Fractions\Main Web Page\Web Pages_old\proteomic_fractions_linear_files/Yang_linear_img/73532758.jpg","show blot")</f>
        <v>show blot</v>
      </c>
      <c r="G6993" t="s">
        <v>6765</v>
      </c>
      <c r="I6993" s="6">
        <v>4.0903905209000611</v>
      </c>
      <c r="K6993" s="8"/>
    </row>
    <row r="6994" spans="1:11" ht="15" x14ac:dyDescent="0.25">
      <c r="A6994" s="3" t="str">
        <f>HYPERLINK("proteomic_fractions_linear_files/Yang_linear_img/112807193.jpg", "112807193")</f>
        <v>112807193</v>
      </c>
      <c r="C6994" s="3" t="str">
        <f>HYPERLINK("http://www.ncbi.nlm.nih.gov/protein/112807193","Smg5")</f>
        <v>Smg5</v>
      </c>
      <c r="E6994" t="str">
        <f>HYPERLINK("J:\Depot - mpkCCD Fractions\Main Web Page\Web Pages_old\proteomic_fractions_linear_files/Yang_linear_img/112807193.jpg","show blot")</f>
        <v>show blot</v>
      </c>
      <c r="G6994" t="s">
        <v>6766</v>
      </c>
      <c r="I6994" s="6">
        <v>1.2667596842716278</v>
      </c>
      <c r="K6994" s="8"/>
    </row>
    <row r="6995" spans="1:11" ht="15" x14ac:dyDescent="0.25">
      <c r="A6995" s="3" t="str">
        <f>HYPERLINK("proteomic_fractions_linear_files/Yang_linear_img/50582545.jpg", "50582545")</f>
        <v>50582545</v>
      </c>
      <c r="C6995" s="3" t="str">
        <f>HYPERLINK("http://www.ncbi.nlm.nih.gov/protein/50582545","Smg6")</f>
        <v>Smg6</v>
      </c>
      <c r="E6995" t="str">
        <f>HYPERLINK("J:\Depot - mpkCCD Fractions\Main Web Page\Web Pages_old\proteomic_fractions_linear_files/Yang_linear_img/50582545.jpg","show blot")</f>
        <v>show blot</v>
      </c>
      <c r="G6995" t="s">
        <v>6767</v>
      </c>
      <c r="I6995" s="6">
        <v>1.1775364999298621</v>
      </c>
      <c r="K6995" s="8"/>
    </row>
    <row r="6996" spans="1:11" ht="15" x14ac:dyDescent="0.25">
      <c r="A6996" s="3" t="str">
        <f>HYPERLINK("proteomic_fractions_linear_files/Yang_linear_img/23956216.jpg", "23956216")</f>
        <v>23956216</v>
      </c>
      <c r="C6996" s="3" t="str">
        <f>HYPERLINK("http://www.ncbi.nlm.nih.gov/protein/23956216","Smg8")</f>
        <v>Smg8</v>
      </c>
      <c r="E6996" t="str">
        <f>HYPERLINK("J:\Depot - mpkCCD Fractions\Main Web Page\Web Pages_old\proteomic_fractions_linear_files/Yang_linear_img/23956216.jpg","show blot")</f>
        <v>show blot</v>
      </c>
      <c r="G6996" t="s">
        <v>6768</v>
      </c>
      <c r="I6996" s="6">
        <v>3.1953284324030085</v>
      </c>
      <c r="K6996" s="8"/>
    </row>
    <row r="6997" spans="1:11" ht="15" x14ac:dyDescent="0.25">
      <c r="A6997" s="3" t="str">
        <f>HYPERLINK("proteomic_fractions_linear_files/Yang_linear_img/21312548.jpg", "21312548")</f>
        <v>21312548</v>
      </c>
      <c r="C6997" s="3" t="str">
        <f>HYPERLINK("http://www.ncbi.nlm.nih.gov/protein/21312548","Smg9")</f>
        <v>Smg9</v>
      </c>
      <c r="E6997" t="str">
        <f>HYPERLINK("J:\Depot - mpkCCD Fractions\Main Web Page\Web Pages_old\proteomic_fractions_linear_files/Yang_linear_img/21312548.jpg","show blot")</f>
        <v>show blot</v>
      </c>
      <c r="G6997" t="s">
        <v>6769</v>
      </c>
      <c r="I6997" s="6">
        <v>3.6122438909453933</v>
      </c>
      <c r="K6997" s="8"/>
    </row>
    <row r="6998" spans="1:11" ht="15" x14ac:dyDescent="0.25">
      <c r="A6998" s="3" t="str">
        <f>HYPERLINK("proteomic_fractions_linear_files/Yang_linear_img/254910949.jpg", "254910949")</f>
        <v>254910949</v>
      </c>
      <c r="C6998" s="3" t="str">
        <f>HYPERLINK("http://www.ncbi.nlm.nih.gov/protein/254910949","Smim1")</f>
        <v>Smim1</v>
      </c>
      <c r="E6998" t="str">
        <f>HYPERLINK("J:\Depot - mpkCCD Fractions\Main Web Page\Web Pages_old\proteomic_fractions_linear_files/Yang_linear_img/254910949.jpg","show blot")</f>
        <v>show blot</v>
      </c>
      <c r="G6998" t="s">
        <v>6770</v>
      </c>
      <c r="I6998" s="6">
        <v>3.9741243901038819</v>
      </c>
      <c r="K6998" s="8"/>
    </row>
    <row r="6999" spans="1:11" ht="15" x14ac:dyDescent="0.25">
      <c r="A6999" s="3" t="str">
        <f>HYPERLINK("proteomic_fractions_linear_files/Yang_linear_img/13384892.jpg", "13384892")</f>
        <v>13384892</v>
      </c>
      <c r="C6999" s="3" t="str">
        <f>HYPERLINK("http://www.ncbi.nlm.nih.gov/protein/13384892","Smim12")</f>
        <v>Smim12</v>
      </c>
      <c r="E6999" t="str">
        <f>HYPERLINK("J:\Depot - mpkCCD Fractions\Main Web Page\Web Pages_old\proteomic_fractions_linear_files/Yang_linear_img/13384892.jpg","show blot")</f>
        <v>show blot</v>
      </c>
      <c r="G6999" t="s">
        <v>6771</v>
      </c>
      <c r="I6999" s="6">
        <v>1.7382038060995995</v>
      </c>
      <c r="K6999" s="8"/>
    </row>
    <row r="7000" spans="1:11" ht="15" x14ac:dyDescent="0.25">
      <c r="A7000" s="3" t="str">
        <f>HYPERLINK("proteomic_fractions_linear_files/Yang_linear_img/224177530.jpg", "224177530")</f>
        <v>224177530</v>
      </c>
      <c r="C7000" s="3" t="str">
        <f>HYPERLINK("http://www.ncbi.nlm.nih.gov/protein/224177530","Smim20")</f>
        <v>Smim20</v>
      </c>
      <c r="E7000" t="str">
        <f>HYPERLINK("J:\Depot - mpkCCD Fractions\Main Web Page\Web Pages_old\proteomic_fractions_linear_files/Yang_linear_img/224177530.jpg","show blot")</f>
        <v>show blot</v>
      </c>
      <c r="G7000" t="s">
        <v>6772</v>
      </c>
      <c r="I7000" s="6">
        <v>4.3999997970018638</v>
      </c>
      <c r="K7000" s="8"/>
    </row>
    <row r="7001" spans="1:11" ht="15" x14ac:dyDescent="0.25">
      <c r="A7001" s="3" t="str">
        <f>HYPERLINK("proteomic_fractions_linear_files/Yang_linear_img/359374252.jpg", "359374252")</f>
        <v>359374252</v>
      </c>
      <c r="C7001" s="3" t="str">
        <f>HYPERLINK("http://www.ncbi.nlm.nih.gov/protein/359374252","Smim22")</f>
        <v>Smim22</v>
      </c>
      <c r="E7001" t="str">
        <f>HYPERLINK("J:\Depot - mpkCCD Fractions\Main Web Page\Web Pages_old\proteomic_fractions_linear_files/Yang_linear_img/359374252.jpg","show blot")</f>
        <v>show blot</v>
      </c>
      <c r="G7001" t="s">
        <v>6773</v>
      </c>
      <c r="I7001" s="6">
        <v>4.5690067640865371</v>
      </c>
      <c r="K7001" s="8"/>
    </row>
    <row r="7002" spans="1:11" ht="15" x14ac:dyDescent="0.25">
      <c r="A7002" s="3" t="str">
        <f>HYPERLINK("proteomic_fractions_linear_files/Yang_linear_img/359374254.jpg", "359374254")</f>
        <v>359374254</v>
      </c>
      <c r="C7002" s="3" t="str">
        <f>HYPERLINK("http://www.ncbi.nlm.nih.gov/protein/359374254","Smim22")</f>
        <v>Smim22</v>
      </c>
      <c r="E7002" t="str">
        <f>HYPERLINK("J:\Depot - mpkCCD Fractions\Main Web Page\Web Pages_old\proteomic_fractions_linear_files/Yang_linear_img/359374254.jpg","show blot")</f>
        <v>show blot</v>
      </c>
      <c r="G7002" t="s">
        <v>6774</v>
      </c>
      <c r="I7002" s="6">
        <v>4.5690067640865371</v>
      </c>
      <c r="K7002" s="8"/>
    </row>
    <row r="7003" spans="1:11" ht="15" x14ac:dyDescent="0.25">
      <c r="A7003" s="3" t="str">
        <f>HYPERLINK("proteomic_fractions_linear_files/Yang_linear_img/27369485.jpg", "27369485")</f>
        <v>27369485</v>
      </c>
      <c r="C7003" s="3" t="str">
        <f>HYPERLINK("http://www.ncbi.nlm.nih.gov/protein/27369485","Smim7")</f>
        <v>Smim7</v>
      </c>
      <c r="E7003" t="str">
        <f>HYPERLINK("J:\Depot - mpkCCD Fractions\Main Web Page\Web Pages_old\proteomic_fractions_linear_files/Yang_linear_img/27369485.jpg","show blot")</f>
        <v>show blot</v>
      </c>
      <c r="G7003" t="s">
        <v>6775</v>
      </c>
      <c r="I7003" s="6">
        <v>4.1627482161375404</v>
      </c>
      <c r="K7003" s="8"/>
    </row>
    <row r="7004" spans="1:11" ht="15" x14ac:dyDescent="0.25">
      <c r="A7004" s="3" t="str">
        <f>HYPERLINK("proteomic_fractions_linear_files/Yang_linear_img/6755580.jpg", "6755580")</f>
        <v>6755580</v>
      </c>
      <c r="C7004" s="3" t="str">
        <f>HYPERLINK("http://www.ncbi.nlm.nih.gov/protein/6755580","Smn1")</f>
        <v>Smn1</v>
      </c>
      <c r="E7004" t="str">
        <f>HYPERLINK("J:\Depot - mpkCCD Fractions\Main Web Page\Web Pages_old\proteomic_fractions_linear_files/Yang_linear_img/6755580.jpg","show blot")</f>
        <v>show blot</v>
      </c>
      <c r="G7004" t="s">
        <v>6776</v>
      </c>
      <c r="I7004" s="6">
        <v>4.1401244529420902</v>
      </c>
      <c r="K7004" s="8"/>
    </row>
    <row r="7005" spans="1:11" ht="15" x14ac:dyDescent="0.25">
      <c r="A7005" s="3" t="str">
        <f>HYPERLINK("proteomic_fractions_linear_files/Yang_linear_img/27369569.jpg", "27369569")</f>
        <v>27369569</v>
      </c>
      <c r="C7005" s="3" t="str">
        <f>HYPERLINK("http://www.ncbi.nlm.nih.gov/protein/27369569","Smndc1")</f>
        <v>Smndc1</v>
      </c>
      <c r="E7005" t="str">
        <f>HYPERLINK("J:\Depot - mpkCCD Fractions\Main Web Page\Web Pages_old\proteomic_fractions_linear_files/Yang_linear_img/27369569.jpg","show blot")</f>
        <v>show blot</v>
      </c>
      <c r="G7005" t="s">
        <v>6777</v>
      </c>
      <c r="I7005" s="6">
        <v>3.7033058287691554</v>
      </c>
      <c r="K7005" s="8"/>
    </row>
    <row r="7006" spans="1:11" ht="15" x14ac:dyDescent="0.25">
      <c r="A7006" s="3" t="str">
        <f>HYPERLINK("proteomic_fractions_linear_files/Yang_linear_img/6678031.jpg", "6678031")</f>
        <v>6678031</v>
      </c>
      <c r="C7006" s="3" t="str">
        <f>HYPERLINK("http://www.ncbi.nlm.nih.gov/protein/6678031","Smpd2")</f>
        <v>Smpd2</v>
      </c>
      <c r="E7006" t="str">
        <f>HYPERLINK("J:\Depot - mpkCCD Fractions\Main Web Page\Web Pages_old\proteomic_fractions_linear_files/Yang_linear_img/6678031.jpg","show blot")</f>
        <v>show blot</v>
      </c>
      <c r="G7006" t="s">
        <v>6778</v>
      </c>
      <c r="I7006" s="6">
        <v>3.4129139762436225</v>
      </c>
      <c r="K7006" s="8"/>
    </row>
    <row r="7007" spans="1:11" ht="15" x14ac:dyDescent="0.25">
      <c r="A7007" s="3" t="str">
        <f>HYPERLINK("proteomic_fractions_linear_files/Yang_linear_img/257196240.jpg", "257196240")</f>
        <v>257196240</v>
      </c>
      <c r="C7007" s="3" t="str">
        <f>HYPERLINK("http://www.ncbi.nlm.nih.gov/protein/257196240","Smpd4")</f>
        <v>Smpd4</v>
      </c>
      <c r="E7007" t="str">
        <f>HYPERLINK("J:\Depot - mpkCCD Fractions\Main Web Page\Web Pages_old\proteomic_fractions_linear_files/Yang_linear_img/257196240.jpg","show blot")</f>
        <v>show blot</v>
      </c>
      <c r="G7007" t="s">
        <v>6779</v>
      </c>
      <c r="I7007" s="6">
        <v>3.7950872039581482</v>
      </c>
      <c r="K7007" s="8"/>
    </row>
    <row r="7008" spans="1:11" ht="15" x14ac:dyDescent="0.25">
      <c r="A7008" s="3" t="str">
        <f>HYPERLINK("proteomic_fractions_linear_files/Yang_linear_img/257196243.jpg", "257196243")</f>
        <v>257196243</v>
      </c>
      <c r="C7008" s="3" t="str">
        <f>HYPERLINK("http://www.ncbi.nlm.nih.gov/protein/257196243","Smpd4")</f>
        <v>Smpd4</v>
      </c>
      <c r="E7008" t="str">
        <f>HYPERLINK("J:\Depot - mpkCCD Fractions\Main Web Page\Web Pages_old\proteomic_fractions_linear_files/Yang_linear_img/257196243.jpg","show blot")</f>
        <v>show blot</v>
      </c>
      <c r="G7008" t="s">
        <v>6780</v>
      </c>
      <c r="I7008" s="6">
        <v>3.7950872039581482</v>
      </c>
      <c r="K7008" s="8"/>
    </row>
    <row r="7009" spans="1:11" ht="15" x14ac:dyDescent="0.25">
      <c r="A7009" s="3" t="str">
        <f>HYPERLINK("proteomic_fractions_linear_files/Yang_linear_img/257196245.jpg", "257196245")</f>
        <v>257196245</v>
      </c>
      <c r="C7009" s="3" t="str">
        <f>HYPERLINK("http://www.ncbi.nlm.nih.gov/protein/257196245","Smpd4")</f>
        <v>Smpd4</v>
      </c>
      <c r="E7009" t="str">
        <f>HYPERLINK("J:\Depot - mpkCCD Fractions\Main Web Page\Web Pages_old\proteomic_fractions_linear_files/Yang_linear_img/257196245.jpg","show blot")</f>
        <v>show blot</v>
      </c>
      <c r="G7009" t="s">
        <v>6781</v>
      </c>
      <c r="I7009" s="6">
        <v>3.7950872039581482</v>
      </c>
      <c r="K7009" s="8"/>
    </row>
    <row r="7010" spans="1:11" ht="15" x14ac:dyDescent="0.25">
      <c r="A7010" s="3" t="str">
        <f>HYPERLINK("proteomic_fractions_linear_files/Yang_linear_img/257196247.jpg", "257196247")</f>
        <v>257196247</v>
      </c>
      <c r="C7010" s="3" t="str">
        <f>HYPERLINK("http://www.ncbi.nlm.nih.gov/protein/257196247","Smpd4")</f>
        <v>Smpd4</v>
      </c>
      <c r="E7010" t="str">
        <f>HYPERLINK("J:\Depot - mpkCCD Fractions\Main Web Page\Web Pages_old\proteomic_fractions_linear_files/Yang_linear_img/257196247.jpg","show blot")</f>
        <v>show blot</v>
      </c>
      <c r="G7010" t="s">
        <v>6782</v>
      </c>
      <c r="I7010" s="6">
        <v>3.7950872039581482</v>
      </c>
      <c r="K7010" s="8"/>
    </row>
    <row r="7011" spans="1:11" ht="15" x14ac:dyDescent="0.25">
      <c r="A7011" s="3" t="str">
        <f>HYPERLINK("proteomic_fractions_linear_files/Yang_linear_img/19527104.jpg", "19527104")</f>
        <v>19527104</v>
      </c>
      <c r="C7011" s="3" t="str">
        <f>HYPERLINK("http://www.ncbi.nlm.nih.gov/protein/19527104","Smpdl3b")</f>
        <v>Smpdl3b</v>
      </c>
      <c r="E7011" t="str">
        <f>HYPERLINK("J:\Depot - mpkCCD Fractions\Main Web Page\Web Pages_old\proteomic_fractions_linear_files/Yang_linear_img/19527104.jpg","show blot")</f>
        <v>show blot</v>
      </c>
      <c r="G7011" t="s">
        <v>6783</v>
      </c>
      <c r="I7011" s="6">
        <v>3.3965968323787235</v>
      </c>
      <c r="K7011" s="8"/>
    </row>
    <row r="7012" spans="1:11" ht="15" x14ac:dyDescent="0.25">
      <c r="A7012" s="3" t="str">
        <f>HYPERLINK("proteomic_fractions_linear_files/Yang_linear_img/226529455.jpg", "226529455")</f>
        <v>226529455</v>
      </c>
      <c r="C7012" s="3" t="str">
        <f>HYPERLINK("http://www.ncbi.nlm.nih.gov/protein/226529455","Smtn")</f>
        <v>Smtn</v>
      </c>
      <c r="E7012" t="str">
        <f>HYPERLINK("J:\Depot - mpkCCD Fractions\Main Web Page\Web Pages_old\proteomic_fractions_linear_files/Yang_linear_img/226529455.jpg","show blot")</f>
        <v>show blot</v>
      </c>
      <c r="G7012" t="s">
        <v>6784</v>
      </c>
      <c r="I7012" s="6">
        <v>1.2262757426038537</v>
      </c>
      <c r="K7012" s="8"/>
    </row>
    <row r="7013" spans="1:11" ht="15" x14ac:dyDescent="0.25">
      <c r="A7013" s="3" t="str">
        <f>HYPERLINK("proteomic_fractions_linear_files/Yang_linear_img/227430367.jpg", "227430367")</f>
        <v>227430367</v>
      </c>
      <c r="C7013" s="3" t="str">
        <f>HYPERLINK("http://www.ncbi.nlm.nih.gov/protein/227430367","Smu1")</f>
        <v>Smu1</v>
      </c>
      <c r="E7013" t="str">
        <f>HYPERLINK("J:\Depot - mpkCCD Fractions\Main Web Page\Web Pages_old\proteomic_fractions_linear_files/Yang_linear_img/227430367.jpg","show blot")</f>
        <v>show blot</v>
      </c>
      <c r="G7013" t="s">
        <v>6785</v>
      </c>
      <c r="I7013" s="6">
        <v>4.0240863739446091</v>
      </c>
      <c r="K7013" s="8"/>
    </row>
    <row r="7014" spans="1:11" ht="15" x14ac:dyDescent="0.25">
      <c r="A7014" s="3" t="str">
        <f>HYPERLINK("proteomic_fractions_linear_files/Yang_linear_img/40254179.jpg", "40254179")</f>
        <v>40254179</v>
      </c>
      <c r="C7014" s="3" t="str">
        <f>HYPERLINK("http://www.ncbi.nlm.nih.gov/protein/40254179","Smug1")</f>
        <v>Smug1</v>
      </c>
      <c r="E7014" t="str">
        <f>HYPERLINK("J:\Depot - mpkCCD Fractions\Main Web Page\Web Pages_old\proteomic_fractions_linear_files/Yang_linear_img/40254179.jpg","show blot")</f>
        <v>show blot</v>
      </c>
      <c r="G7014" t="s">
        <v>6786</v>
      </c>
      <c r="I7014" s="6">
        <v>3.4644187074816921</v>
      </c>
      <c r="K7014" s="8"/>
    </row>
    <row r="7015" spans="1:11" ht="15" x14ac:dyDescent="0.25">
      <c r="A7015" s="3" t="str">
        <f>HYPERLINK("proteomic_fractions_linear_files/Yang_linear_img/254939680.jpg", "254939680")</f>
        <v>254939680</v>
      </c>
      <c r="C7015" s="3" t="str">
        <f>HYPERLINK("http://www.ncbi.nlm.nih.gov/protein/254939680","Smurf2")</f>
        <v>Smurf2</v>
      </c>
      <c r="E7015" t="str">
        <f>HYPERLINK("J:\Depot - mpkCCD Fractions\Main Web Page\Web Pages_old\proteomic_fractions_linear_files/Yang_linear_img/254939680.jpg","show blot")</f>
        <v>show blot</v>
      </c>
      <c r="G7015" t="s">
        <v>6787</v>
      </c>
      <c r="I7015" s="6">
        <v>2.2922560713564759</v>
      </c>
      <c r="K7015" s="8"/>
    </row>
    <row r="7016" spans="1:11" ht="15" x14ac:dyDescent="0.25">
      <c r="A7016" s="3" t="str">
        <f>HYPERLINK("proteomic_fractions_linear_files/Yang_linear_img/21312378.jpg", "21312378")</f>
        <v>21312378</v>
      </c>
      <c r="C7016" s="3" t="str">
        <f>HYPERLINK("http://www.ncbi.nlm.nih.gov/protein/21312378","Smyd3")</f>
        <v>Smyd3</v>
      </c>
      <c r="E7016" t="str">
        <f>HYPERLINK("J:\Depot - mpkCCD Fractions\Main Web Page\Web Pages_old\proteomic_fractions_linear_files/Yang_linear_img/21312378.jpg","show blot")</f>
        <v>show blot</v>
      </c>
      <c r="G7016" t="s">
        <v>6788</v>
      </c>
      <c r="I7016" s="6">
        <v>3.9426945015793926</v>
      </c>
      <c r="K7016" s="8"/>
    </row>
    <row r="7017" spans="1:11" ht="15" x14ac:dyDescent="0.25">
      <c r="A7017" s="3" t="str">
        <f>HYPERLINK("proteomic_fractions_linear_files/Yang_linear_img/154689581.jpg", "154689581")</f>
        <v>154689581</v>
      </c>
      <c r="C7017" s="3" t="str">
        <f>HYPERLINK("http://www.ncbi.nlm.nih.gov/protein/154689581","Smyd5")</f>
        <v>Smyd5</v>
      </c>
      <c r="E7017" t="str">
        <f>HYPERLINK("J:\Depot - mpkCCD Fractions\Main Web Page\Web Pages_old\proteomic_fractions_linear_files/Yang_linear_img/154689581.jpg","show blot")</f>
        <v>show blot</v>
      </c>
      <c r="G7017" t="s">
        <v>6789</v>
      </c>
      <c r="I7017" s="6">
        <v>4.7654474964167877</v>
      </c>
      <c r="K7017" s="8"/>
    </row>
    <row r="7018" spans="1:11" ht="15" x14ac:dyDescent="0.25">
      <c r="A7018" s="3" t="str">
        <f>HYPERLINK("proteomic_fractions_linear_files/Yang_linear_img/295317330;6678049.jpg", "295317330;6678049")</f>
        <v>295317330;6678049</v>
      </c>
      <c r="C7018" s="3" t="str">
        <f>HYPERLINK("http://www.ncbi.nlm.nih.gov/protein/295317330;6678049","Snap23")</f>
        <v>Snap23</v>
      </c>
      <c r="E7018" t="str">
        <f>HYPERLINK("J:\Depot - mpkCCD Fractions\Main Web Page\Web Pages_old\proteomic_fractions_linear_files/Yang_linear_img/295317330;6678049.jpg","show blot")</f>
        <v>show blot</v>
      </c>
      <c r="G7018" t="s">
        <v>6790</v>
      </c>
      <c r="I7018" s="6">
        <v>5.0773449216120614</v>
      </c>
      <c r="K7018" s="8"/>
    </row>
    <row r="7019" spans="1:11" ht="15" x14ac:dyDescent="0.25">
      <c r="A7019" s="3" t="str">
        <f>HYPERLINK("proteomic_fractions_linear_files/Yang_linear_img/6678049.jpg", "6678049")</f>
        <v>6678049</v>
      </c>
      <c r="C7019" s="3" t="str">
        <f>HYPERLINK("http://www.ncbi.nlm.nih.gov/protein/6678049","Snap23")</f>
        <v>Snap23</v>
      </c>
      <c r="E7019" t="str">
        <f>HYPERLINK("J:\Depot - mpkCCD Fractions\Main Web Page\Web Pages_old\proteomic_fractions_linear_files/Yang_linear_img/6678049.jpg","show blot")</f>
        <v>show blot</v>
      </c>
      <c r="G7019" t="s">
        <v>6790</v>
      </c>
      <c r="I7019" s="6">
        <v>5.0773449216120614</v>
      </c>
      <c r="K7019" s="8"/>
    </row>
    <row r="7020" spans="1:11" ht="15" x14ac:dyDescent="0.25">
      <c r="A7020" s="3" t="str">
        <f>HYPERLINK("proteomic_fractions_linear_files/Yang_linear_img/295317325.jpg", "295317325")</f>
        <v>295317325</v>
      </c>
      <c r="C7020" s="3" t="str">
        <f>HYPERLINK("http://www.ncbi.nlm.nih.gov/protein/295317325","Snap23")</f>
        <v>Snap23</v>
      </c>
      <c r="E7020" t="str">
        <f>HYPERLINK("J:\Depot - mpkCCD Fractions\Main Web Page\Web Pages_old\proteomic_fractions_linear_files/Yang_linear_img/295317325.jpg","show blot")</f>
        <v>show blot</v>
      </c>
      <c r="G7020" t="s">
        <v>6791</v>
      </c>
      <c r="I7020" s="6">
        <v>5.0773449216120614</v>
      </c>
      <c r="K7020" s="8"/>
    </row>
    <row r="7021" spans="1:11" ht="15" x14ac:dyDescent="0.25">
      <c r="A7021" s="3" t="str">
        <f>HYPERLINK("proteomic_fractions_linear_files/Yang_linear_img/6755588.jpg", "6755588")</f>
        <v>6755588</v>
      </c>
      <c r="C7021" s="3" t="str">
        <f>HYPERLINK("http://www.ncbi.nlm.nih.gov/protein/6755588","Snap25")</f>
        <v>Snap25</v>
      </c>
      <c r="E7021" t="str">
        <f>HYPERLINK("J:\Depot - mpkCCD Fractions\Main Web Page\Web Pages_old\proteomic_fractions_linear_files/Yang_linear_img/6755588.jpg","show blot")</f>
        <v>show blot</v>
      </c>
      <c r="G7021" t="s">
        <v>6792</v>
      </c>
      <c r="I7021" s="6">
        <v>4.4880418712813963</v>
      </c>
      <c r="K7021" s="8"/>
    </row>
    <row r="7022" spans="1:11" ht="15" x14ac:dyDescent="0.25">
      <c r="A7022" s="3" t="str">
        <f>HYPERLINK("proteomic_fractions_linear_files/Yang_linear_img/139948568.jpg", "139948568")</f>
        <v>139948568</v>
      </c>
      <c r="C7022" s="3" t="str">
        <f>HYPERLINK("http://www.ncbi.nlm.nih.gov/protein/139948568","Snap29")</f>
        <v>Snap29</v>
      </c>
      <c r="E7022" t="str">
        <f>HYPERLINK("J:\Depot - mpkCCD Fractions\Main Web Page\Web Pages_old\proteomic_fractions_linear_files/Yang_linear_img/139948568.jpg","show blot")</f>
        <v>show blot</v>
      </c>
      <c r="G7022" t="s">
        <v>6793</v>
      </c>
      <c r="I7022" s="6">
        <v>4.7752418743404634</v>
      </c>
      <c r="K7022" s="8"/>
    </row>
    <row r="7023" spans="1:11" ht="15" x14ac:dyDescent="0.25">
      <c r="A7023" s="3" t="str">
        <f>HYPERLINK("proteomic_fractions_linear_files/Yang_linear_img/21362303.jpg", "21362303")</f>
        <v>21362303</v>
      </c>
      <c r="C7023" s="3" t="str">
        <f>HYPERLINK("http://www.ncbi.nlm.nih.gov/protein/21362303","Snap47")</f>
        <v>Snap47</v>
      </c>
      <c r="E7023" t="str">
        <f>HYPERLINK("J:\Depot - mpkCCD Fractions\Main Web Page\Web Pages_old\proteomic_fractions_linear_files/Yang_linear_img/21362303.jpg","show blot")</f>
        <v>show blot</v>
      </c>
      <c r="G7023" t="s">
        <v>6794</v>
      </c>
      <c r="I7023" s="6">
        <v>4.2358884503359393</v>
      </c>
      <c r="K7023" s="8"/>
    </row>
    <row r="7024" spans="1:11" ht="15" x14ac:dyDescent="0.25">
      <c r="A7024" s="3" t="str">
        <f>HYPERLINK("proteomic_fractions_linear_files/Yang_linear_img/7305507.jpg", "7305507")</f>
        <v>7305507</v>
      </c>
      <c r="C7024" s="3" t="str">
        <f>HYPERLINK("http://www.ncbi.nlm.nih.gov/protein/7305507","Snap91")</f>
        <v>Snap91</v>
      </c>
      <c r="E7024" t="str">
        <f>HYPERLINK("J:\Depot - mpkCCD Fractions\Main Web Page\Web Pages_old\proteomic_fractions_linear_files/Yang_linear_img/7305507.jpg","show blot")</f>
        <v>show blot</v>
      </c>
      <c r="G7024" t="s">
        <v>6795</v>
      </c>
      <c r="I7024" s="6">
        <v>3.1690776639284994</v>
      </c>
      <c r="K7024" s="8"/>
    </row>
    <row r="7025" spans="1:11" ht="15" x14ac:dyDescent="0.25">
      <c r="A7025" s="3" t="str">
        <f>HYPERLINK("proteomic_fractions_linear_files/Yang_linear_img/19923056.jpg", "19923056")</f>
        <v>19923056</v>
      </c>
      <c r="C7025" s="3" t="str">
        <f>HYPERLINK("http://www.ncbi.nlm.nih.gov/protein/19923056","Snapin")</f>
        <v>Snapin</v>
      </c>
      <c r="E7025" t="str">
        <f>HYPERLINK("J:\Depot - mpkCCD Fractions\Main Web Page\Web Pages_old\proteomic_fractions_linear_files/Yang_linear_img/19923056.jpg","show blot")</f>
        <v>show blot</v>
      </c>
      <c r="G7025" t="s">
        <v>6796</v>
      </c>
      <c r="I7025" s="6">
        <v>5.1325351191295256</v>
      </c>
      <c r="K7025" s="8"/>
    </row>
    <row r="7026" spans="1:11" ht="15" x14ac:dyDescent="0.25">
      <c r="A7026" s="3" t="str">
        <f>HYPERLINK("proteomic_fractions_linear_files/Yang_linear_img/77404392.jpg", "77404392")</f>
        <v>77404392</v>
      </c>
      <c r="C7026" s="3" t="str">
        <f>HYPERLINK("http://www.ncbi.nlm.nih.gov/protein/77404392","Snd1")</f>
        <v>Snd1</v>
      </c>
      <c r="E7026" t="str">
        <f>HYPERLINK("J:\Depot - mpkCCD Fractions\Main Web Page\Web Pages_old\proteomic_fractions_linear_files/Yang_linear_img/77404392.jpg","show blot")</f>
        <v>show blot</v>
      </c>
      <c r="G7026" t="s">
        <v>6797</v>
      </c>
      <c r="I7026" s="6">
        <v>5.8725975083531079</v>
      </c>
      <c r="K7026" s="8"/>
    </row>
    <row r="7027" spans="1:11" ht="15" x14ac:dyDescent="0.25">
      <c r="A7027" s="3" t="str">
        <f>HYPERLINK("proteomic_fractions_linear_files/Yang_linear_img/15809002.jpg", "15809002")</f>
        <v>15809002</v>
      </c>
      <c r="C7027" s="3" t="str">
        <f>HYPERLINK("http://www.ncbi.nlm.nih.gov/protein/15809002","Snf8")</f>
        <v>Snf8</v>
      </c>
      <c r="E7027" t="str">
        <f>HYPERLINK("J:\Depot - mpkCCD Fractions\Main Web Page\Web Pages_old\proteomic_fractions_linear_files/Yang_linear_img/15809002.jpg","show blot")</f>
        <v>show blot</v>
      </c>
      <c r="G7027" t="s">
        <v>6798</v>
      </c>
      <c r="I7027" s="6">
        <v>5.2307405680863024</v>
      </c>
      <c r="K7027" s="8"/>
    </row>
    <row r="7028" spans="1:11" ht="15" x14ac:dyDescent="0.25">
      <c r="A7028" s="3" t="str">
        <f>HYPERLINK("proteomic_fractions_linear_files/Yang_linear_img/40018610.jpg", "40018610")</f>
        <v>40018610</v>
      </c>
      <c r="C7028" s="3" t="str">
        <f>HYPERLINK("http://www.ncbi.nlm.nih.gov/protein/40018610","Snrnp200")</f>
        <v>Snrnp200</v>
      </c>
      <c r="E7028" t="str">
        <f>HYPERLINK("J:\Depot - mpkCCD Fractions\Main Web Page\Web Pages_old\proteomic_fractions_linear_files/Yang_linear_img/40018610.jpg","show blot")</f>
        <v>show blot</v>
      </c>
      <c r="G7028" t="s">
        <v>6799</v>
      </c>
      <c r="I7028" s="6">
        <v>5.2589167828575025</v>
      </c>
      <c r="K7028" s="8"/>
    </row>
    <row r="7029" spans="1:11" ht="15" x14ac:dyDescent="0.25">
      <c r="A7029" s="3" t="str">
        <f>HYPERLINK("proteomic_fractions_linear_files/Yang_linear_img/27228990.jpg", "27228990")</f>
        <v>27228990</v>
      </c>
      <c r="C7029" s="3" t="str">
        <f>HYPERLINK("http://www.ncbi.nlm.nih.gov/protein/27228990","Snrnp27")</f>
        <v>Snrnp27</v>
      </c>
      <c r="E7029" t="str">
        <f>HYPERLINK("J:\Depot - mpkCCD Fractions\Main Web Page\Web Pages_old\proteomic_fractions_linear_files/Yang_linear_img/27228990.jpg","show blot")</f>
        <v>show blot</v>
      </c>
      <c r="G7029" t="s">
        <v>6800</v>
      </c>
      <c r="I7029" s="6">
        <v>2.3137562469478512</v>
      </c>
      <c r="K7029" s="8"/>
    </row>
    <row r="7030" spans="1:11" ht="15" x14ac:dyDescent="0.25">
      <c r="A7030" s="3" t="str">
        <f>HYPERLINK("proteomic_fractions_linear_files/Yang_linear_img/115298670.jpg", "115298670")</f>
        <v>115298670</v>
      </c>
      <c r="C7030" s="3" t="str">
        <f>HYPERLINK("http://www.ncbi.nlm.nih.gov/protein/115298670","Snrnp40")</f>
        <v>Snrnp40</v>
      </c>
      <c r="E7030" t="str">
        <f>HYPERLINK("J:\Depot - mpkCCD Fractions\Main Web Page\Web Pages_old\proteomic_fractions_linear_files/Yang_linear_img/115298670.jpg","show blot")</f>
        <v>show blot</v>
      </c>
      <c r="G7030" t="s">
        <v>6801</v>
      </c>
      <c r="I7030" s="6">
        <v>5.4084635780301484</v>
      </c>
      <c r="K7030" s="8"/>
    </row>
    <row r="7031" spans="1:11" ht="15" x14ac:dyDescent="0.25">
      <c r="A7031" s="3" t="str">
        <f>HYPERLINK("proteomic_fractions_linear_files/Yang_linear_img/67846113.jpg", "67846113")</f>
        <v>67846113</v>
      </c>
      <c r="C7031" s="3" t="str">
        <f>HYPERLINK("http://www.ncbi.nlm.nih.gov/protein/67846113","Snrnp70")</f>
        <v>Snrnp70</v>
      </c>
      <c r="E7031" t="str">
        <f>HYPERLINK("J:\Depot - mpkCCD Fractions\Main Web Page\Web Pages_old\proteomic_fractions_linear_files/Yang_linear_img/67846113.jpg","show blot")</f>
        <v>show blot</v>
      </c>
      <c r="G7031" t="s">
        <v>6802</v>
      </c>
      <c r="I7031" s="6">
        <v>5.0006999984838068</v>
      </c>
      <c r="K7031" s="8"/>
    </row>
    <row r="7032" spans="1:11" ht="15" x14ac:dyDescent="0.25">
      <c r="A7032" s="3" t="str">
        <f>HYPERLINK("proteomic_fractions_linear_files/Yang_linear_img/114052106.jpg", "114052106")</f>
        <v>114052106</v>
      </c>
      <c r="C7032" s="3" t="str">
        <f>HYPERLINK("http://www.ncbi.nlm.nih.gov/protein/114052106","Snrpa")</f>
        <v>Snrpa</v>
      </c>
      <c r="E7032" t="str">
        <f>HYPERLINK("J:\Depot - mpkCCD Fractions\Main Web Page\Web Pages_old\proteomic_fractions_linear_files/Yang_linear_img/114052106.jpg","show blot")</f>
        <v>show blot</v>
      </c>
      <c r="G7032" t="s">
        <v>6803</v>
      </c>
      <c r="I7032" s="6">
        <v>5.4500692431358582</v>
      </c>
      <c r="K7032" s="8"/>
    </row>
    <row r="7033" spans="1:11" ht="15" x14ac:dyDescent="0.25">
      <c r="A7033" s="3" t="str">
        <f>HYPERLINK("proteomic_fractions_linear_files/Yang_linear_img/228480232.jpg", "228480232")</f>
        <v>228480232</v>
      </c>
      <c r="C7033" s="3" t="str">
        <f>HYPERLINK("http://www.ncbi.nlm.nih.gov/protein/228480232","Snrpa1")</f>
        <v>Snrpa1</v>
      </c>
      <c r="E7033" t="str">
        <f>HYPERLINK("J:\Depot - mpkCCD Fractions\Main Web Page\Web Pages_old\proteomic_fractions_linear_files/Yang_linear_img/228480232.jpg","show blot")</f>
        <v>show blot</v>
      </c>
      <c r="G7033" t="s">
        <v>6804</v>
      </c>
      <c r="I7033" s="6">
        <v>5.8445905759665813</v>
      </c>
      <c r="K7033" s="8"/>
    </row>
    <row r="7034" spans="1:11" ht="15" x14ac:dyDescent="0.25">
      <c r="A7034" s="3" t="str">
        <f>HYPERLINK("proteomic_fractions_linear_files/Yang_linear_img/6678053.jpg", "6678053")</f>
        <v>6678053</v>
      </c>
      <c r="C7034" s="3" t="str">
        <f>HYPERLINK("http://www.ncbi.nlm.nih.gov/protein/6678053","Snrpb")</f>
        <v>Snrpb</v>
      </c>
      <c r="E7034" t="str">
        <f>HYPERLINK("J:\Depot - mpkCCD Fractions\Main Web Page\Web Pages_old\proteomic_fractions_linear_files/Yang_linear_img/6678053.jpg","show blot")</f>
        <v>show blot</v>
      </c>
      <c r="G7034" t="s">
        <v>6805</v>
      </c>
      <c r="I7034" s="6">
        <v>6.0067193128707652</v>
      </c>
      <c r="K7034" s="8"/>
    </row>
    <row r="7035" spans="1:11" ht="15" x14ac:dyDescent="0.25">
      <c r="A7035" s="3" t="str">
        <f>HYPERLINK("proteomic_fractions_linear_files/Yang_linear_img/23956110.jpg", "23956110")</f>
        <v>23956110</v>
      </c>
      <c r="C7035" s="3" t="str">
        <f>HYPERLINK("http://www.ncbi.nlm.nih.gov/protein/23956110","Snrpb2")</f>
        <v>Snrpb2</v>
      </c>
      <c r="E7035" t="str">
        <f>HYPERLINK("J:\Depot - mpkCCD Fractions\Main Web Page\Web Pages_old\proteomic_fractions_linear_files/Yang_linear_img/23956110.jpg","show blot")</f>
        <v>show blot</v>
      </c>
      <c r="G7035" t="s">
        <v>6806</v>
      </c>
      <c r="I7035" s="6">
        <v>4.9782241915395105</v>
      </c>
      <c r="K7035" s="8"/>
    </row>
    <row r="7036" spans="1:11" ht="15" x14ac:dyDescent="0.25">
      <c r="A7036" s="3" t="str">
        <f>HYPERLINK("proteomic_fractions_linear_files/Yang_linear_img/6755596.jpg", "6755596")</f>
        <v>6755596</v>
      </c>
      <c r="C7036" s="3" t="str">
        <f>HYPERLINK("http://www.ncbi.nlm.nih.gov/protein/6755596","Snrpc")</f>
        <v>Snrpc</v>
      </c>
      <c r="E7036" t="str">
        <f>HYPERLINK("J:\Depot - mpkCCD Fractions\Main Web Page\Web Pages_old\proteomic_fractions_linear_files/Yang_linear_img/6755596.jpg","show blot")</f>
        <v>show blot</v>
      </c>
      <c r="G7036" t="s">
        <v>6807</v>
      </c>
      <c r="I7036" s="6">
        <v>3.7953748616164069</v>
      </c>
      <c r="K7036" s="8"/>
    </row>
    <row r="7037" spans="1:11" ht="15" x14ac:dyDescent="0.25">
      <c r="A7037" s="3" t="str">
        <f>HYPERLINK("proteomic_fractions_linear_files/Yang_linear_img/6678055.jpg", "6678055")</f>
        <v>6678055</v>
      </c>
      <c r="C7037" s="3" t="str">
        <f>HYPERLINK("http://www.ncbi.nlm.nih.gov/protein/6678055","Snrpd1")</f>
        <v>Snrpd1</v>
      </c>
      <c r="E7037" t="str">
        <f>HYPERLINK("J:\Depot - mpkCCD Fractions\Main Web Page\Web Pages_old\proteomic_fractions_linear_files/Yang_linear_img/6678055.jpg","show blot")</f>
        <v>show blot</v>
      </c>
      <c r="G7037" t="s">
        <v>6808</v>
      </c>
      <c r="I7037" s="6">
        <v>6.4026503881165819</v>
      </c>
      <c r="K7037" s="8"/>
    </row>
    <row r="7038" spans="1:11" ht="15" x14ac:dyDescent="0.25">
      <c r="A7038" s="3" t="str">
        <f>HYPERLINK("proteomic_fractions_linear_files/Yang_linear_img/58037145.jpg", "58037145")</f>
        <v>58037145</v>
      </c>
      <c r="C7038" s="3" t="str">
        <f>HYPERLINK("http://www.ncbi.nlm.nih.gov/protein/58037145","Snrpd2")</f>
        <v>Snrpd2</v>
      </c>
      <c r="E7038" t="str">
        <f>HYPERLINK("J:\Depot - mpkCCD Fractions\Main Web Page\Web Pages_old\proteomic_fractions_linear_files/Yang_linear_img/58037145.jpg","show blot")</f>
        <v>show blot</v>
      </c>
      <c r="G7038" t="s">
        <v>6809</v>
      </c>
      <c r="I7038" s="6">
        <v>6.3610174908094841</v>
      </c>
      <c r="K7038" s="8"/>
    </row>
    <row r="7039" spans="1:11" ht="15" x14ac:dyDescent="0.25">
      <c r="A7039" s="3" t="str">
        <f>HYPERLINK("proteomic_fractions_linear_files/Yang_linear_img/13385598.jpg", "13385598")</f>
        <v>13385598</v>
      </c>
      <c r="C7039" s="3" t="str">
        <f>HYPERLINK("http://www.ncbi.nlm.nih.gov/protein/13385598","Snrpd3")</f>
        <v>Snrpd3</v>
      </c>
      <c r="E7039" t="str">
        <f>HYPERLINK("J:\Depot - mpkCCD Fractions\Main Web Page\Web Pages_old\proteomic_fractions_linear_files/Yang_linear_img/13385598.jpg","show blot")</f>
        <v>show blot</v>
      </c>
      <c r="G7039" t="s">
        <v>6810</v>
      </c>
      <c r="I7039" s="6">
        <v>6.6756399411940262</v>
      </c>
      <c r="K7039" s="8"/>
    </row>
    <row r="7040" spans="1:11" ht="15" x14ac:dyDescent="0.25">
      <c r="A7040" s="3" t="str">
        <f>HYPERLINK("proteomic_fractions_linear_files/Yang_linear_img/27883844.jpg", "27883844")</f>
        <v>27883844</v>
      </c>
      <c r="C7040" s="3" t="str">
        <f>HYPERLINK("http://www.ncbi.nlm.nih.gov/protein/27883844","Snrpe")</f>
        <v>Snrpe</v>
      </c>
      <c r="E7040" t="str">
        <f>HYPERLINK("J:\Depot - mpkCCD Fractions\Main Web Page\Web Pages_old\proteomic_fractions_linear_files/Yang_linear_img/27883844.jpg","show blot")</f>
        <v>show blot</v>
      </c>
      <c r="G7040" t="s">
        <v>6811</v>
      </c>
      <c r="I7040" s="6">
        <v>5.8898973203797391</v>
      </c>
      <c r="K7040" s="8"/>
    </row>
    <row r="7041" spans="1:11" ht="15" x14ac:dyDescent="0.25">
      <c r="A7041" s="3" t="str">
        <f>HYPERLINK("proteomic_fractions_linear_files/Yang_linear_img/254028189.jpg", "254028189")</f>
        <v>254028189</v>
      </c>
      <c r="C7041" s="3" t="str">
        <f>HYPERLINK("http://www.ncbi.nlm.nih.gov/protein/254028189","Snrpf")</f>
        <v>Snrpf</v>
      </c>
      <c r="E7041" t="str">
        <f>HYPERLINK("J:\Depot - mpkCCD Fractions\Main Web Page\Web Pages_old\proteomic_fractions_linear_files/Yang_linear_img/254028189.jpg","show blot")</f>
        <v>show blot</v>
      </c>
      <c r="G7041" t="s">
        <v>6812</v>
      </c>
      <c r="I7041" s="6">
        <v>6.112203428863487</v>
      </c>
      <c r="K7041" s="8"/>
    </row>
    <row r="7042" spans="1:11" ht="15" x14ac:dyDescent="0.25">
      <c r="A7042" s="3" t="str">
        <f>HYPERLINK("proteomic_fractions_linear_files/Yang_linear_img/13385994.jpg", "13385994")</f>
        <v>13385994</v>
      </c>
      <c r="C7042" s="3" t="str">
        <f>HYPERLINK("http://www.ncbi.nlm.nih.gov/protein/13385994","Snrpg")</f>
        <v>Snrpg</v>
      </c>
      <c r="E7042" t="str">
        <f>HYPERLINK("J:\Depot - mpkCCD Fractions\Main Web Page\Web Pages_old\proteomic_fractions_linear_files/Yang_linear_img/13385994.jpg","show blot")</f>
        <v>show blot</v>
      </c>
      <c r="G7042" t="s">
        <v>6813</v>
      </c>
      <c r="I7042" s="6">
        <v>5.1337383594427672</v>
      </c>
      <c r="K7042" s="8"/>
    </row>
    <row r="7043" spans="1:11" ht="15" x14ac:dyDescent="0.25">
      <c r="A7043" s="3" t="str">
        <f>HYPERLINK("proteomic_fractions_linear_files/Yang_linear_img/7305509.jpg", "7305509")</f>
        <v>7305509</v>
      </c>
      <c r="C7043" s="3" t="str">
        <f>HYPERLINK("http://www.ncbi.nlm.nih.gov/protein/7305509","Snrpn")</f>
        <v>Snrpn</v>
      </c>
      <c r="E7043" t="str">
        <f>HYPERLINK("J:\Depot - mpkCCD Fractions\Main Web Page\Web Pages_old\proteomic_fractions_linear_files/Yang_linear_img/7305509.jpg","show blot")</f>
        <v>show blot</v>
      </c>
      <c r="G7043" t="s">
        <v>6814</v>
      </c>
      <c r="I7043" s="6">
        <v>6.0067193128707652</v>
      </c>
      <c r="K7043" s="8"/>
    </row>
    <row r="7044" spans="1:11" ht="15" x14ac:dyDescent="0.25">
      <c r="A7044" s="3" t="str">
        <f>HYPERLINK("proteomic_fractions_linear_files/Yang_linear_img/160333722.jpg", "160333722")</f>
        <v>160333722</v>
      </c>
      <c r="C7044" s="3" t="str">
        <f>HYPERLINK("http://www.ncbi.nlm.nih.gov/protein/160333722","Snta1")</f>
        <v>Snta1</v>
      </c>
      <c r="E7044" t="str">
        <f>HYPERLINK("J:\Depot - mpkCCD Fractions\Main Web Page\Web Pages_old\proteomic_fractions_linear_files/Yang_linear_img/160333722.jpg","show blot")</f>
        <v>show blot</v>
      </c>
      <c r="G7044" t="s">
        <v>6815</v>
      </c>
      <c r="I7044" s="6">
        <v>3.8302023874758317</v>
      </c>
      <c r="K7044" s="8"/>
    </row>
    <row r="7045" spans="1:11" ht="15" x14ac:dyDescent="0.25">
      <c r="A7045" s="3" t="str">
        <f>HYPERLINK("proteomic_fractions_linear_files/Yang_linear_img/6678059.jpg", "6678059")</f>
        <v>6678059</v>
      </c>
      <c r="C7045" s="3" t="str">
        <f>HYPERLINK("http://www.ncbi.nlm.nih.gov/protein/6678059","Sntb2")</f>
        <v>Sntb2</v>
      </c>
      <c r="E7045" t="str">
        <f>HYPERLINK("J:\Depot - mpkCCD Fractions\Main Web Page\Web Pages_old\proteomic_fractions_linear_files/Yang_linear_img/6678059.jpg","show blot")</f>
        <v>show blot</v>
      </c>
      <c r="G7045" t="s">
        <v>6816</v>
      </c>
      <c r="I7045" s="6">
        <v>4.167179642296281</v>
      </c>
      <c r="K7045" s="8"/>
    </row>
    <row r="7046" spans="1:11" ht="15" x14ac:dyDescent="0.25">
      <c r="A7046" s="3" t="str">
        <f>HYPERLINK("proteomic_fractions_linear_files/Yang_linear_img/146149191.jpg", "146149191")</f>
        <v>146149191</v>
      </c>
      <c r="C7046" s="3" t="str">
        <f>HYPERLINK("http://www.ncbi.nlm.nih.gov/protein/146149191","Snw1")</f>
        <v>Snw1</v>
      </c>
      <c r="E7046" t="str">
        <f>HYPERLINK("J:\Depot - mpkCCD Fractions\Main Web Page\Web Pages_old\proteomic_fractions_linear_files/Yang_linear_img/146149191.jpg","show blot")</f>
        <v>show blot</v>
      </c>
      <c r="G7046" t="s">
        <v>6817</v>
      </c>
      <c r="I7046" s="6">
        <v>4.411542658609787</v>
      </c>
      <c r="K7046" s="8"/>
    </row>
    <row r="7047" spans="1:11" ht="15" x14ac:dyDescent="0.25">
      <c r="A7047" s="3" t="str">
        <f>HYPERLINK("proteomic_fractions_linear_files/Yang_linear_img/71043944.jpg", "71043944")</f>
        <v>71043944</v>
      </c>
      <c r="C7047" s="3" t="str">
        <f>HYPERLINK("http://www.ncbi.nlm.nih.gov/protein/71043944","Snx1")</f>
        <v>Snx1</v>
      </c>
      <c r="E7047" t="str">
        <f>HYPERLINK("J:\Depot - mpkCCD Fractions\Main Web Page\Web Pages_old\proteomic_fractions_linear_files/Yang_linear_img/71043944.jpg","show blot")</f>
        <v>show blot</v>
      </c>
      <c r="G7047" t="s">
        <v>6818</v>
      </c>
      <c r="I7047" s="6">
        <v>5.7474553793328109</v>
      </c>
      <c r="K7047" s="8"/>
    </row>
    <row r="7048" spans="1:11" ht="15" x14ac:dyDescent="0.25">
      <c r="A7048" s="3" t="str">
        <f>HYPERLINK("proteomic_fractions_linear_files/Yang_linear_img/160333829.jpg", "160333829")</f>
        <v>160333829</v>
      </c>
      <c r="C7048" s="3" t="str">
        <f>HYPERLINK("http://www.ncbi.nlm.nih.gov/protein/160333829","Snx12")</f>
        <v>Snx12</v>
      </c>
      <c r="E7048" t="str">
        <f>HYPERLINK("J:\Depot - mpkCCD Fractions\Main Web Page\Web Pages_old\proteomic_fractions_linear_files/Yang_linear_img/160333829.jpg","show blot")</f>
        <v>show blot</v>
      </c>
      <c r="G7048" t="s">
        <v>6819</v>
      </c>
      <c r="I7048" s="6">
        <v>5.8073121503555605</v>
      </c>
      <c r="K7048" s="8"/>
    </row>
    <row r="7049" spans="1:11" ht="15" x14ac:dyDescent="0.25">
      <c r="A7049" s="3" t="str">
        <f>HYPERLINK("proteomic_fractions_linear_files/Yang_linear_img/160333832.jpg", "160333832")</f>
        <v>160333832</v>
      </c>
      <c r="C7049" s="3" t="str">
        <f>HYPERLINK("http://www.ncbi.nlm.nih.gov/protein/160333832","Snx12")</f>
        <v>Snx12</v>
      </c>
      <c r="E7049" t="str">
        <f>HYPERLINK("J:\Depot - mpkCCD Fractions\Main Web Page\Web Pages_old\proteomic_fractions_linear_files/Yang_linear_img/160333832.jpg","show blot")</f>
        <v>show blot</v>
      </c>
      <c r="G7049" t="s">
        <v>6820</v>
      </c>
      <c r="I7049" s="6">
        <v>5.8073121503555605</v>
      </c>
      <c r="K7049" s="8"/>
    </row>
    <row r="7050" spans="1:11" ht="15" x14ac:dyDescent="0.25">
      <c r="A7050" s="3" t="str">
        <f>HYPERLINK("proteomic_fractions_linear_files/Yang_linear_img/160333835.jpg", "160333835")</f>
        <v>160333835</v>
      </c>
      <c r="C7050" s="3" t="str">
        <f>HYPERLINK("http://www.ncbi.nlm.nih.gov/protein/160333835","Snx12")</f>
        <v>Snx12</v>
      </c>
      <c r="E7050" t="str">
        <f>HYPERLINK("J:\Depot - mpkCCD Fractions\Main Web Page\Web Pages_old\proteomic_fractions_linear_files/Yang_linear_img/160333835.jpg","show blot")</f>
        <v>show blot</v>
      </c>
      <c r="G7050" t="s">
        <v>6821</v>
      </c>
      <c r="I7050" s="6">
        <v>5.8073121503555605</v>
      </c>
      <c r="K7050" s="8"/>
    </row>
    <row r="7051" spans="1:11" ht="15" x14ac:dyDescent="0.25">
      <c r="A7051" s="3" t="str">
        <f>HYPERLINK("proteomic_fractions_linear_files/Yang_linear_img/238814328.jpg", "238814328")</f>
        <v>238814328</v>
      </c>
      <c r="C7051" s="3" t="str">
        <f>HYPERLINK("http://www.ncbi.nlm.nih.gov/protein/238814328","Snx14")</f>
        <v>Snx14</v>
      </c>
      <c r="E7051" t="str">
        <f>HYPERLINK("J:\Depot - mpkCCD Fractions\Main Web Page\Web Pages_old\proteomic_fractions_linear_files/Yang_linear_img/238814328.jpg","show blot")</f>
        <v>show blot</v>
      </c>
      <c r="G7051" t="s">
        <v>6822</v>
      </c>
      <c r="I7051" s="6">
        <v>2.449813188279804</v>
      </c>
      <c r="K7051" s="8"/>
    </row>
    <row r="7052" spans="1:11" ht="15" x14ac:dyDescent="0.25">
      <c r="A7052" s="3" t="str">
        <f>HYPERLINK("proteomic_fractions_linear_files/Yang_linear_img/24211031.jpg", "24211031")</f>
        <v>24211031</v>
      </c>
      <c r="C7052" s="3" t="str">
        <f>HYPERLINK("http://www.ncbi.nlm.nih.gov/protein/24211031","Snx17")</f>
        <v>Snx17</v>
      </c>
      <c r="E7052" t="str">
        <f>HYPERLINK("J:\Depot - mpkCCD Fractions\Main Web Page\Web Pages_old\proteomic_fractions_linear_files/Yang_linear_img/24211031.jpg","show blot")</f>
        <v>show blot</v>
      </c>
      <c r="G7052" t="s">
        <v>6823</v>
      </c>
      <c r="I7052" s="6">
        <v>3.0608690587763236</v>
      </c>
      <c r="K7052" s="8"/>
    </row>
    <row r="7053" spans="1:11" ht="15" x14ac:dyDescent="0.25">
      <c r="A7053" s="3" t="str">
        <f>HYPERLINK("proteomic_fractions_linear_files/Yang_linear_img/91598596.jpg", "91598596")</f>
        <v>91598596</v>
      </c>
      <c r="C7053" s="3" t="str">
        <f>HYPERLINK("http://www.ncbi.nlm.nih.gov/protein/91598596","Snx18")</f>
        <v>Snx18</v>
      </c>
      <c r="E7053" t="str">
        <f>HYPERLINK("J:\Depot - mpkCCD Fractions\Main Web Page\Web Pages_old\proteomic_fractions_linear_files/Yang_linear_img/91598596.jpg","show blot")</f>
        <v>show blot</v>
      </c>
      <c r="G7053" t="s">
        <v>6824</v>
      </c>
      <c r="I7053" s="6">
        <v>3.4556772181531099</v>
      </c>
      <c r="K7053" s="8"/>
    </row>
    <row r="7054" spans="1:11" ht="15" x14ac:dyDescent="0.25">
      <c r="A7054" s="3" t="str">
        <f>HYPERLINK("proteomic_fractions_linear_files/Yang_linear_img/13385878.jpg", "13385878")</f>
        <v>13385878</v>
      </c>
      <c r="C7054" s="3" t="str">
        <f>HYPERLINK("http://www.ncbi.nlm.nih.gov/protein/13385878","Snx2")</f>
        <v>Snx2</v>
      </c>
      <c r="E7054" t="str">
        <f>HYPERLINK("J:\Depot - mpkCCD Fractions\Main Web Page\Web Pages_old\proteomic_fractions_linear_files/Yang_linear_img/13385878.jpg","show blot")</f>
        <v>show blot</v>
      </c>
      <c r="G7054" t="s">
        <v>6825</v>
      </c>
      <c r="I7054" s="6">
        <v>5.8157054372052208</v>
      </c>
      <c r="K7054" s="8"/>
    </row>
    <row r="7055" spans="1:11" ht="15" x14ac:dyDescent="0.25">
      <c r="A7055" s="3" t="str">
        <f>HYPERLINK("proteomic_fractions_linear_files/Yang_linear_img/110625874.jpg", "110625874")</f>
        <v>110625874</v>
      </c>
      <c r="C7055" s="3" t="str">
        <f>HYPERLINK("http://www.ncbi.nlm.nih.gov/protein/110625874","Snx21")</f>
        <v>Snx21</v>
      </c>
      <c r="E7055" t="str">
        <f>HYPERLINK("J:\Depot - mpkCCD Fractions\Main Web Page\Web Pages_old\proteomic_fractions_linear_files/Yang_linear_img/110625874.jpg","show blot")</f>
        <v>show blot</v>
      </c>
      <c r="G7055" t="s">
        <v>6826</v>
      </c>
      <c r="I7055" s="6">
        <v>3.0044269929874972</v>
      </c>
      <c r="K7055" s="8"/>
    </row>
    <row r="7056" spans="1:11" ht="15" x14ac:dyDescent="0.25">
      <c r="A7056" s="3" t="str">
        <f>HYPERLINK("proteomic_fractions_linear_files/Yang_linear_img/21313014.jpg", "21313014")</f>
        <v>21313014</v>
      </c>
      <c r="C7056" s="3" t="str">
        <f>HYPERLINK("http://www.ncbi.nlm.nih.gov/protein/21313014","Snx24")</f>
        <v>Snx24</v>
      </c>
      <c r="E7056" t="str">
        <f>HYPERLINK("J:\Depot - mpkCCD Fractions\Main Web Page\Web Pages_old\proteomic_fractions_linear_files/Yang_linear_img/21313014.jpg","show blot")</f>
        <v>show blot</v>
      </c>
      <c r="G7056" t="s">
        <v>6827</v>
      </c>
      <c r="I7056" s="6">
        <v>3.2317003441014411</v>
      </c>
      <c r="K7056" s="8"/>
    </row>
    <row r="7057" spans="1:11" ht="15" x14ac:dyDescent="0.25">
      <c r="A7057" s="3" t="str">
        <f>HYPERLINK("proteomic_fractions_linear_files/Yang_linear_img/126722910.jpg", "126722910")</f>
        <v>126722910</v>
      </c>
      <c r="C7057" s="3" t="str">
        <f>HYPERLINK("http://www.ncbi.nlm.nih.gov/protein/126722910","Snx27")</f>
        <v>Snx27</v>
      </c>
      <c r="E7057" t="str">
        <f>HYPERLINK("J:\Depot - mpkCCD Fractions\Main Web Page\Web Pages_old\proteomic_fractions_linear_files/Yang_linear_img/126722910.jpg","show blot")</f>
        <v>show blot</v>
      </c>
      <c r="G7057" t="s">
        <v>6828</v>
      </c>
      <c r="I7057" s="6">
        <v>4.3432652092107116</v>
      </c>
      <c r="K7057" s="8"/>
    </row>
    <row r="7058" spans="1:11" ht="15" x14ac:dyDescent="0.25">
      <c r="A7058" s="3" t="str">
        <f>HYPERLINK("proteomic_fractions_linear_files/Yang_linear_img/126723792.jpg", "126723792")</f>
        <v>126723792</v>
      </c>
      <c r="C7058" s="3" t="str">
        <f>HYPERLINK("http://www.ncbi.nlm.nih.gov/protein/126723792","Snx27")</f>
        <v>Snx27</v>
      </c>
      <c r="E7058" t="str">
        <f>HYPERLINK("J:\Depot - mpkCCD Fractions\Main Web Page\Web Pages_old\proteomic_fractions_linear_files/Yang_linear_img/126723792.jpg","show blot")</f>
        <v>show blot</v>
      </c>
      <c r="G7058" t="s">
        <v>6829</v>
      </c>
      <c r="I7058" s="6">
        <v>4.3432652092107116</v>
      </c>
      <c r="K7058" s="8"/>
    </row>
    <row r="7059" spans="1:11" ht="15" x14ac:dyDescent="0.25">
      <c r="A7059" s="3" t="str">
        <f>HYPERLINK("proteomic_fractions_linear_files/Yang_linear_img/343790938.jpg", "343790938")</f>
        <v>343790938</v>
      </c>
      <c r="C7059" s="3" t="str">
        <f>HYPERLINK("http://www.ncbi.nlm.nih.gov/protein/343790938","Snx29")</f>
        <v>Snx29</v>
      </c>
      <c r="E7059" t="str">
        <f>HYPERLINK("J:\Depot - mpkCCD Fractions\Main Web Page\Web Pages_old\proteomic_fractions_linear_files/Yang_linear_img/343790938.jpg","show blot")</f>
        <v>show blot</v>
      </c>
      <c r="G7059" t="s">
        <v>6830</v>
      </c>
      <c r="I7059" s="6">
        <v>3.9242846270660094</v>
      </c>
      <c r="K7059" s="8"/>
    </row>
    <row r="7060" spans="1:11" ht="15" x14ac:dyDescent="0.25">
      <c r="A7060" s="3" t="str">
        <f>HYPERLINK("proteomic_fractions_linear_files/Yang_linear_img/31560433.jpg", "31560433")</f>
        <v>31560433</v>
      </c>
      <c r="C7060" s="3" t="str">
        <f>HYPERLINK("http://www.ncbi.nlm.nih.gov/protein/31560433","Snx3")</f>
        <v>Snx3</v>
      </c>
      <c r="E7060" t="str">
        <f>HYPERLINK("J:\Depot - mpkCCD Fractions\Main Web Page\Web Pages_old\proteomic_fractions_linear_files/Yang_linear_img/31560433.jpg","show blot")</f>
        <v>show blot</v>
      </c>
      <c r="G7060" t="s">
        <v>6831</v>
      </c>
      <c r="I7060" s="6">
        <v>6.0662631380363425</v>
      </c>
      <c r="K7060" s="8"/>
    </row>
    <row r="7061" spans="1:11" ht="15" x14ac:dyDescent="0.25">
      <c r="A7061" s="3" t="str">
        <f>HYPERLINK("proteomic_fractions_linear_files/Yang_linear_img/66792896.jpg", "66792896")</f>
        <v>66792896</v>
      </c>
      <c r="C7061" s="3" t="str">
        <f>HYPERLINK("http://www.ncbi.nlm.nih.gov/protein/66792896","Snx32")</f>
        <v>Snx32</v>
      </c>
      <c r="E7061" t="str">
        <f>HYPERLINK("J:\Depot - mpkCCD Fractions\Main Web Page\Web Pages_old\proteomic_fractions_linear_files/Yang_linear_img/66792896.jpg","show blot")</f>
        <v>show blot</v>
      </c>
      <c r="G7061" t="s">
        <v>6832</v>
      </c>
      <c r="I7061" s="6">
        <v>4.0753159683721725</v>
      </c>
      <c r="K7061" s="8"/>
    </row>
    <row r="7062" spans="1:11" ht="15" x14ac:dyDescent="0.25">
      <c r="A7062" s="3" t="str">
        <f>HYPERLINK("proteomic_fractions_linear_files/Yang_linear_img/18017596.jpg", "18017596")</f>
        <v>18017596</v>
      </c>
      <c r="C7062" s="3" t="str">
        <f>HYPERLINK("http://www.ncbi.nlm.nih.gov/protein/18017596","Snx4")</f>
        <v>Snx4</v>
      </c>
      <c r="E7062" t="str">
        <f>HYPERLINK("J:\Depot - mpkCCD Fractions\Main Web Page\Web Pages_old\proteomic_fractions_linear_files/Yang_linear_img/18017596.jpg","show blot")</f>
        <v>show blot</v>
      </c>
      <c r="G7062" t="s">
        <v>6833</v>
      </c>
      <c r="I7062" s="6">
        <v>4.9787358552889227</v>
      </c>
      <c r="K7062" s="8"/>
    </row>
    <row r="7063" spans="1:11" ht="15" x14ac:dyDescent="0.25">
      <c r="A7063" s="3" t="str">
        <f>HYPERLINK("proteomic_fractions_linear_files/Yang_linear_img/18034769.jpg", "18034769")</f>
        <v>18034769</v>
      </c>
      <c r="C7063" s="3" t="str">
        <f>HYPERLINK("http://www.ncbi.nlm.nih.gov/protein/18034769","Snx5")</f>
        <v>Snx5</v>
      </c>
      <c r="E7063" t="str">
        <f>HYPERLINK("J:\Depot - mpkCCD Fractions\Main Web Page\Web Pages_old\proteomic_fractions_linear_files/Yang_linear_img/18034769.jpg","show blot")</f>
        <v>show blot</v>
      </c>
      <c r="G7063" t="s">
        <v>6834</v>
      </c>
      <c r="I7063" s="6">
        <v>5.4513470223249492</v>
      </c>
      <c r="K7063" s="8"/>
    </row>
    <row r="7064" spans="1:11" ht="15" x14ac:dyDescent="0.25">
      <c r="A7064" s="3" t="str">
        <f>HYPERLINK("proteomic_fractions_linear_files/Yang_linear_img/27754031.jpg", "27754031")</f>
        <v>27754031</v>
      </c>
      <c r="C7064" s="3" t="str">
        <f>HYPERLINK("http://www.ncbi.nlm.nih.gov/protein/27754031","Snx6")</f>
        <v>Snx6</v>
      </c>
      <c r="E7064" t="str">
        <f>HYPERLINK("J:\Depot - mpkCCD Fractions\Main Web Page\Web Pages_old\proteomic_fractions_linear_files/Yang_linear_img/27754031.jpg","show blot")</f>
        <v>show blot</v>
      </c>
      <c r="G7064" t="s">
        <v>6835</v>
      </c>
      <c r="I7064" s="6">
        <v>5.6100199065731742</v>
      </c>
      <c r="K7064" s="8"/>
    </row>
    <row r="7065" spans="1:11" ht="15" x14ac:dyDescent="0.25">
      <c r="A7065" s="3" t="str">
        <f>HYPERLINK("proteomic_fractions_linear_files/Yang_linear_img/297747313.jpg", "297747313")</f>
        <v>297747313</v>
      </c>
      <c r="C7065" s="3" t="str">
        <f>HYPERLINK("http://www.ncbi.nlm.nih.gov/protein/297747313","Snx7")</f>
        <v>Snx7</v>
      </c>
      <c r="E7065" t="str">
        <f>HYPERLINK("J:\Depot - mpkCCD Fractions\Main Web Page\Web Pages_old\proteomic_fractions_linear_files/Yang_linear_img/297747313.jpg","show blot")</f>
        <v>show blot</v>
      </c>
      <c r="G7065" t="s">
        <v>6836</v>
      </c>
      <c r="I7065" s="6">
        <v>4.155696244672539</v>
      </c>
      <c r="K7065" s="8"/>
    </row>
    <row r="7066" spans="1:11" ht="15" x14ac:dyDescent="0.25">
      <c r="A7066" s="3" t="str">
        <f>HYPERLINK("proteomic_fractions_linear_files/Yang_linear_img/297747317.jpg", "297747317")</f>
        <v>297747317</v>
      </c>
      <c r="C7066" s="3" t="str">
        <f>HYPERLINK("http://www.ncbi.nlm.nih.gov/protein/297747317","Snx7")</f>
        <v>Snx7</v>
      </c>
      <c r="E7066" t="str">
        <f>HYPERLINK("J:\Depot - mpkCCD Fractions\Main Web Page\Web Pages_old\proteomic_fractions_linear_files/Yang_linear_img/297747317.jpg","show blot")</f>
        <v>show blot</v>
      </c>
      <c r="G7066" t="s">
        <v>6837</v>
      </c>
      <c r="I7066" s="6">
        <v>4.155696244672539</v>
      </c>
      <c r="K7066" s="8"/>
    </row>
    <row r="7067" spans="1:11" ht="15" x14ac:dyDescent="0.25">
      <c r="A7067" s="3" t="str">
        <f>HYPERLINK("proteomic_fractions_linear_files/Yang_linear_img/26986581.jpg", "26986581")</f>
        <v>26986581</v>
      </c>
      <c r="C7067" s="3" t="str">
        <f>HYPERLINK("http://www.ncbi.nlm.nih.gov/protein/26986581","Snx8")</f>
        <v>Snx8</v>
      </c>
      <c r="E7067" t="str">
        <f>HYPERLINK("J:\Depot - mpkCCD Fractions\Main Web Page\Web Pages_old\proteomic_fractions_linear_files/Yang_linear_img/26986581.jpg","show blot")</f>
        <v>show blot</v>
      </c>
      <c r="G7067" t="s">
        <v>6838</v>
      </c>
      <c r="I7067" s="6">
        <v>3.6779238347540253</v>
      </c>
      <c r="K7067" s="8"/>
    </row>
    <row r="7068" spans="1:11" ht="15" x14ac:dyDescent="0.25">
      <c r="A7068" s="3" t="str">
        <f>HYPERLINK("proteomic_fractions_linear_files/Yang_linear_img/29568084.jpg", "29568084")</f>
        <v>29568084</v>
      </c>
      <c r="C7068" s="3" t="str">
        <f>HYPERLINK("http://www.ncbi.nlm.nih.gov/protein/29568084","Snx9")</f>
        <v>Snx9</v>
      </c>
      <c r="E7068" t="str">
        <f>HYPERLINK("J:\Depot - mpkCCD Fractions\Main Web Page\Web Pages_old\proteomic_fractions_linear_files/Yang_linear_img/29568084.jpg","show blot")</f>
        <v>show blot</v>
      </c>
      <c r="G7068" t="s">
        <v>6839</v>
      </c>
      <c r="I7068" s="6">
        <v>4.7441737631642598</v>
      </c>
      <c r="K7068" s="8"/>
    </row>
    <row r="7069" spans="1:11" ht="15" x14ac:dyDescent="0.25">
      <c r="A7069" s="3" t="str">
        <f>HYPERLINK("proteomic_fractions_linear_files/Yang_linear_img/84619697.jpg", "84619697")</f>
        <v>84619697</v>
      </c>
      <c r="C7069" s="3" t="str">
        <f>HYPERLINK("http://www.ncbi.nlm.nih.gov/protein/84619697","Soat1")</f>
        <v>Soat1</v>
      </c>
      <c r="E7069" t="str">
        <f>HYPERLINK("J:\Depot - mpkCCD Fractions\Main Web Page\Web Pages_old\proteomic_fractions_linear_files/Yang_linear_img/84619697.jpg","show blot")</f>
        <v>show blot</v>
      </c>
      <c r="G7069" t="s">
        <v>6840</v>
      </c>
      <c r="I7069" s="6">
        <v>4.1922548222229281</v>
      </c>
      <c r="K7069" s="8"/>
    </row>
    <row r="7070" spans="1:11" ht="15" x14ac:dyDescent="0.25">
      <c r="A7070" s="3" t="str">
        <f>HYPERLINK("proteomic_fractions_linear_files/Yang_linear_img/45597447.jpg", "45597447")</f>
        <v>45597447</v>
      </c>
      <c r="C7070" s="3" t="str">
        <f>HYPERLINK("http://www.ncbi.nlm.nih.gov/protein/45597447","Sod1")</f>
        <v>Sod1</v>
      </c>
      <c r="E7070" t="str">
        <f>HYPERLINK("J:\Depot - mpkCCD Fractions\Main Web Page\Web Pages_old\proteomic_fractions_linear_files/Yang_linear_img/45597447.jpg","show blot")</f>
        <v>show blot</v>
      </c>
      <c r="G7070" t="s">
        <v>6841</v>
      </c>
      <c r="I7070" s="6">
        <v>6.6067238094527729</v>
      </c>
      <c r="K7070" s="8"/>
    </row>
    <row r="7071" spans="1:11" ht="15" x14ac:dyDescent="0.25">
      <c r="A7071" s="3" t="str">
        <f>HYPERLINK("proteomic_fractions_linear_files/Yang_linear_img/31980762.jpg", "31980762")</f>
        <v>31980762</v>
      </c>
      <c r="C7071" s="3" t="str">
        <f>HYPERLINK("http://www.ncbi.nlm.nih.gov/protein/31980762","Sod2")</f>
        <v>Sod2</v>
      </c>
      <c r="E7071" t="str">
        <f>HYPERLINK("J:\Depot - mpkCCD Fractions\Main Web Page\Web Pages_old\proteomic_fractions_linear_files/Yang_linear_img/31980762.jpg","show blot")</f>
        <v>show blot</v>
      </c>
      <c r="G7071" t="s">
        <v>6842</v>
      </c>
      <c r="I7071" s="6">
        <v>5.939910330467832</v>
      </c>
      <c r="K7071" s="8"/>
    </row>
    <row r="7072" spans="1:11" ht="15" x14ac:dyDescent="0.25">
      <c r="A7072" s="3" t="str">
        <f>HYPERLINK("proteomic_fractions_linear_files/Yang_linear_img/124358955.jpg", "124358955")</f>
        <v>124358955</v>
      </c>
      <c r="C7072" s="3" t="str">
        <f>HYPERLINK("http://www.ncbi.nlm.nih.gov/protein/124358955","Son")</f>
        <v>Son</v>
      </c>
      <c r="E7072" t="str">
        <f>HYPERLINK("J:\Depot - mpkCCD Fractions\Main Web Page\Web Pages_old\proteomic_fractions_linear_files/Yang_linear_img/124358955.jpg","show blot")</f>
        <v>show blot</v>
      </c>
      <c r="G7072" t="s">
        <v>6843</v>
      </c>
      <c r="I7072" s="6">
        <v>3.115009560150761</v>
      </c>
      <c r="K7072" s="8"/>
    </row>
    <row r="7073" spans="1:11" ht="15" x14ac:dyDescent="0.25">
      <c r="A7073" s="3" t="str">
        <f>HYPERLINK("proteomic_fractions_linear_files/Yang_linear_img/124378037.jpg", "124378037")</f>
        <v>124378037</v>
      </c>
      <c r="C7073" s="3" t="str">
        <f>HYPERLINK("http://www.ncbi.nlm.nih.gov/protein/124378037","Son")</f>
        <v>Son</v>
      </c>
      <c r="E7073" t="str">
        <f>HYPERLINK("J:\Depot - mpkCCD Fractions\Main Web Page\Web Pages_old\proteomic_fractions_linear_files/Yang_linear_img/124378037.jpg","show blot")</f>
        <v>show blot</v>
      </c>
      <c r="G7073" t="s">
        <v>6844</v>
      </c>
      <c r="I7073" s="6">
        <v>3.115009560150761</v>
      </c>
      <c r="K7073" s="8"/>
    </row>
    <row r="7074" spans="1:11" ht="15" x14ac:dyDescent="0.25">
      <c r="A7074" s="3" t="str">
        <f>HYPERLINK("proteomic_fractions_linear_files/Yang_linear_img/78000154.jpg", "78000154")</f>
        <v>78000154</v>
      </c>
      <c r="C7074" s="3" t="str">
        <f>HYPERLINK("http://www.ncbi.nlm.nih.gov/protein/78000154","Sorbs1")</f>
        <v>Sorbs1</v>
      </c>
      <c r="E7074" t="str">
        <f>HYPERLINK("J:\Depot - mpkCCD Fractions\Main Web Page\Web Pages_old\proteomic_fractions_linear_files/Yang_linear_img/78000154.jpg","show blot")</f>
        <v>show blot</v>
      </c>
      <c r="G7074" t="s">
        <v>6845</v>
      </c>
      <c r="I7074" s="6">
        <v>2.6215700670144573</v>
      </c>
      <c r="K7074" s="8"/>
    </row>
    <row r="7075" spans="1:11" ht="15" x14ac:dyDescent="0.25">
      <c r="A7075" s="3" t="str">
        <f>HYPERLINK("proteomic_fractions_linear_files/Yang_linear_img/78000173.jpg", "78000173")</f>
        <v>78000173</v>
      </c>
      <c r="C7075" s="3" t="str">
        <f>HYPERLINK("http://www.ncbi.nlm.nih.gov/protein/78000173","Sorbs1")</f>
        <v>Sorbs1</v>
      </c>
      <c r="E7075" t="str">
        <f>HYPERLINK("J:\Depot - mpkCCD Fractions\Main Web Page\Web Pages_old\proteomic_fractions_linear_files/Yang_linear_img/78000173.jpg","show blot")</f>
        <v>show blot</v>
      </c>
      <c r="G7075" t="s">
        <v>6846</v>
      </c>
      <c r="I7075" s="6">
        <v>2.6215700670144573</v>
      </c>
      <c r="K7075" s="8"/>
    </row>
    <row r="7076" spans="1:11" ht="15" x14ac:dyDescent="0.25">
      <c r="A7076" s="3" t="str">
        <f>HYPERLINK("proteomic_fractions_linear_files/Yang_linear_img/78000175.jpg", "78000175")</f>
        <v>78000175</v>
      </c>
      <c r="C7076" s="3" t="str">
        <f>HYPERLINK("http://www.ncbi.nlm.nih.gov/protein/78000175","Sorbs1")</f>
        <v>Sorbs1</v>
      </c>
      <c r="E7076" t="str">
        <f>HYPERLINK("J:\Depot - mpkCCD Fractions\Main Web Page\Web Pages_old\proteomic_fractions_linear_files/Yang_linear_img/78000175.jpg","show blot")</f>
        <v>show blot</v>
      </c>
      <c r="G7076" t="s">
        <v>6847</v>
      </c>
      <c r="I7076" s="6">
        <v>2.6215700670144573</v>
      </c>
      <c r="K7076" s="8"/>
    </row>
    <row r="7077" spans="1:11" ht="15" x14ac:dyDescent="0.25">
      <c r="A7077" s="3" t="str">
        <f>HYPERLINK("proteomic_fractions_linear_files/Yang_linear_img/78000177.jpg", "78000177")</f>
        <v>78000177</v>
      </c>
      <c r="C7077" s="3" t="str">
        <f>HYPERLINK("http://www.ncbi.nlm.nih.gov/protein/78000177","Sorbs1")</f>
        <v>Sorbs1</v>
      </c>
      <c r="E7077" t="str">
        <f>HYPERLINK("J:\Depot - mpkCCD Fractions\Main Web Page\Web Pages_old\proteomic_fractions_linear_files/Yang_linear_img/78000177.jpg","show blot")</f>
        <v>show blot</v>
      </c>
      <c r="G7077" t="s">
        <v>6848</v>
      </c>
      <c r="I7077" s="6">
        <v>2.6215700670144573</v>
      </c>
      <c r="K7077" s="8"/>
    </row>
    <row r="7078" spans="1:11" ht="15" x14ac:dyDescent="0.25">
      <c r="A7078" s="3" t="str">
        <f>HYPERLINK("proteomic_fractions_linear_files/Yang_linear_img/78000179.jpg", "78000179")</f>
        <v>78000179</v>
      </c>
      <c r="C7078" s="3" t="str">
        <f>HYPERLINK("http://www.ncbi.nlm.nih.gov/protein/78000179","Sorbs1")</f>
        <v>Sorbs1</v>
      </c>
      <c r="E7078" t="str">
        <f>HYPERLINK("J:\Depot - mpkCCD Fractions\Main Web Page\Web Pages_old\proteomic_fractions_linear_files/Yang_linear_img/78000179.jpg","show blot")</f>
        <v>show blot</v>
      </c>
      <c r="G7078" t="s">
        <v>6849</v>
      </c>
      <c r="I7078" s="6">
        <v>2.6215700670144573</v>
      </c>
      <c r="K7078" s="8"/>
    </row>
    <row r="7079" spans="1:11" ht="15" x14ac:dyDescent="0.25">
      <c r="A7079" s="3" t="str">
        <f>HYPERLINK("proteomic_fractions_linear_files/Yang_linear_img/327315368.jpg", "327315368")</f>
        <v>327315368</v>
      </c>
      <c r="C7079" s="3" t="str">
        <f>HYPERLINK("http://www.ncbi.nlm.nih.gov/protein/327315368","Sorbs2")</f>
        <v>Sorbs2</v>
      </c>
      <c r="E7079" t="str">
        <f>HYPERLINK("J:\Depot - mpkCCD Fractions\Main Web Page\Web Pages_old\proteomic_fractions_linear_files/Yang_linear_img/327315368.jpg","show blot")</f>
        <v>show blot</v>
      </c>
      <c r="G7079" t="s">
        <v>6850</v>
      </c>
      <c r="I7079" s="6">
        <v>2.7408597610970027</v>
      </c>
      <c r="K7079" s="8"/>
    </row>
    <row r="7080" spans="1:11" ht="15" x14ac:dyDescent="0.25">
      <c r="A7080" s="3" t="str">
        <f>HYPERLINK("proteomic_fractions_linear_files/Yang_linear_img/327315370.jpg", "327315370")</f>
        <v>327315370</v>
      </c>
      <c r="C7080" s="3" t="str">
        <f>HYPERLINK("http://www.ncbi.nlm.nih.gov/protein/327315370","Sorbs2")</f>
        <v>Sorbs2</v>
      </c>
      <c r="E7080" t="str">
        <f>HYPERLINK("J:\Depot - mpkCCD Fractions\Main Web Page\Web Pages_old\proteomic_fractions_linear_files/Yang_linear_img/327315370.jpg","show blot")</f>
        <v>show blot</v>
      </c>
      <c r="G7080" t="s">
        <v>6851</v>
      </c>
      <c r="I7080" s="6">
        <v>2.7408597610970027</v>
      </c>
      <c r="K7080" s="8"/>
    </row>
    <row r="7081" spans="1:11" ht="15" x14ac:dyDescent="0.25">
      <c r="A7081" s="3" t="str">
        <f>HYPERLINK("proteomic_fractions_linear_files/Yang_linear_img/406719571.jpg", "406719571")</f>
        <v>406719571</v>
      </c>
      <c r="C7081" s="3" t="str">
        <f>HYPERLINK("http://www.ncbi.nlm.nih.gov/protein/406719571","Sorbs3")</f>
        <v>Sorbs3</v>
      </c>
      <c r="E7081" t="str">
        <f>HYPERLINK("J:\Depot - mpkCCD Fractions\Main Web Page\Web Pages_old\proteomic_fractions_linear_files/Yang_linear_img/406719571.jpg","show blot")</f>
        <v>show blot</v>
      </c>
      <c r="G7081" t="s">
        <v>6852</v>
      </c>
      <c r="I7081" s="6">
        <v>5.0167771797017666</v>
      </c>
      <c r="K7081" s="8"/>
    </row>
    <row r="7082" spans="1:11" ht="15" x14ac:dyDescent="0.25">
      <c r="A7082" s="3" t="str">
        <f>HYPERLINK("proteomic_fractions_linear_files/Yang_linear_img/406719575.jpg", "406719575")</f>
        <v>406719575</v>
      </c>
      <c r="C7082" s="3" t="str">
        <f>HYPERLINK("http://www.ncbi.nlm.nih.gov/protein/406719575","Sorbs3")</f>
        <v>Sorbs3</v>
      </c>
      <c r="E7082" t="str">
        <f>HYPERLINK("J:\Depot - mpkCCD Fractions\Main Web Page\Web Pages_old\proteomic_fractions_linear_files/Yang_linear_img/406719575.jpg","show blot")</f>
        <v>show blot</v>
      </c>
      <c r="G7082" t="s">
        <v>6853</v>
      </c>
      <c r="I7082" s="6">
        <v>5.0167771797017666</v>
      </c>
      <c r="K7082" s="8"/>
    </row>
    <row r="7083" spans="1:11" ht="15" x14ac:dyDescent="0.25">
      <c r="A7083" s="3" t="str">
        <f>HYPERLINK("proteomic_fractions_linear_files/Yang_linear_img/6755504.jpg", "6755504")</f>
        <v>6755504</v>
      </c>
      <c r="C7083" s="3" t="str">
        <f>HYPERLINK("http://www.ncbi.nlm.nih.gov/protein/6755504","Sorbs3")</f>
        <v>Sorbs3</v>
      </c>
      <c r="E7083" t="str">
        <f>HYPERLINK("J:\Depot - mpkCCD Fractions\Main Web Page\Web Pages_old\proteomic_fractions_linear_files/Yang_linear_img/6755504.jpg","show blot")</f>
        <v>show blot</v>
      </c>
      <c r="G7083" t="s">
        <v>6854</v>
      </c>
      <c r="I7083" s="6">
        <v>5.0167771797017666</v>
      </c>
      <c r="K7083" s="8"/>
    </row>
    <row r="7084" spans="1:11" ht="15" x14ac:dyDescent="0.25">
      <c r="A7084" s="3" t="str">
        <f>HYPERLINK("proteomic_fractions_linear_files/Yang_linear_img/22128627.jpg", "22128627")</f>
        <v>22128627</v>
      </c>
      <c r="C7084" s="3" t="str">
        <f>HYPERLINK("http://www.ncbi.nlm.nih.gov/protein/22128627","Sord")</f>
        <v>Sord</v>
      </c>
      <c r="E7084" t="str">
        <f>HYPERLINK("J:\Depot - mpkCCD Fractions\Main Web Page\Web Pages_old\proteomic_fractions_linear_files/Yang_linear_img/22128627.jpg","show blot")</f>
        <v>show blot</v>
      </c>
      <c r="G7084" t="s">
        <v>6855</v>
      </c>
      <c r="I7084" s="6">
        <v>5.1360511339113835</v>
      </c>
      <c r="K7084" s="8"/>
    </row>
    <row r="7085" spans="1:11" ht="15" x14ac:dyDescent="0.25">
      <c r="A7085" s="3" t="str">
        <f>HYPERLINK("proteomic_fractions_linear_files/Yang_linear_img/110625645.jpg", "110625645")</f>
        <v>110625645</v>
      </c>
      <c r="C7085" s="3" t="str">
        <f>HYPERLINK("http://www.ncbi.nlm.nih.gov/protein/110625645","Sorl1")</f>
        <v>Sorl1</v>
      </c>
      <c r="E7085" t="str">
        <f>HYPERLINK("J:\Depot - mpkCCD Fractions\Main Web Page\Web Pages_old\proteomic_fractions_linear_files/Yang_linear_img/110625645.jpg","show blot")</f>
        <v>show blot</v>
      </c>
      <c r="G7085" t="s">
        <v>6856</v>
      </c>
      <c r="I7085" s="6">
        <v>4.0211935177947726</v>
      </c>
      <c r="K7085" s="8"/>
    </row>
    <row r="7086" spans="1:11" ht="15" x14ac:dyDescent="0.25">
      <c r="A7086" s="3" t="str">
        <f>HYPERLINK("proteomic_fractions_linear_files/Yang_linear_img/34610211.jpg", "34610211")</f>
        <v>34610211</v>
      </c>
      <c r="C7086" s="3" t="str">
        <f>HYPERLINK("http://www.ncbi.nlm.nih.gov/protein/34610211","Sort1")</f>
        <v>Sort1</v>
      </c>
      <c r="E7086" t="str">
        <f>HYPERLINK("J:\Depot - mpkCCD Fractions\Main Web Page\Web Pages_old\proteomic_fractions_linear_files/Yang_linear_img/34610211.jpg","show blot")</f>
        <v>show blot</v>
      </c>
      <c r="G7086" t="s">
        <v>6857</v>
      </c>
      <c r="I7086" s="6">
        <v>3.7894260891257034</v>
      </c>
      <c r="K7086" s="8"/>
    </row>
    <row r="7087" spans="1:11" ht="15" x14ac:dyDescent="0.25">
      <c r="A7087" s="3" t="str">
        <f>HYPERLINK("proteomic_fractions_linear_files/Yang_linear_img/409264681.jpg", "409264681")</f>
        <v>409264681</v>
      </c>
      <c r="C7087" s="3" t="str">
        <f>HYPERLINK("http://www.ncbi.nlm.nih.gov/protein/409264681","Sort1")</f>
        <v>Sort1</v>
      </c>
      <c r="E7087" t="str">
        <f>HYPERLINK("J:\Depot - mpkCCD Fractions\Main Web Page\Web Pages_old\proteomic_fractions_linear_files/Yang_linear_img/409264681.jpg","show blot")</f>
        <v>show blot</v>
      </c>
      <c r="G7087" t="s">
        <v>6858</v>
      </c>
      <c r="I7087" s="6">
        <v>3.7894260891257034</v>
      </c>
      <c r="K7087" s="8"/>
    </row>
    <row r="7088" spans="1:11" ht="15" x14ac:dyDescent="0.25">
      <c r="A7088" s="3" t="str">
        <f>HYPERLINK("proteomic_fractions_linear_files/Yang_linear_img/117414170.jpg", "117414170")</f>
        <v>117414170</v>
      </c>
      <c r="C7088" s="3" t="str">
        <f>HYPERLINK("http://www.ncbi.nlm.nih.gov/protein/117414170","Sos1")</f>
        <v>Sos1</v>
      </c>
      <c r="E7088" t="str">
        <f>HYPERLINK("J:\Depot - mpkCCD Fractions\Main Web Page\Web Pages_old\proteomic_fractions_linear_files/Yang_linear_img/117414170.jpg","show blot")</f>
        <v>show blot</v>
      </c>
      <c r="G7088" t="s">
        <v>6859</v>
      </c>
      <c r="I7088" s="6">
        <v>3.1371474509027588</v>
      </c>
      <c r="K7088" s="8"/>
    </row>
    <row r="7089" spans="1:11" ht="15" x14ac:dyDescent="0.25">
      <c r="A7089" s="3" t="str">
        <f>HYPERLINK("proteomic_fractions_linear_files/Yang_linear_img/30424924.jpg", "30424924")</f>
        <v>30424924</v>
      </c>
      <c r="C7089" s="3" t="str">
        <f>HYPERLINK("http://www.ncbi.nlm.nih.gov/protein/30424924","Sowahb")</f>
        <v>Sowahb</v>
      </c>
      <c r="E7089" t="str">
        <f>HYPERLINK("J:\Depot - mpkCCD Fractions\Main Web Page\Web Pages_old\proteomic_fractions_linear_files/Yang_linear_img/30424924.jpg","show blot")</f>
        <v>show blot</v>
      </c>
      <c r="G7089" t="s">
        <v>6860</v>
      </c>
      <c r="I7089" s="6">
        <v>2.3270084392120993</v>
      </c>
      <c r="K7089" s="8"/>
    </row>
    <row r="7090" spans="1:11" ht="15" x14ac:dyDescent="0.25">
      <c r="A7090" s="3" t="str">
        <f>HYPERLINK("proteomic_fractions_linear_files/Yang_linear_img/187173282.jpg", "187173282")</f>
        <v>187173282</v>
      </c>
      <c r="C7090" s="3" t="str">
        <f>HYPERLINK("http://www.ncbi.nlm.nih.gov/protein/187173282","Sowahc")</f>
        <v>Sowahc</v>
      </c>
      <c r="E7090" t="str">
        <f>HYPERLINK("J:\Depot - mpkCCD Fractions\Main Web Page\Web Pages_old\proteomic_fractions_linear_files/Yang_linear_img/187173282.jpg","show blot")</f>
        <v>show blot</v>
      </c>
      <c r="G7090" t="s">
        <v>6861</v>
      </c>
      <c r="I7090" s="6">
        <v>2.9008864010804278</v>
      </c>
      <c r="K7090" s="8"/>
    </row>
    <row r="7091" spans="1:11" ht="15" x14ac:dyDescent="0.25">
      <c r="A7091" s="3" t="str">
        <f>HYPERLINK("proteomic_fractions_linear_files/Yang_linear_img/119226255.jpg", "119226255")</f>
        <v>119226255</v>
      </c>
      <c r="C7091" s="3" t="str">
        <f>HYPERLINK("http://www.ncbi.nlm.nih.gov/protein/119226255","Sp1")</f>
        <v>Sp1</v>
      </c>
      <c r="E7091" t="str">
        <f>HYPERLINK("J:\Depot - mpkCCD Fractions\Main Web Page\Web Pages_old\proteomic_fractions_linear_files/Yang_linear_img/119226255.jpg","show blot")</f>
        <v>show blot</v>
      </c>
      <c r="G7091" t="s">
        <v>6862</v>
      </c>
      <c r="I7091" s="6">
        <v>2.9962090583715733</v>
      </c>
      <c r="K7091" s="8"/>
    </row>
    <row r="7092" spans="1:11" ht="15" x14ac:dyDescent="0.25">
      <c r="A7092" s="3" t="str">
        <f>HYPERLINK("proteomic_fractions_linear_files/Yang_linear_img/148747279.jpg", "148747279")</f>
        <v>148747279</v>
      </c>
      <c r="C7092" s="3" t="str">
        <f>HYPERLINK("http://www.ncbi.nlm.nih.gov/protein/148747279","Spag1")</f>
        <v>Spag1</v>
      </c>
      <c r="E7092" t="str">
        <f>HYPERLINK("J:\Depot - mpkCCD Fractions\Main Web Page\Web Pages_old\proteomic_fractions_linear_files/Yang_linear_img/148747279.jpg","show blot")</f>
        <v>show blot</v>
      </c>
      <c r="G7092" t="s">
        <v>6863</v>
      </c>
      <c r="I7092" s="6">
        <v>1.5534263678588256</v>
      </c>
      <c r="K7092" s="8"/>
    </row>
    <row r="7093" spans="1:11" ht="15" x14ac:dyDescent="0.25">
      <c r="A7093" s="3" t="str">
        <f>HYPERLINK("proteomic_fractions_linear_files/Yang_linear_img/162287182.jpg", "162287182")</f>
        <v>162287182</v>
      </c>
      <c r="C7093" s="3" t="str">
        <f>HYPERLINK("http://www.ncbi.nlm.nih.gov/protein/162287182","Spag17")</f>
        <v>Spag17</v>
      </c>
      <c r="E7093" t="str">
        <f>HYPERLINK("J:\Depot - mpkCCD Fractions\Main Web Page\Web Pages_old\proteomic_fractions_linear_files/Yang_linear_img/162287182.jpg","show blot")</f>
        <v>show blot</v>
      </c>
      <c r="G7093" t="s">
        <v>6864</v>
      </c>
      <c r="I7093" s="6">
        <v>2.6268124711710805</v>
      </c>
      <c r="K7093" s="8"/>
    </row>
    <row r="7094" spans="1:11" ht="15" x14ac:dyDescent="0.25">
      <c r="A7094" s="3" t="str">
        <f>HYPERLINK("proteomic_fractions_linear_files/Yang_linear_img/264681516.jpg", "264681516")</f>
        <v>264681516</v>
      </c>
      <c r="C7094" s="3" t="str">
        <f>HYPERLINK("http://www.ncbi.nlm.nih.gov/protein/264681516","Spag7")</f>
        <v>Spag7</v>
      </c>
      <c r="E7094" t="str">
        <f>HYPERLINK("J:\Depot - mpkCCD Fractions\Main Web Page\Web Pages_old\proteomic_fractions_linear_files/Yang_linear_img/264681516.jpg","show blot")</f>
        <v>show blot</v>
      </c>
      <c r="G7094" t="s">
        <v>6865</v>
      </c>
      <c r="I7094" s="6">
        <v>5.2755483566241006</v>
      </c>
      <c r="K7094" s="8"/>
    </row>
    <row r="7095" spans="1:11" ht="15" x14ac:dyDescent="0.25">
      <c r="A7095" s="3" t="str">
        <f>HYPERLINK("proteomic_fractions_linear_files/Yang_linear_img/264681518.jpg", "264681518")</f>
        <v>264681518</v>
      </c>
      <c r="C7095" s="3" t="str">
        <f>HYPERLINK("http://www.ncbi.nlm.nih.gov/protein/264681518","Spag7")</f>
        <v>Spag7</v>
      </c>
      <c r="E7095" t="str">
        <f>HYPERLINK("J:\Depot - mpkCCD Fractions\Main Web Page\Web Pages_old\proteomic_fractions_linear_files/Yang_linear_img/264681518.jpg","show blot")</f>
        <v>show blot</v>
      </c>
      <c r="G7095" t="s">
        <v>6866</v>
      </c>
      <c r="I7095" s="6">
        <v>5.2755483566241006</v>
      </c>
      <c r="K7095" s="8"/>
    </row>
    <row r="7096" spans="1:11" ht="15" x14ac:dyDescent="0.25">
      <c r="A7096" s="3" t="str">
        <f>HYPERLINK("proteomic_fractions_linear_files/Yang_linear_img/312836821.jpg", "312836821")</f>
        <v>312836821</v>
      </c>
      <c r="C7096" s="3" t="str">
        <f>HYPERLINK("http://www.ncbi.nlm.nih.gov/protein/312836821","Spag9")</f>
        <v>Spag9</v>
      </c>
      <c r="E7096" t="str">
        <f>HYPERLINK("J:\Depot - mpkCCD Fractions\Main Web Page\Web Pages_old\proteomic_fractions_linear_files/Yang_linear_img/312836821.jpg","show blot")</f>
        <v>show blot</v>
      </c>
      <c r="G7096" t="s">
        <v>6867</v>
      </c>
      <c r="I7096" s="6">
        <v>4.5882225994325729</v>
      </c>
      <c r="K7096" s="8"/>
    </row>
    <row r="7097" spans="1:11" ht="15" x14ac:dyDescent="0.25">
      <c r="A7097" s="3" t="str">
        <f>HYPERLINK("proteomic_fractions_linear_files/Yang_linear_img/312836823.jpg", "312836823")</f>
        <v>312836823</v>
      </c>
      <c r="C7097" s="3" t="str">
        <f>HYPERLINK("http://www.ncbi.nlm.nih.gov/protein/312836823","Spag9")</f>
        <v>Spag9</v>
      </c>
      <c r="E7097" t="str">
        <f>HYPERLINK("J:\Depot - mpkCCD Fractions\Main Web Page\Web Pages_old\proteomic_fractions_linear_files/Yang_linear_img/312836823.jpg","show blot")</f>
        <v>show blot</v>
      </c>
      <c r="G7097" t="s">
        <v>6868</v>
      </c>
      <c r="I7097" s="6">
        <v>4.5882225994325729</v>
      </c>
      <c r="K7097" s="8"/>
    </row>
    <row r="7098" spans="1:11" ht="15" x14ac:dyDescent="0.25">
      <c r="A7098" s="3" t="str">
        <f>HYPERLINK("proteomic_fractions_linear_files/Yang_linear_img/312836825.jpg", "312836825")</f>
        <v>312836825</v>
      </c>
      <c r="C7098" s="3" t="str">
        <f>HYPERLINK("http://www.ncbi.nlm.nih.gov/protein/312836825","Spag9")</f>
        <v>Spag9</v>
      </c>
      <c r="E7098" t="str">
        <f>HYPERLINK("J:\Depot - mpkCCD Fractions\Main Web Page\Web Pages_old\proteomic_fractions_linear_files/Yang_linear_img/312836825.jpg","show blot")</f>
        <v>show blot</v>
      </c>
      <c r="G7098" t="s">
        <v>6869</v>
      </c>
      <c r="I7098" s="6">
        <v>4.5882225994325729</v>
      </c>
      <c r="K7098" s="8"/>
    </row>
    <row r="7099" spans="1:11" ht="15" x14ac:dyDescent="0.25">
      <c r="A7099" s="3" t="str">
        <f>HYPERLINK("proteomic_fractions_linear_files/Yang_linear_img/70887772.jpg", "70887772")</f>
        <v>70887772</v>
      </c>
      <c r="C7099" s="3" t="str">
        <f>HYPERLINK("http://www.ncbi.nlm.nih.gov/protein/70887772","Spag9")</f>
        <v>Spag9</v>
      </c>
      <c r="E7099" t="str">
        <f>HYPERLINK("J:\Depot - mpkCCD Fractions\Main Web Page\Web Pages_old\proteomic_fractions_linear_files/Yang_linear_img/70887772.jpg","show blot")</f>
        <v>show blot</v>
      </c>
      <c r="G7099" t="s">
        <v>6870</v>
      </c>
      <c r="I7099" s="6">
        <v>4.5882225994325729</v>
      </c>
      <c r="K7099" s="8"/>
    </row>
    <row r="7100" spans="1:11" ht="15" x14ac:dyDescent="0.25">
      <c r="A7100" s="3" t="str">
        <f>HYPERLINK("proteomic_fractions_linear_files/Yang_linear_img/70887776.jpg", "70887776")</f>
        <v>70887776</v>
      </c>
      <c r="C7100" s="3" t="str">
        <f>HYPERLINK("http://www.ncbi.nlm.nih.gov/protein/70887776","Spag9")</f>
        <v>Spag9</v>
      </c>
      <c r="E7100" t="str">
        <f>HYPERLINK("J:\Depot - mpkCCD Fractions\Main Web Page\Web Pages_old\proteomic_fractions_linear_files/Yang_linear_img/70887776.jpg","show blot")</f>
        <v>show blot</v>
      </c>
      <c r="G7100" t="s">
        <v>6871</v>
      </c>
      <c r="I7100" s="6">
        <v>4.5882225994325729</v>
      </c>
      <c r="K7100" s="8"/>
    </row>
    <row r="7101" spans="1:11" ht="15" x14ac:dyDescent="0.25">
      <c r="A7101" s="3" t="str">
        <f>HYPERLINK("proteomic_fractions_linear_files/Yang_linear_img/70887778.jpg", "70887778")</f>
        <v>70887778</v>
      </c>
      <c r="C7101" s="3" t="str">
        <f>HYPERLINK("http://www.ncbi.nlm.nih.gov/protein/70887778","Spag9")</f>
        <v>Spag9</v>
      </c>
      <c r="E7101" t="str">
        <f>HYPERLINK("J:\Depot - mpkCCD Fractions\Main Web Page\Web Pages_old\proteomic_fractions_linear_files/Yang_linear_img/70887778.jpg","show blot")</f>
        <v>show blot</v>
      </c>
      <c r="G7101" t="s">
        <v>6872</v>
      </c>
      <c r="I7101" s="6">
        <v>4.5882225994325729</v>
      </c>
      <c r="K7101" s="8"/>
    </row>
    <row r="7102" spans="1:11" ht="15" x14ac:dyDescent="0.25">
      <c r="A7102" s="3" t="str">
        <f>HYPERLINK("proteomic_fractions_linear_files/Yang_linear_img/70887784.jpg", "70887784")</f>
        <v>70887784</v>
      </c>
      <c r="C7102" s="3" t="str">
        <f>HYPERLINK("http://www.ncbi.nlm.nih.gov/protein/70887784","Spag9")</f>
        <v>Spag9</v>
      </c>
      <c r="E7102" t="str">
        <f>HYPERLINK("J:\Depot - mpkCCD Fractions\Main Web Page\Web Pages_old\proteomic_fractions_linear_files/Yang_linear_img/70887784.jpg","show blot")</f>
        <v>show blot</v>
      </c>
      <c r="G7102" t="s">
        <v>6873</v>
      </c>
      <c r="I7102" s="6">
        <v>4.5882225994325729</v>
      </c>
      <c r="K7102" s="8"/>
    </row>
    <row r="7103" spans="1:11" ht="15" x14ac:dyDescent="0.25">
      <c r="A7103" s="3" t="str">
        <f>HYPERLINK("proteomic_fractions_linear_files/Yang_linear_img/244790106.jpg", "244790106")</f>
        <v>244790106</v>
      </c>
      <c r="C7103" s="3" t="str">
        <f>HYPERLINK("http://www.ncbi.nlm.nih.gov/protein/244790106","Spast")</f>
        <v>Spast</v>
      </c>
      <c r="E7103" t="str">
        <f>HYPERLINK("J:\Depot - mpkCCD Fractions\Main Web Page\Web Pages_old\proteomic_fractions_linear_files/Yang_linear_img/244790106.jpg","show blot")</f>
        <v>show blot</v>
      </c>
      <c r="G7103" t="s">
        <v>6874</v>
      </c>
      <c r="I7103" s="6">
        <v>3.2124895074915676</v>
      </c>
      <c r="K7103" s="8"/>
    </row>
    <row r="7104" spans="1:11" ht="15" x14ac:dyDescent="0.25">
      <c r="A7104" s="3" t="str">
        <f>HYPERLINK("proteomic_fractions_linear_files/Yang_linear_img/244790112.jpg", "244790112")</f>
        <v>244790112</v>
      </c>
      <c r="C7104" s="3" t="str">
        <f>HYPERLINK("http://www.ncbi.nlm.nih.gov/protein/244790112","Spast")</f>
        <v>Spast</v>
      </c>
      <c r="E7104" t="str">
        <f>HYPERLINK("J:\Depot - mpkCCD Fractions\Main Web Page\Web Pages_old\proteomic_fractions_linear_files/Yang_linear_img/244790112.jpg","show blot")</f>
        <v>show blot</v>
      </c>
      <c r="G7104" t="s">
        <v>6875</v>
      </c>
      <c r="I7104" s="6">
        <v>3.2124895074915676</v>
      </c>
      <c r="K7104" s="8"/>
    </row>
    <row r="7105" spans="1:11" ht="15" x14ac:dyDescent="0.25">
      <c r="A7105" s="3" t="str">
        <f>HYPERLINK("proteomic_fractions_linear_files/Yang_linear_img/242247225.jpg", "242247225")</f>
        <v>242247225</v>
      </c>
      <c r="C7105" s="3" t="str">
        <f>HYPERLINK("http://www.ncbi.nlm.nih.gov/protein/242247225","Spata13")</f>
        <v>Spata13</v>
      </c>
      <c r="E7105" t="str">
        <f>HYPERLINK("J:\Depot - mpkCCD Fractions\Main Web Page\Web Pages_old\proteomic_fractions_linear_files/Yang_linear_img/242247225.jpg","show blot")</f>
        <v>show blot</v>
      </c>
      <c r="G7105" t="s">
        <v>6876</v>
      </c>
      <c r="I7105" s="6">
        <v>2.3330916197026923</v>
      </c>
      <c r="K7105" s="8"/>
    </row>
    <row r="7106" spans="1:11" ht="15" x14ac:dyDescent="0.25">
      <c r="A7106" s="3" t="str">
        <f>HYPERLINK("proteomic_fractions_linear_files/Yang_linear_img/254553468.jpg", "254553468")</f>
        <v>254553468</v>
      </c>
      <c r="C7106" s="3" t="str">
        <f>HYPERLINK("http://www.ncbi.nlm.nih.gov/protein/254553468","Spata5")</f>
        <v>Spata5</v>
      </c>
      <c r="E7106" t="str">
        <f>HYPERLINK("J:\Depot - mpkCCD Fractions\Main Web Page\Web Pages_old\proteomic_fractions_linear_files/Yang_linear_img/254553468.jpg","show blot")</f>
        <v>show blot</v>
      </c>
      <c r="G7106" t="s">
        <v>6877</v>
      </c>
      <c r="I7106" s="6">
        <v>4.9233505865890601</v>
      </c>
      <c r="K7106" s="8"/>
    </row>
    <row r="7107" spans="1:11" ht="15" x14ac:dyDescent="0.25">
      <c r="A7107" s="3" t="str">
        <f>HYPERLINK("proteomic_fractions_linear_files/Yang_linear_img/254553470.jpg", "254553470")</f>
        <v>254553470</v>
      </c>
      <c r="C7107" s="3" t="str">
        <f>HYPERLINK("http://www.ncbi.nlm.nih.gov/protein/254553470","Spata5")</f>
        <v>Spata5</v>
      </c>
      <c r="E7107" t="str">
        <f>HYPERLINK("J:\Depot - mpkCCD Fractions\Main Web Page\Web Pages_old\proteomic_fractions_linear_files/Yang_linear_img/254553470.jpg","show blot")</f>
        <v>show blot</v>
      </c>
      <c r="G7107" t="s">
        <v>6878</v>
      </c>
      <c r="I7107" s="6">
        <v>4.9233505865890601</v>
      </c>
      <c r="K7107" s="8"/>
    </row>
    <row r="7108" spans="1:11" ht="15" x14ac:dyDescent="0.25">
      <c r="A7108" s="3" t="str">
        <f>HYPERLINK("proteomic_fractions_linear_files/Yang_linear_img/20982833.jpg", "20982833")</f>
        <v>20982833</v>
      </c>
      <c r="C7108" s="3" t="str">
        <f>HYPERLINK("http://www.ncbi.nlm.nih.gov/protein/20982833","Spats2")</f>
        <v>Spats2</v>
      </c>
      <c r="E7108" t="str">
        <f>HYPERLINK("J:\Depot - mpkCCD Fractions\Main Web Page\Web Pages_old\proteomic_fractions_linear_files/Yang_linear_img/20982833.jpg","show blot")</f>
        <v>show blot</v>
      </c>
      <c r="G7108" t="s">
        <v>6879</v>
      </c>
      <c r="I7108" s="6">
        <v>3.4551262918381225</v>
      </c>
      <c r="K7108" s="8"/>
    </row>
    <row r="7109" spans="1:11" ht="15" x14ac:dyDescent="0.25">
      <c r="A7109" s="3" t="str">
        <f>HYPERLINK("proteomic_fractions_linear_files/Yang_linear_img/21312862.jpg", "21312862")</f>
        <v>21312862</v>
      </c>
      <c r="C7109" s="3" t="str">
        <f>HYPERLINK("http://www.ncbi.nlm.nih.gov/protein/21312862","Spc24")</f>
        <v>Spc24</v>
      </c>
      <c r="E7109" t="str">
        <f>HYPERLINK("J:\Depot - mpkCCD Fractions\Main Web Page\Web Pages_old\proteomic_fractions_linear_files/Yang_linear_img/21312862.jpg","show blot")</f>
        <v>show blot</v>
      </c>
      <c r="G7109" t="s">
        <v>6880</v>
      </c>
      <c r="I7109" s="6">
        <v>3.7237839065461267</v>
      </c>
      <c r="K7109" s="8"/>
    </row>
    <row r="7110" spans="1:11" ht="15" x14ac:dyDescent="0.25">
      <c r="A7110" s="3" t="str">
        <f>HYPERLINK("proteomic_fractions_linear_files/Yang_linear_img/312283739;312283741.jpg", "312283739;312283741")</f>
        <v>312283739;312283741</v>
      </c>
      <c r="C7110" s="3" t="str">
        <f>HYPERLINK("http://www.ncbi.nlm.nih.gov/protein/312283739;312283741","Spc25")</f>
        <v>Spc25</v>
      </c>
      <c r="E7110" t="str">
        <f>HYPERLINK("J:\Depot - mpkCCD Fractions\Main Web Page\Web Pages_old\proteomic_fractions_linear_files/Yang_linear_img/312283739;312283741.jpg","show blot")</f>
        <v>show blot</v>
      </c>
      <c r="G7110" t="s">
        <v>6881</v>
      </c>
      <c r="I7110" s="6">
        <v>3.2358835162925814</v>
      </c>
      <c r="K7110" s="8"/>
    </row>
    <row r="7111" spans="1:11" ht="15" x14ac:dyDescent="0.25">
      <c r="A7111" s="3" t="str">
        <f>HYPERLINK("proteomic_fractions_linear_files/Yang_linear_img/312283741.jpg", "312283741")</f>
        <v>312283741</v>
      </c>
      <c r="C7111" s="3" t="str">
        <f>HYPERLINK("http://www.ncbi.nlm.nih.gov/protein/312283741","Spc25")</f>
        <v>Spc25</v>
      </c>
      <c r="E7111" t="str">
        <f>HYPERLINK("J:\Depot - mpkCCD Fractions\Main Web Page\Web Pages_old\proteomic_fractions_linear_files/Yang_linear_img/312283741.jpg","show blot")</f>
        <v>show blot</v>
      </c>
      <c r="G7111" t="s">
        <v>6881</v>
      </c>
      <c r="I7111" s="6">
        <v>3.2358835162925814</v>
      </c>
      <c r="K7111" s="8"/>
    </row>
    <row r="7112" spans="1:11" ht="15" x14ac:dyDescent="0.25">
      <c r="A7112" s="3" t="str">
        <f>HYPERLINK("proteomic_fractions_linear_files/Yang_linear_img/21313454.jpg", "21313454")</f>
        <v>21313454</v>
      </c>
      <c r="C7112" s="3" t="str">
        <f>HYPERLINK("http://www.ncbi.nlm.nih.gov/protein/21313454","Spc25")</f>
        <v>Spc25</v>
      </c>
      <c r="E7112" t="str">
        <f>HYPERLINK("J:\Depot - mpkCCD Fractions\Main Web Page\Web Pages_old\proteomic_fractions_linear_files/Yang_linear_img/21313454.jpg","show blot")</f>
        <v>show blot</v>
      </c>
      <c r="G7112" t="s">
        <v>6882</v>
      </c>
      <c r="I7112" s="6">
        <v>3.2358835162925814</v>
      </c>
      <c r="K7112" s="8"/>
    </row>
    <row r="7113" spans="1:11" ht="15" x14ac:dyDescent="0.25">
      <c r="A7113" s="3" t="str">
        <f>HYPERLINK("proteomic_fractions_linear_files/Yang_linear_img/193788663.jpg", "193788663")</f>
        <v>193788663</v>
      </c>
      <c r="C7113" s="3" t="str">
        <f>HYPERLINK("http://www.ncbi.nlm.nih.gov/protein/193788663","Spcs1")</f>
        <v>Spcs1</v>
      </c>
      <c r="E7113" t="str">
        <f>HYPERLINK("J:\Depot - mpkCCD Fractions\Main Web Page\Web Pages_old\proteomic_fractions_linear_files/Yang_linear_img/193788663.jpg","show blot")</f>
        <v>show blot</v>
      </c>
      <c r="G7113" t="s">
        <v>6883</v>
      </c>
      <c r="I7113" s="6">
        <v>3.9517940278583699</v>
      </c>
      <c r="K7113" s="8"/>
    </row>
    <row r="7114" spans="1:11" ht="15" x14ac:dyDescent="0.25">
      <c r="A7114" s="3" t="str">
        <f>HYPERLINK("proteomic_fractions_linear_files/Yang_linear_img/13385134.jpg", "13385134")</f>
        <v>13385134</v>
      </c>
      <c r="C7114" s="3" t="str">
        <f>HYPERLINK("http://www.ncbi.nlm.nih.gov/protein/13385134","Spcs2")</f>
        <v>Spcs2</v>
      </c>
      <c r="E7114" t="str">
        <f>HYPERLINK("J:\Depot - mpkCCD Fractions\Main Web Page\Web Pages_old\proteomic_fractions_linear_files/Yang_linear_img/13385134.jpg","show blot")</f>
        <v>show blot</v>
      </c>
      <c r="G7114" t="s">
        <v>6884</v>
      </c>
      <c r="I7114" s="6">
        <v>4.7791051206842736</v>
      </c>
      <c r="K7114" s="8"/>
    </row>
    <row r="7115" spans="1:11" ht="15" x14ac:dyDescent="0.25">
      <c r="A7115" s="3" t="str">
        <f>HYPERLINK("proteomic_fractions_linear_files/Yang_linear_img/125988403.jpg", "125988403")</f>
        <v>125988403</v>
      </c>
      <c r="C7115" s="3" t="str">
        <f>HYPERLINK("http://www.ncbi.nlm.nih.gov/protein/125988403","Spcs3")</f>
        <v>Spcs3</v>
      </c>
      <c r="E7115" t="str">
        <f>HYPERLINK("J:\Depot - mpkCCD Fractions\Main Web Page\Web Pages_old\proteomic_fractions_linear_files/Yang_linear_img/125988403.jpg","show blot")</f>
        <v>show blot</v>
      </c>
      <c r="G7115" t="s">
        <v>577</v>
      </c>
      <c r="I7115" s="6">
        <v>5.5298591107252077</v>
      </c>
      <c r="K7115" s="8"/>
    </row>
    <row r="7116" spans="1:11" ht="15" x14ac:dyDescent="0.25">
      <c r="A7116" s="3" t="str">
        <f>HYPERLINK("proteomic_fractions_linear_files/Yang_linear_img/71979930.jpg", "71979930")</f>
        <v>71979930</v>
      </c>
      <c r="C7116" s="3" t="str">
        <f>HYPERLINK("http://www.ncbi.nlm.nih.gov/protein/71979930","Specc1")</f>
        <v>Specc1</v>
      </c>
      <c r="E7116" t="str">
        <f>HYPERLINK("J:\Depot - mpkCCD Fractions\Main Web Page\Web Pages_old\proteomic_fractions_linear_files/Yang_linear_img/71979930.jpg","show blot")</f>
        <v>show blot</v>
      </c>
      <c r="G7116" t="s">
        <v>6885</v>
      </c>
      <c r="I7116" s="6">
        <v>2.9998485681863856</v>
      </c>
      <c r="K7116" s="8"/>
    </row>
    <row r="7117" spans="1:11" ht="15" x14ac:dyDescent="0.25">
      <c r="A7117" s="3" t="str">
        <f>HYPERLINK("proteomic_fractions_linear_files/Yang_linear_img/125991758.jpg", "125991758")</f>
        <v>125991758</v>
      </c>
      <c r="C7117" s="3" t="str">
        <f>HYPERLINK("http://www.ncbi.nlm.nih.gov/protein/125991758","Spef2")</f>
        <v>Spef2</v>
      </c>
      <c r="E7117" t="str">
        <f>HYPERLINK("J:\Depot - mpkCCD Fractions\Main Web Page\Web Pages_old\proteomic_fractions_linear_files/Yang_linear_img/125991758.jpg","show blot")</f>
        <v>show blot</v>
      </c>
      <c r="G7117" t="s">
        <v>6886</v>
      </c>
      <c r="I7117" s="6">
        <v>3.5498224206280793</v>
      </c>
      <c r="K7117" s="8"/>
    </row>
    <row r="7118" spans="1:11" ht="15" x14ac:dyDescent="0.25">
      <c r="A7118" s="3" t="str">
        <f>HYPERLINK("proteomic_fractions_linear_files/Yang_linear_img/120587001.jpg", "120587001")</f>
        <v>120587001</v>
      </c>
      <c r="C7118" s="3" t="str">
        <f>HYPERLINK("http://www.ncbi.nlm.nih.gov/protein/120587001","Spen")</f>
        <v>Spen</v>
      </c>
      <c r="E7118" t="str">
        <f>HYPERLINK("J:\Depot - mpkCCD Fractions\Main Web Page\Web Pages_old\proteomic_fractions_linear_files/Yang_linear_img/120587001.jpg","show blot")</f>
        <v>show blot</v>
      </c>
      <c r="G7118" t="s">
        <v>6887</v>
      </c>
      <c r="I7118" s="6">
        <v>2.1580868204933594</v>
      </c>
      <c r="K7118" s="8"/>
    </row>
    <row r="7119" spans="1:11" ht="15" x14ac:dyDescent="0.25">
      <c r="A7119" s="3" t="str">
        <f>HYPERLINK("proteomic_fractions_linear_files/Yang_linear_img/222418579;21450269.jpg", "222418579;21450269")</f>
        <v>222418579;21450269</v>
      </c>
      <c r="C7119" s="3" t="str">
        <f>HYPERLINK("http://www.ncbi.nlm.nih.gov/protein/222418579;21450269","Spg20")</f>
        <v>Spg20</v>
      </c>
      <c r="E7119" t="str">
        <f>HYPERLINK("J:\Depot - mpkCCD Fractions\Main Web Page\Web Pages_old\proteomic_fractions_linear_files/Yang_linear_img/222418579;21450269.jpg","show blot")</f>
        <v>show blot</v>
      </c>
      <c r="G7119" t="s">
        <v>6888</v>
      </c>
      <c r="I7119" s="6">
        <v>4.0524398195311635</v>
      </c>
      <c r="K7119" s="8"/>
    </row>
    <row r="7120" spans="1:11" ht="15" x14ac:dyDescent="0.25">
      <c r="A7120" s="3" t="str">
        <f>HYPERLINK("proteomic_fractions_linear_files/Yang_linear_img/222418581.jpg", "222418581")</f>
        <v>222418581</v>
      </c>
      <c r="C7120" s="3" t="str">
        <f>HYPERLINK("http://www.ncbi.nlm.nih.gov/protein/222418581","Spg20")</f>
        <v>Spg20</v>
      </c>
      <c r="E7120" t="str">
        <f>HYPERLINK("J:\Depot - mpkCCD Fractions\Main Web Page\Web Pages_old\proteomic_fractions_linear_files/Yang_linear_img/222418581.jpg","show blot")</f>
        <v>show blot</v>
      </c>
      <c r="G7120" t="s">
        <v>6889</v>
      </c>
      <c r="I7120" s="6">
        <v>4.0524398195311635</v>
      </c>
      <c r="K7120" s="8"/>
    </row>
    <row r="7121" spans="1:11" ht="15" x14ac:dyDescent="0.25">
      <c r="A7121" s="3" t="str">
        <f>HYPERLINK("proteomic_fractions_linear_files/Yang_linear_img/20070390.jpg", "20070390")</f>
        <v>20070390</v>
      </c>
      <c r="C7121" s="3" t="str">
        <f>HYPERLINK("http://www.ncbi.nlm.nih.gov/protein/20070390","Spg21")</f>
        <v>Spg21</v>
      </c>
      <c r="E7121" t="str">
        <f>HYPERLINK("J:\Depot - mpkCCD Fractions\Main Web Page\Web Pages_old\proteomic_fractions_linear_files/Yang_linear_img/20070390.jpg","show blot")</f>
        <v>show blot</v>
      </c>
      <c r="G7121" t="s">
        <v>6890</v>
      </c>
      <c r="I7121" s="6">
        <v>4.6172654916422271</v>
      </c>
      <c r="K7121" s="8"/>
    </row>
    <row r="7122" spans="1:11" ht="15" x14ac:dyDescent="0.25">
      <c r="A7122" s="3" t="str">
        <f>HYPERLINK("proteomic_fractions_linear_files/Yang_linear_img/148539988.jpg", "148539988")</f>
        <v>148539988</v>
      </c>
      <c r="C7122" s="3" t="str">
        <f>HYPERLINK("http://www.ncbi.nlm.nih.gov/protein/148539988","Spg7")</f>
        <v>Spg7</v>
      </c>
      <c r="E7122" t="str">
        <f>HYPERLINK("J:\Depot - mpkCCD Fractions\Main Web Page\Web Pages_old\proteomic_fractions_linear_files/Yang_linear_img/148539988.jpg","show blot")</f>
        <v>show blot</v>
      </c>
      <c r="G7122" t="s">
        <v>6891</v>
      </c>
      <c r="I7122" s="6">
        <v>3.2239126907885463</v>
      </c>
      <c r="K7122" s="8"/>
    </row>
    <row r="7123" spans="1:11" ht="15" x14ac:dyDescent="0.25">
      <c r="A7123" s="3" t="str">
        <f>HYPERLINK("proteomic_fractions_linear_files/Yang_linear_img/22094105.jpg", "22094105")</f>
        <v>22094105</v>
      </c>
      <c r="C7123" s="3" t="str">
        <f>HYPERLINK("http://www.ncbi.nlm.nih.gov/protein/22094105","Sphk1")</f>
        <v>Sphk1</v>
      </c>
      <c r="E7123" t="str">
        <f>HYPERLINK("J:\Depot - mpkCCD Fractions\Main Web Page\Web Pages_old\proteomic_fractions_linear_files/Yang_linear_img/22094105.jpg","show blot")</f>
        <v>show blot</v>
      </c>
      <c r="G7123" t="s">
        <v>6892</v>
      </c>
      <c r="I7123" s="6">
        <v>2.6511124738848748</v>
      </c>
      <c r="K7123" s="8"/>
    </row>
    <row r="7124" spans="1:11" ht="15" x14ac:dyDescent="0.25">
      <c r="A7124" s="3" t="str">
        <f>HYPERLINK("proteomic_fractions_linear_files/Yang_linear_img/27532969;289191342.jpg", "27532969;289191342")</f>
        <v>27532969;289191342</v>
      </c>
      <c r="C7124" s="3" t="str">
        <f>HYPERLINK("http://www.ncbi.nlm.nih.gov/protein/27532969;289191342","Sphk1")</f>
        <v>Sphk1</v>
      </c>
      <c r="E7124" t="str">
        <f>HYPERLINK("J:\Depot - mpkCCD Fractions\Main Web Page\Web Pages_old\proteomic_fractions_linear_files/Yang_linear_img/27532969;289191342.jpg","show blot")</f>
        <v>show blot</v>
      </c>
      <c r="G7124" t="s">
        <v>6893</v>
      </c>
      <c r="I7124" s="6">
        <v>2.6511124738848748</v>
      </c>
      <c r="K7124" s="8"/>
    </row>
    <row r="7125" spans="1:11" ht="15" x14ac:dyDescent="0.25">
      <c r="A7125" s="3" t="str">
        <f>HYPERLINK("proteomic_fractions_linear_files/Yang_linear_img/289191346.jpg", "289191346")</f>
        <v>289191346</v>
      </c>
      <c r="C7125" s="3" t="str">
        <f>HYPERLINK("http://www.ncbi.nlm.nih.gov/protein/289191346","Sphk1")</f>
        <v>Sphk1</v>
      </c>
      <c r="E7125" t="str">
        <f>HYPERLINK("J:\Depot - mpkCCD Fractions\Main Web Page\Web Pages_old\proteomic_fractions_linear_files/Yang_linear_img/289191346.jpg","show blot")</f>
        <v>show blot</v>
      </c>
      <c r="G7125" t="s">
        <v>6894</v>
      </c>
      <c r="I7125" s="6">
        <v>2.6511124738848748</v>
      </c>
      <c r="K7125" s="8"/>
    </row>
    <row r="7126" spans="1:11" ht="15" x14ac:dyDescent="0.25">
      <c r="A7126" s="3" t="str">
        <f>HYPERLINK("proteomic_fractions_linear_files/Yang_linear_img/289191399.jpg", "289191399")</f>
        <v>289191399</v>
      </c>
      <c r="C7126" s="3" t="str">
        <f>HYPERLINK("http://www.ncbi.nlm.nih.gov/protein/289191399","Sphk2")</f>
        <v>Sphk2</v>
      </c>
      <c r="E7126" t="str">
        <f>HYPERLINK("J:\Depot - mpkCCD Fractions\Main Web Page\Web Pages_old\proteomic_fractions_linear_files/Yang_linear_img/289191399.jpg","show blot")</f>
        <v>show blot</v>
      </c>
      <c r="G7126" t="s">
        <v>6895</v>
      </c>
      <c r="I7126" s="6">
        <v>4.2466160210962913</v>
      </c>
      <c r="K7126" s="8"/>
    </row>
    <row r="7127" spans="1:11" ht="15" x14ac:dyDescent="0.25">
      <c r="A7127" s="3" t="str">
        <f>HYPERLINK("proteomic_fractions_linear_files/Yang_linear_img/257196267.jpg", "257196267")</f>
        <v>257196267</v>
      </c>
      <c r="C7127" s="3" t="str">
        <f>HYPERLINK("http://www.ncbi.nlm.nih.gov/protein/257196267","Spice1")</f>
        <v>Spice1</v>
      </c>
      <c r="E7127" t="str">
        <f>HYPERLINK("J:\Depot - mpkCCD Fractions\Main Web Page\Web Pages_old\proteomic_fractions_linear_files/Yang_linear_img/257196267.jpg","show blot")</f>
        <v>show blot</v>
      </c>
      <c r="G7127" t="s">
        <v>6896</v>
      </c>
      <c r="I7127" s="6">
        <v>1.9434532938964943</v>
      </c>
      <c r="K7127" s="8"/>
    </row>
    <row r="7128" spans="1:11" ht="15" x14ac:dyDescent="0.25">
      <c r="A7128" s="3" t="str">
        <f>HYPERLINK("proteomic_fractions_linear_files/Yang_linear_img/34328234.jpg", "34328234")</f>
        <v>34328234</v>
      </c>
      <c r="C7128" s="3" t="str">
        <f>HYPERLINK("http://www.ncbi.nlm.nih.gov/protein/34328234","Spint1")</f>
        <v>Spint1</v>
      </c>
      <c r="E7128" t="str">
        <f>HYPERLINK("J:\Depot - mpkCCD Fractions\Main Web Page\Web Pages_old\proteomic_fractions_linear_files/Yang_linear_img/34328234.jpg","show blot")</f>
        <v>show blot</v>
      </c>
      <c r="G7128" t="s">
        <v>6897</v>
      </c>
      <c r="I7128" s="6">
        <v>3.4548467882872163</v>
      </c>
      <c r="K7128" s="8"/>
    </row>
    <row r="7129" spans="1:11" ht="15" x14ac:dyDescent="0.25">
      <c r="A7129" s="3" t="str">
        <f>HYPERLINK("proteomic_fractions_linear_files/Yang_linear_img/127139427.jpg", "127139427")</f>
        <v>127139427</v>
      </c>
      <c r="C7129" s="3" t="str">
        <f>HYPERLINK("http://www.ncbi.nlm.nih.gov/protein/127139427","Spint2")</f>
        <v>Spint2</v>
      </c>
      <c r="E7129" t="str">
        <f>HYPERLINK("J:\Depot - mpkCCD Fractions\Main Web Page\Web Pages_old\proteomic_fractions_linear_files/Yang_linear_img/127139427.jpg","show blot")</f>
        <v>show blot</v>
      </c>
      <c r="G7129" t="s">
        <v>6898</v>
      </c>
      <c r="I7129" s="6">
        <v>3.7220526266794316</v>
      </c>
      <c r="K7129" s="8"/>
    </row>
    <row r="7130" spans="1:11" ht="15" x14ac:dyDescent="0.25">
      <c r="A7130" s="3" t="str">
        <f>HYPERLINK("proteomic_fractions_linear_files/Yang_linear_img/33563278.jpg", "33563278")</f>
        <v>33563278</v>
      </c>
      <c r="C7130" s="3" t="str">
        <f>HYPERLINK("http://www.ncbi.nlm.nih.gov/protein/33563278","Spint2")</f>
        <v>Spint2</v>
      </c>
      <c r="E7130" t="str">
        <f>HYPERLINK("J:\Depot - mpkCCD Fractions\Main Web Page\Web Pages_old\proteomic_fractions_linear_files/Yang_linear_img/33563278.jpg","show blot")</f>
        <v>show blot</v>
      </c>
      <c r="G7130" t="s">
        <v>6899</v>
      </c>
      <c r="I7130" s="6">
        <v>3.7220526266794316</v>
      </c>
      <c r="K7130" s="8"/>
    </row>
    <row r="7131" spans="1:11" ht="15" x14ac:dyDescent="0.25">
      <c r="A7131" s="3" t="str">
        <f>HYPERLINK("proteomic_fractions_linear_files/Yang_linear_img/258645125.jpg", "258645125")</f>
        <v>258645125</v>
      </c>
      <c r="C7131" s="3" t="str">
        <f>HYPERLINK("http://www.ncbi.nlm.nih.gov/protein/258645125","Sppl2a")</f>
        <v>Sppl2a</v>
      </c>
      <c r="E7131" t="str">
        <f>HYPERLINK("J:\Depot - mpkCCD Fractions\Main Web Page\Web Pages_old\proteomic_fractions_linear_files/Yang_linear_img/258645125.jpg","show blot")</f>
        <v>show blot</v>
      </c>
      <c r="G7131" t="s">
        <v>6900</v>
      </c>
      <c r="I7131" s="6">
        <v>3.5034331619519055</v>
      </c>
      <c r="K7131" s="8"/>
    </row>
    <row r="7132" spans="1:11" ht="15" x14ac:dyDescent="0.25">
      <c r="A7132" s="3" t="str">
        <f>HYPERLINK("proteomic_fractions_linear_files/Yang_linear_img/160333789.jpg", "160333789")</f>
        <v>160333789</v>
      </c>
      <c r="C7132" s="3" t="str">
        <f>HYPERLINK("http://www.ncbi.nlm.nih.gov/protein/160333789","Spr")</f>
        <v>Spr</v>
      </c>
      <c r="E7132" t="str">
        <f>HYPERLINK("J:\Depot - mpkCCD Fractions\Main Web Page\Web Pages_old\proteomic_fractions_linear_files/Yang_linear_img/160333789.jpg","show blot")</f>
        <v>show blot</v>
      </c>
      <c r="G7132" t="s">
        <v>6901</v>
      </c>
      <c r="I7132" s="6">
        <v>5.9099238246073371</v>
      </c>
      <c r="K7132" s="8"/>
    </row>
    <row r="7133" spans="1:11" ht="15" x14ac:dyDescent="0.25">
      <c r="A7133" s="3" t="str">
        <f>HYPERLINK("proteomic_fractions_linear_files/Yang_linear_img/6678115.jpg", "6678115")</f>
        <v>6678115</v>
      </c>
      <c r="C7133" s="3" t="str">
        <f>HYPERLINK("http://www.ncbi.nlm.nih.gov/protein/6678115","Sprr1a")</f>
        <v>Sprr1a</v>
      </c>
      <c r="E7133" t="str">
        <f>HYPERLINK("J:\Depot - mpkCCD Fractions\Main Web Page\Web Pages_old\proteomic_fractions_linear_files/Yang_linear_img/6678115.jpg","show blot")</f>
        <v>show blot</v>
      </c>
      <c r="G7133" t="s">
        <v>6902</v>
      </c>
      <c r="I7133" s="6">
        <v>4.826111053815362</v>
      </c>
      <c r="K7133" s="8"/>
    </row>
    <row r="7134" spans="1:11" ht="15" x14ac:dyDescent="0.25">
      <c r="A7134" s="3" t="str">
        <f>HYPERLINK("proteomic_fractions_linear_files/Yang_linear_img/58037095.jpg", "58037095")</f>
        <v>58037095</v>
      </c>
      <c r="C7134" s="3" t="str">
        <f>HYPERLINK("http://www.ncbi.nlm.nih.gov/protein/58037095","Spryd4")</f>
        <v>Spryd4</v>
      </c>
      <c r="E7134" t="str">
        <f>HYPERLINK("J:\Depot - mpkCCD Fractions\Main Web Page\Web Pages_old\proteomic_fractions_linear_files/Yang_linear_img/58037095.jpg","show blot")</f>
        <v>show blot</v>
      </c>
      <c r="G7134" t="s">
        <v>6903</v>
      </c>
      <c r="I7134" s="6">
        <v>3.9735592844219885</v>
      </c>
      <c r="K7134" s="8"/>
    </row>
    <row r="7135" spans="1:11" ht="15" x14ac:dyDescent="0.25">
      <c r="A7135" s="3" t="str">
        <f>HYPERLINK("proteomic_fractions_linear_files/Yang_linear_img/27228993.jpg", "27228993")</f>
        <v>27228993</v>
      </c>
      <c r="C7135" s="3" t="str">
        <f>HYPERLINK("http://www.ncbi.nlm.nih.gov/protein/27228993","Spryd7")</f>
        <v>Spryd7</v>
      </c>
      <c r="E7135" t="str">
        <f>HYPERLINK("J:\Depot - mpkCCD Fractions\Main Web Page\Web Pages_old\proteomic_fractions_linear_files/Yang_linear_img/27228993.jpg","show blot")</f>
        <v>show blot</v>
      </c>
      <c r="G7135" t="s">
        <v>6904</v>
      </c>
      <c r="I7135" s="6">
        <v>4.5341035263353726</v>
      </c>
      <c r="K7135" s="8"/>
    </row>
    <row r="7136" spans="1:11" ht="15" x14ac:dyDescent="0.25">
      <c r="A7136" s="3" t="str">
        <f>HYPERLINK("proteomic_fractions_linear_files/Yang_linear_img/19526481.jpg", "19526481")</f>
        <v>19526481</v>
      </c>
      <c r="C7136" s="3" t="str">
        <f>HYPERLINK("http://www.ncbi.nlm.nih.gov/protein/19526481","Spta1")</f>
        <v>Spta1</v>
      </c>
      <c r="E7136" t="str">
        <f>HYPERLINK("J:\Depot - mpkCCD Fractions\Main Web Page\Web Pages_old\proteomic_fractions_linear_files/Yang_linear_img/19526481.jpg","show blot")</f>
        <v>show blot</v>
      </c>
      <c r="G7136" t="s">
        <v>6905</v>
      </c>
      <c r="I7136" s="6">
        <v>3.9754333049197461</v>
      </c>
      <c r="K7136" s="8"/>
    </row>
    <row r="7137" spans="1:11" ht="15" x14ac:dyDescent="0.25">
      <c r="A7137" s="3" t="str">
        <f>HYPERLINK("proteomic_fractions_linear_files/Yang_linear_img/115496850.jpg", "115496850")</f>
        <v>115496850</v>
      </c>
      <c r="C7137" s="3" t="str">
        <f>HYPERLINK("http://www.ncbi.nlm.nih.gov/protein/115496850","Sptan1")</f>
        <v>Sptan1</v>
      </c>
      <c r="E7137" t="str">
        <f>HYPERLINK("J:\Depot - mpkCCD Fractions\Main Web Page\Web Pages_old\proteomic_fractions_linear_files/Yang_linear_img/115496850.jpg","show blot")</f>
        <v>show blot</v>
      </c>
      <c r="G7137" t="s">
        <v>6906</v>
      </c>
      <c r="I7137" s="6">
        <v>5.9660855027785216</v>
      </c>
      <c r="K7137" s="8"/>
    </row>
    <row r="7138" spans="1:11" ht="15" x14ac:dyDescent="0.25">
      <c r="A7138" s="3" t="str">
        <f>HYPERLINK("proteomic_fractions_linear_files/Yang_linear_img/295054266.jpg", "295054266")</f>
        <v>295054266</v>
      </c>
      <c r="C7138" s="3" t="str">
        <f>HYPERLINK("http://www.ncbi.nlm.nih.gov/protein/295054266","Sptan1")</f>
        <v>Sptan1</v>
      </c>
      <c r="E7138" t="str">
        <f>HYPERLINK("J:\Depot - mpkCCD Fractions\Main Web Page\Web Pages_old\proteomic_fractions_linear_files/Yang_linear_img/295054266.jpg","show blot")</f>
        <v>show blot</v>
      </c>
      <c r="G7138" t="s">
        <v>6907</v>
      </c>
      <c r="I7138" s="6">
        <v>5.9660855027785216</v>
      </c>
      <c r="K7138" s="8"/>
    </row>
    <row r="7139" spans="1:11" ht="15" x14ac:dyDescent="0.25">
      <c r="A7139" s="3" t="str">
        <f>HYPERLINK("proteomic_fractions_linear_files/Yang_linear_img/295054271.jpg", "295054271")</f>
        <v>295054271</v>
      </c>
      <c r="C7139" s="3" t="str">
        <f>HYPERLINK("http://www.ncbi.nlm.nih.gov/protein/295054271","Sptan1")</f>
        <v>Sptan1</v>
      </c>
      <c r="E7139" t="str">
        <f>HYPERLINK("J:\Depot - mpkCCD Fractions\Main Web Page\Web Pages_old\proteomic_fractions_linear_files/Yang_linear_img/295054271.jpg","show blot")</f>
        <v>show blot</v>
      </c>
      <c r="G7139" t="s">
        <v>6908</v>
      </c>
      <c r="I7139" s="6">
        <v>5.9660855027785216</v>
      </c>
      <c r="K7139" s="8"/>
    </row>
    <row r="7140" spans="1:11" ht="15" x14ac:dyDescent="0.25">
      <c r="A7140" s="3" t="str">
        <f>HYPERLINK("proteomic_fractions_linear_files/Yang_linear_img/84490394.jpg", "84490394")</f>
        <v>84490394</v>
      </c>
      <c r="C7140" s="3" t="str">
        <f>HYPERLINK("http://www.ncbi.nlm.nih.gov/protein/84490394","Sptb")</f>
        <v>Sptb</v>
      </c>
      <c r="E7140" t="str">
        <f>HYPERLINK("J:\Depot - mpkCCD Fractions\Main Web Page\Web Pages_old\proteomic_fractions_linear_files/Yang_linear_img/84490394.jpg","show blot")</f>
        <v>show blot</v>
      </c>
      <c r="G7140" t="s">
        <v>6909</v>
      </c>
      <c r="I7140" s="6">
        <v>4.0213993564455883</v>
      </c>
      <c r="K7140" s="8"/>
    </row>
    <row r="7141" spans="1:11" ht="15" x14ac:dyDescent="0.25">
      <c r="A7141" s="3" t="str">
        <f>HYPERLINK("proteomic_fractions_linear_files/Yang_linear_img/117938332.jpg", "117938332")</f>
        <v>117938332</v>
      </c>
      <c r="C7141" s="3" t="str">
        <f>HYPERLINK("http://www.ncbi.nlm.nih.gov/protein/117938332","Sptbn1")</f>
        <v>Sptbn1</v>
      </c>
      <c r="E7141" t="str">
        <f>HYPERLINK("J:\Depot - mpkCCD Fractions\Main Web Page\Web Pages_old\proteomic_fractions_linear_files/Yang_linear_img/117938332.jpg","show blot")</f>
        <v>show blot</v>
      </c>
      <c r="G7141" t="s">
        <v>6910</v>
      </c>
      <c r="I7141" s="6">
        <v>5.5398327222080184</v>
      </c>
      <c r="K7141" s="8"/>
    </row>
    <row r="7142" spans="1:11" ht="15" x14ac:dyDescent="0.25">
      <c r="A7142" s="3" t="str">
        <f>HYPERLINK("proteomic_fractions_linear_files/Yang_linear_img/117938334.jpg", "117938334")</f>
        <v>117938334</v>
      </c>
      <c r="C7142" s="3" t="str">
        <f>HYPERLINK("http://www.ncbi.nlm.nih.gov/protein/117938334","Sptbn1")</f>
        <v>Sptbn1</v>
      </c>
      <c r="E7142" t="str">
        <f>HYPERLINK("J:\Depot - mpkCCD Fractions\Main Web Page\Web Pages_old\proteomic_fractions_linear_files/Yang_linear_img/117938334.jpg","show blot")</f>
        <v>show blot</v>
      </c>
      <c r="G7142" t="s">
        <v>6911</v>
      </c>
      <c r="I7142" s="6">
        <v>5.5398327222080184</v>
      </c>
      <c r="K7142" s="8"/>
    </row>
    <row r="7143" spans="1:11" ht="15" x14ac:dyDescent="0.25">
      <c r="A7143" s="3" t="str">
        <f>HYPERLINK("proteomic_fractions_linear_files/Yang_linear_img/55926127.jpg", "55926127")</f>
        <v>55926127</v>
      </c>
      <c r="C7143" s="3" t="str">
        <f>HYPERLINK("http://www.ncbi.nlm.nih.gov/protein/55926127","Sptbn2")</f>
        <v>Sptbn2</v>
      </c>
      <c r="E7143" t="str">
        <f>HYPERLINK("J:\Depot - mpkCCD Fractions\Main Web Page\Web Pages_old\proteomic_fractions_linear_files/Yang_linear_img/55926127.jpg","show blot")</f>
        <v>show blot</v>
      </c>
      <c r="G7143" t="s">
        <v>6912</v>
      </c>
      <c r="I7143" s="6">
        <v>5.6748221908140302</v>
      </c>
      <c r="K7143" s="8"/>
    </row>
    <row r="7144" spans="1:11" ht="15" x14ac:dyDescent="0.25">
      <c r="A7144" s="3" t="str">
        <f>HYPERLINK("proteomic_fractions_linear_files/Yang_linear_img/116174793.jpg", "116174793")</f>
        <v>116174793</v>
      </c>
      <c r="C7144" s="3" t="str">
        <f>HYPERLINK("http://www.ncbi.nlm.nih.gov/protein/116174793","Sptbn4")</f>
        <v>Sptbn4</v>
      </c>
      <c r="E7144" t="str">
        <f>HYPERLINK("J:\Depot - mpkCCD Fractions\Main Web Page\Web Pages_old\proteomic_fractions_linear_files/Yang_linear_img/116174793.jpg","show blot")</f>
        <v>show blot</v>
      </c>
      <c r="G7144" t="s">
        <v>6913</v>
      </c>
      <c r="I7144" s="6">
        <v>4.3256172288756449</v>
      </c>
      <c r="K7144" s="8"/>
    </row>
    <row r="7145" spans="1:11" ht="15" x14ac:dyDescent="0.25">
      <c r="A7145" s="3" t="str">
        <f>HYPERLINK("proteomic_fractions_linear_files/Yang_linear_img/29244577.jpg", "29244577")</f>
        <v>29244577</v>
      </c>
      <c r="C7145" s="3" t="str">
        <f>HYPERLINK("http://www.ncbi.nlm.nih.gov/protein/29244577","Sptlc1")</f>
        <v>Sptlc1</v>
      </c>
      <c r="E7145" t="str">
        <f>HYPERLINK("J:\Depot - mpkCCD Fractions\Main Web Page\Web Pages_old\proteomic_fractions_linear_files/Yang_linear_img/29244577.jpg","show blot")</f>
        <v>show blot</v>
      </c>
      <c r="G7145" t="s">
        <v>6914</v>
      </c>
      <c r="I7145" s="6">
        <v>4.5890181018861211</v>
      </c>
      <c r="K7145" s="8"/>
    </row>
    <row r="7146" spans="1:11" ht="15" x14ac:dyDescent="0.25">
      <c r="A7146" s="3" t="str">
        <f>HYPERLINK("proteomic_fractions_linear_files/Yang_linear_img/6755656.jpg", "6755656")</f>
        <v>6755656</v>
      </c>
      <c r="C7146" s="3" t="str">
        <f>HYPERLINK("http://www.ncbi.nlm.nih.gov/protein/6755656","Sptlc2")</f>
        <v>Sptlc2</v>
      </c>
      <c r="E7146" t="str">
        <f>HYPERLINK("J:\Depot - mpkCCD Fractions\Main Web Page\Web Pages_old\proteomic_fractions_linear_files/Yang_linear_img/6755656.jpg","show blot")</f>
        <v>show blot</v>
      </c>
      <c r="G7146" t="s">
        <v>6915</v>
      </c>
      <c r="I7146" s="6">
        <v>4.3264380443765962</v>
      </c>
      <c r="K7146" s="8"/>
    </row>
    <row r="7147" spans="1:11" ht="15" x14ac:dyDescent="0.25">
      <c r="A7147" s="3" t="str">
        <f>HYPERLINK("proteomic_fractions_linear_files/Yang_linear_img/6678127.jpg", "6678127")</f>
        <v>6678127</v>
      </c>
      <c r="C7147" s="3" t="str">
        <f>HYPERLINK("http://www.ncbi.nlm.nih.gov/protein/6678127","Sqle")</f>
        <v>Sqle</v>
      </c>
      <c r="E7147" t="str">
        <f>HYPERLINK("J:\Depot - mpkCCD Fractions\Main Web Page\Web Pages_old\proteomic_fractions_linear_files/Yang_linear_img/6678127.jpg","show blot")</f>
        <v>show blot</v>
      </c>
      <c r="G7147" t="s">
        <v>6916</v>
      </c>
      <c r="I7147" s="6">
        <v>2.4188862519900369</v>
      </c>
      <c r="K7147" s="8"/>
    </row>
    <row r="7148" spans="1:11" ht="15" x14ac:dyDescent="0.25">
      <c r="A7148" s="3" t="str">
        <f>HYPERLINK("proteomic_fractions_linear_files/Yang_linear_img/244790049.jpg", "244790049")</f>
        <v>244790049</v>
      </c>
      <c r="C7148" s="3" t="str">
        <f>HYPERLINK("http://www.ncbi.nlm.nih.gov/protein/244790049","Sqrdl")</f>
        <v>Sqrdl</v>
      </c>
      <c r="E7148" t="str">
        <f>HYPERLINK("J:\Depot - mpkCCD Fractions\Main Web Page\Web Pages_old\proteomic_fractions_linear_files/Yang_linear_img/244790049.jpg","show blot")</f>
        <v>show blot</v>
      </c>
      <c r="G7148" t="s">
        <v>6917</v>
      </c>
      <c r="I7148" s="6">
        <v>5.6699425969434056</v>
      </c>
      <c r="K7148" s="8"/>
    </row>
    <row r="7149" spans="1:11" ht="15" x14ac:dyDescent="0.25">
      <c r="A7149" s="3" t="str">
        <f>HYPERLINK("proteomic_fractions_linear_files/Yang_linear_img/244790045;244790049.jpg", "244790045;244790049")</f>
        <v>244790045;244790049</v>
      </c>
      <c r="C7149" s="3" t="str">
        <f>HYPERLINK("http://www.ncbi.nlm.nih.gov/protein/244790045;244790049","Sqrdl")</f>
        <v>Sqrdl</v>
      </c>
      <c r="E7149" t="str">
        <f>HYPERLINK("J:\Depot - mpkCCD Fractions\Main Web Page\Web Pages_old\proteomic_fractions_linear_files/Yang_linear_img/244790045;244790049.jpg","show blot")</f>
        <v>show blot</v>
      </c>
      <c r="G7149" t="s">
        <v>6917</v>
      </c>
      <c r="I7149" s="6">
        <v>5.6699425969434056</v>
      </c>
      <c r="K7149" s="8"/>
    </row>
    <row r="7150" spans="1:11" ht="15" x14ac:dyDescent="0.25">
      <c r="A7150" s="3" t="str">
        <f>HYPERLINK("proteomic_fractions_linear_files/Yang_linear_img/244790049;244790045.jpg", "244790049;244790045")</f>
        <v>244790049;244790045</v>
      </c>
      <c r="C7150" s="3" t="str">
        <f>HYPERLINK("http://www.ncbi.nlm.nih.gov/protein/244790049;244790045","Sqrdl")</f>
        <v>Sqrdl</v>
      </c>
      <c r="E7150" t="str">
        <f>HYPERLINK("J:\Depot - mpkCCD Fractions\Main Web Page\Web Pages_old\proteomic_fractions_linear_files/Yang_linear_img/244790049;244790045.jpg","show blot")</f>
        <v>show blot</v>
      </c>
      <c r="G7150" t="s">
        <v>6917</v>
      </c>
      <c r="I7150" s="6">
        <v>5.6699425969434056</v>
      </c>
      <c r="K7150" s="8"/>
    </row>
    <row r="7151" spans="1:11" ht="15" x14ac:dyDescent="0.25">
      <c r="A7151" s="3" t="str">
        <f>HYPERLINK("proteomic_fractions_linear_files/Yang_linear_img/6754954.jpg", "6754954")</f>
        <v>6754954</v>
      </c>
      <c r="C7151" s="3" t="str">
        <f>HYPERLINK("http://www.ncbi.nlm.nih.gov/protein/6754954","Sqstm1")</f>
        <v>Sqstm1</v>
      </c>
      <c r="E7151" t="str">
        <f>HYPERLINK("J:\Depot - mpkCCD Fractions\Main Web Page\Web Pages_old\proteomic_fractions_linear_files/Yang_linear_img/6754954.jpg","show blot")</f>
        <v>show blot</v>
      </c>
      <c r="G7151" t="s">
        <v>6918</v>
      </c>
      <c r="I7151" s="6">
        <v>4.0767421908536123</v>
      </c>
      <c r="K7151" s="8"/>
    </row>
    <row r="7152" spans="1:11" ht="15" x14ac:dyDescent="0.25">
      <c r="A7152" s="3" t="str">
        <f>HYPERLINK("proteomic_fractions_linear_files/Yang_linear_img/257096048.jpg", "257096048")</f>
        <v>257096048</v>
      </c>
      <c r="C7152" s="3" t="str">
        <f>HYPERLINK("http://www.ncbi.nlm.nih.gov/protein/257096048","Sra1")</f>
        <v>Sra1</v>
      </c>
      <c r="E7152" t="str">
        <f>HYPERLINK("J:\Depot - mpkCCD Fractions\Main Web Page\Web Pages_old\proteomic_fractions_linear_files/Yang_linear_img/257096048.jpg","show blot")</f>
        <v>show blot</v>
      </c>
      <c r="G7152" t="s">
        <v>6919</v>
      </c>
      <c r="I7152" s="6">
        <v>4.4489054301546425</v>
      </c>
      <c r="K7152" s="8"/>
    </row>
    <row r="7153" spans="1:11" ht="15" x14ac:dyDescent="0.25">
      <c r="A7153" s="3" t="str">
        <f>HYPERLINK("proteomic_fractions_linear_files/Yang_linear_img/257096050.jpg", "257096050")</f>
        <v>257096050</v>
      </c>
      <c r="C7153" s="3" t="str">
        <f>HYPERLINK("http://www.ncbi.nlm.nih.gov/protein/257096050","Sra1")</f>
        <v>Sra1</v>
      </c>
      <c r="E7153" t="str">
        <f>HYPERLINK("J:\Depot - mpkCCD Fractions\Main Web Page\Web Pages_old\proteomic_fractions_linear_files/Yang_linear_img/257096050.jpg","show blot")</f>
        <v>show blot</v>
      </c>
      <c r="G7153" t="s">
        <v>6920</v>
      </c>
      <c r="I7153" s="6">
        <v>4.4489054301546425</v>
      </c>
      <c r="K7153" s="8"/>
    </row>
    <row r="7154" spans="1:11" ht="15" x14ac:dyDescent="0.25">
      <c r="A7154" s="3" t="str">
        <f>HYPERLINK("proteomic_fractions_linear_files/Yang_linear_img/226443099.jpg", "226443099")</f>
        <v>226443099</v>
      </c>
      <c r="C7154" s="3" t="str">
        <f>HYPERLINK("http://www.ncbi.nlm.nih.gov/protein/226443099","Srbd1")</f>
        <v>Srbd1</v>
      </c>
      <c r="E7154" t="str">
        <f>HYPERLINK("J:\Depot - mpkCCD Fractions\Main Web Page\Web Pages_old\proteomic_fractions_linear_files/Yang_linear_img/226443099.jpg","show blot")</f>
        <v>show blot</v>
      </c>
      <c r="G7154" t="s">
        <v>6921</v>
      </c>
      <c r="I7154" s="6">
        <v>2.6676227318138923</v>
      </c>
      <c r="K7154" s="8"/>
    </row>
    <row r="7155" spans="1:11" ht="15" x14ac:dyDescent="0.25">
      <c r="A7155" s="3" t="str">
        <f>HYPERLINK("proteomic_fractions_linear_files/Yang_linear_img/70794809.jpg", "70794809")</f>
        <v>70794809</v>
      </c>
      <c r="C7155" s="3" t="str">
        <f>HYPERLINK("http://www.ncbi.nlm.nih.gov/protein/70794809","Src")</f>
        <v>Src</v>
      </c>
      <c r="E7155" t="str">
        <f>HYPERLINK("J:\Depot - mpkCCD Fractions\Main Web Page\Web Pages_old\proteomic_fractions_linear_files/Yang_linear_img/70794809.jpg","show blot")</f>
        <v>show blot</v>
      </c>
      <c r="G7155" t="s">
        <v>6922</v>
      </c>
      <c r="I7155" s="6">
        <v>5.4312150069329421</v>
      </c>
      <c r="K7155" s="8"/>
    </row>
    <row r="7156" spans="1:11" ht="15" x14ac:dyDescent="0.25">
      <c r="A7156" s="3" t="str">
        <f>HYPERLINK("proteomic_fractions_linear_files/Yang_linear_img/70794811.jpg", "70794811")</f>
        <v>70794811</v>
      </c>
      <c r="C7156" s="3" t="str">
        <f>HYPERLINK("http://www.ncbi.nlm.nih.gov/protein/70794811","Src")</f>
        <v>Src</v>
      </c>
      <c r="E7156" t="str">
        <f>HYPERLINK("J:\Depot - mpkCCD Fractions\Main Web Page\Web Pages_old\proteomic_fractions_linear_files/Yang_linear_img/70794811.jpg","show blot")</f>
        <v>show blot</v>
      </c>
      <c r="G7156" t="s">
        <v>6923</v>
      </c>
      <c r="I7156" s="6">
        <v>5.4312150069329421</v>
      </c>
      <c r="K7156" s="8"/>
    </row>
    <row r="7157" spans="1:11" ht="15" x14ac:dyDescent="0.25">
      <c r="A7157" s="3" t="str">
        <f>HYPERLINK("proteomic_fractions_linear_files/Yang_linear_img/87044895.jpg", "87044895")</f>
        <v>87044895</v>
      </c>
      <c r="C7157" s="3" t="str">
        <f>HYPERLINK("http://www.ncbi.nlm.nih.gov/protein/87044895","Srd5a1")</f>
        <v>Srd5a1</v>
      </c>
      <c r="E7157" t="str">
        <f>HYPERLINK("J:\Depot - mpkCCD Fractions\Main Web Page\Web Pages_old\proteomic_fractions_linear_files/Yang_linear_img/87044895.jpg","show blot")</f>
        <v>show blot</v>
      </c>
      <c r="G7157" t="s">
        <v>6924</v>
      </c>
      <c r="I7157" s="6">
        <v>4.1101465570119311</v>
      </c>
      <c r="K7157" s="8"/>
    </row>
    <row r="7158" spans="1:11" ht="15" x14ac:dyDescent="0.25">
      <c r="A7158" s="3" t="str">
        <f>HYPERLINK("proteomic_fractions_linear_files/Yang_linear_img/27881427.jpg", "27881427")</f>
        <v>27881427</v>
      </c>
      <c r="C7158" s="3" t="str">
        <f>HYPERLINK("http://www.ncbi.nlm.nih.gov/protein/27881427","Srd5a3")</f>
        <v>Srd5a3</v>
      </c>
      <c r="E7158" t="str">
        <f>HYPERLINK("J:\Depot - mpkCCD Fractions\Main Web Page\Web Pages_old\proteomic_fractions_linear_files/Yang_linear_img/27881427.jpg","show blot")</f>
        <v>show blot</v>
      </c>
      <c r="G7158" t="s">
        <v>6925</v>
      </c>
      <c r="I7158" s="6">
        <v>2.0127262512838699</v>
      </c>
      <c r="K7158" s="8"/>
    </row>
    <row r="7159" spans="1:11" ht="15" x14ac:dyDescent="0.25">
      <c r="A7159" s="3" t="str">
        <f>HYPERLINK("proteomic_fractions_linear_files/Yang_linear_img/73661204.jpg", "73661204")</f>
        <v>73661204</v>
      </c>
      <c r="C7159" s="3" t="str">
        <f>HYPERLINK("http://www.ncbi.nlm.nih.gov/protein/73661204","Srebf2")</f>
        <v>Srebf2</v>
      </c>
      <c r="E7159" t="str">
        <f>HYPERLINK("J:\Depot - mpkCCD Fractions\Main Web Page\Web Pages_old\proteomic_fractions_linear_files/Yang_linear_img/73661204.jpg","show blot")</f>
        <v>show blot</v>
      </c>
      <c r="G7159" t="s">
        <v>6926</v>
      </c>
      <c r="I7159" s="6">
        <v>3.145186035847312</v>
      </c>
      <c r="K7159" s="8"/>
    </row>
    <row r="7160" spans="1:11" ht="15" x14ac:dyDescent="0.25">
      <c r="A7160" s="3" t="str">
        <f>HYPERLINK("proteomic_fractions_linear_files/Yang_linear_img/27369842.jpg", "27369842")</f>
        <v>27369842</v>
      </c>
      <c r="C7160" s="3" t="str">
        <f>HYPERLINK("http://www.ncbi.nlm.nih.gov/protein/27369842","Srek1")</f>
        <v>Srek1</v>
      </c>
      <c r="E7160" t="str">
        <f>HYPERLINK("J:\Depot - mpkCCD Fractions\Main Web Page\Web Pages_old\proteomic_fractions_linear_files/Yang_linear_img/27369842.jpg","show blot")</f>
        <v>show blot</v>
      </c>
      <c r="G7160" t="s">
        <v>6927</v>
      </c>
      <c r="I7160" s="6">
        <v>3.174570921076489</v>
      </c>
      <c r="K7160" s="8"/>
    </row>
    <row r="7161" spans="1:11" ht="15" x14ac:dyDescent="0.25">
      <c r="A7161" s="3" t="str">
        <f>HYPERLINK("proteomic_fractions_linear_files/Yang_linear_img/124486650.jpg", "124486650")</f>
        <v>124486650</v>
      </c>
      <c r="C7161" s="3" t="str">
        <f>HYPERLINK("http://www.ncbi.nlm.nih.gov/protein/124486650","Srgap1")</f>
        <v>Srgap1</v>
      </c>
      <c r="E7161" t="str">
        <f>HYPERLINK("J:\Depot - mpkCCD Fractions\Main Web Page\Web Pages_old\proteomic_fractions_linear_files/Yang_linear_img/124486650.jpg","show blot")</f>
        <v>show blot</v>
      </c>
      <c r="G7161" t="s">
        <v>6928</v>
      </c>
      <c r="I7161" s="6">
        <v>3.6998239677533555</v>
      </c>
      <c r="K7161" s="8"/>
    </row>
    <row r="7162" spans="1:11" ht="15" x14ac:dyDescent="0.25">
      <c r="A7162" s="3" t="str">
        <f>HYPERLINK("proteomic_fractions_linear_files/Yang_linear_img/334724478.jpg", "334724478")</f>
        <v>334724478</v>
      </c>
      <c r="C7162" s="3" t="str">
        <f>HYPERLINK("http://www.ncbi.nlm.nih.gov/protein/334724478","Srgap1")</f>
        <v>Srgap1</v>
      </c>
      <c r="E7162" t="str">
        <f>HYPERLINK("J:\Depot - mpkCCD Fractions\Main Web Page\Web Pages_old\proteomic_fractions_linear_files/Yang_linear_img/334724478.jpg","show blot")</f>
        <v>show blot</v>
      </c>
      <c r="G7162" t="s">
        <v>6929</v>
      </c>
      <c r="I7162" s="6">
        <v>3.6998239677533555</v>
      </c>
      <c r="K7162" s="8"/>
    </row>
    <row r="7163" spans="1:11" ht="15" x14ac:dyDescent="0.25">
      <c r="A7163" s="3" t="str">
        <f>HYPERLINK("proteomic_fractions_linear_files/Yang_linear_img/157951723.jpg", "157951723")</f>
        <v>157951723</v>
      </c>
      <c r="C7163" s="3" t="str">
        <f>HYPERLINK("http://www.ncbi.nlm.nih.gov/protein/157951723","Srgap2")</f>
        <v>Srgap2</v>
      </c>
      <c r="E7163" t="str">
        <f>HYPERLINK("J:\Depot - mpkCCD Fractions\Main Web Page\Web Pages_old\proteomic_fractions_linear_files/Yang_linear_img/157951723.jpg","show blot")</f>
        <v>show blot</v>
      </c>
      <c r="G7163" t="s">
        <v>6930</v>
      </c>
      <c r="I7163" s="6">
        <v>3.713529514326817</v>
      </c>
      <c r="K7163" s="8"/>
    </row>
    <row r="7164" spans="1:11" ht="15" x14ac:dyDescent="0.25">
      <c r="A7164" s="3" t="str">
        <f>HYPERLINK("proteomic_fractions_linear_files/Yang_linear_img/154090967.jpg", "154090967")</f>
        <v>154090967</v>
      </c>
      <c r="C7164" s="3" t="str">
        <f>HYPERLINK("http://www.ncbi.nlm.nih.gov/protein/154090967","Srgap3")</f>
        <v>Srgap3</v>
      </c>
      <c r="E7164" t="str">
        <f>HYPERLINK("J:\Depot - mpkCCD Fractions\Main Web Page\Web Pages_old\proteomic_fractions_linear_files/Yang_linear_img/154090967.jpg","show blot")</f>
        <v>show blot</v>
      </c>
      <c r="G7164" t="s">
        <v>6931</v>
      </c>
      <c r="I7164" s="6">
        <v>2.4256661184896755</v>
      </c>
      <c r="K7164" s="8"/>
    </row>
    <row r="7165" spans="1:11" ht="15" x14ac:dyDescent="0.25">
      <c r="A7165" s="3" t="str">
        <f>HYPERLINK("proteomic_fractions_linear_files/Yang_linear_img/124430537.jpg", "124430537")</f>
        <v>124430537</v>
      </c>
      <c r="C7165" s="3" t="str">
        <f>HYPERLINK("http://www.ncbi.nlm.nih.gov/protein/124430537","Sri")</f>
        <v>Sri</v>
      </c>
      <c r="E7165" t="str">
        <f>HYPERLINK("J:\Depot - mpkCCD Fractions\Main Web Page\Web Pages_old\proteomic_fractions_linear_files/Yang_linear_img/124430537.jpg","show blot")</f>
        <v>show blot</v>
      </c>
      <c r="G7165" t="s">
        <v>6932</v>
      </c>
      <c r="I7165" s="6">
        <v>6.3341248956526872</v>
      </c>
      <c r="K7165" s="8"/>
    </row>
    <row r="7166" spans="1:11" ht="15" x14ac:dyDescent="0.25">
      <c r="A7166" s="3" t="str">
        <f>HYPERLINK("proteomic_fractions_linear_files/Yang_linear_img/124430543.jpg", "124430543")</f>
        <v>124430543</v>
      </c>
      <c r="C7166" s="3" t="str">
        <f>HYPERLINK("http://www.ncbi.nlm.nih.gov/protein/124430543","Sri")</f>
        <v>Sri</v>
      </c>
      <c r="E7166" t="str">
        <f>HYPERLINK("J:\Depot - mpkCCD Fractions\Main Web Page\Web Pages_old\proteomic_fractions_linear_files/Yang_linear_img/124430543.jpg","show blot")</f>
        <v>show blot</v>
      </c>
      <c r="G7166" t="s">
        <v>6933</v>
      </c>
      <c r="I7166" s="6">
        <v>6.3341248956526872</v>
      </c>
      <c r="K7166" s="8"/>
    </row>
    <row r="7167" spans="1:11" ht="15" x14ac:dyDescent="0.25">
      <c r="A7167" s="3" t="str">
        <f>HYPERLINK("proteomic_fractions_linear_files/Yang_linear_img/34328417.jpg", "34328417")</f>
        <v>34328417</v>
      </c>
      <c r="C7167" s="3" t="str">
        <f>HYPERLINK("http://www.ncbi.nlm.nih.gov/protein/34328417","Srl")</f>
        <v>Srl</v>
      </c>
      <c r="E7167" t="str">
        <f>HYPERLINK("J:\Depot - mpkCCD Fractions\Main Web Page\Web Pages_old\proteomic_fractions_linear_files/Yang_linear_img/34328417.jpg","show blot")</f>
        <v>show blot</v>
      </c>
      <c r="G7167" t="s">
        <v>6934</v>
      </c>
      <c r="I7167" s="6">
        <v>3.2397909345882288</v>
      </c>
      <c r="K7167" s="8"/>
    </row>
    <row r="7168" spans="1:11" ht="15" x14ac:dyDescent="0.25">
      <c r="A7168" s="3" t="str">
        <f>HYPERLINK("proteomic_fractions_linear_files/Yang_linear_img/6678131.jpg", "6678131")</f>
        <v>6678131</v>
      </c>
      <c r="C7168" s="3" t="str">
        <f>HYPERLINK("http://www.ncbi.nlm.nih.gov/protein/6678131","Srm")</f>
        <v>Srm</v>
      </c>
      <c r="E7168" t="str">
        <f>HYPERLINK("J:\Depot - mpkCCD Fractions\Main Web Page\Web Pages_old\proteomic_fractions_linear_files/Yang_linear_img/6678131.jpg","show blot")</f>
        <v>show blot</v>
      </c>
      <c r="G7168" t="s">
        <v>6935</v>
      </c>
      <c r="I7168" s="6">
        <v>5.6181859076216254</v>
      </c>
      <c r="K7168" s="8"/>
    </row>
    <row r="7169" spans="1:11" ht="15" x14ac:dyDescent="0.25">
      <c r="A7169" s="3" t="str">
        <f>HYPERLINK("proteomic_fractions_linear_files/Yang_linear_img/54287682.jpg", "54287682")</f>
        <v>54287682</v>
      </c>
      <c r="C7169" s="3" t="str">
        <f>HYPERLINK("http://www.ncbi.nlm.nih.gov/protein/54287682","Srms")</f>
        <v>Srms</v>
      </c>
      <c r="E7169" t="str">
        <f>HYPERLINK("J:\Depot - mpkCCD Fractions\Main Web Page\Web Pages_old\proteomic_fractions_linear_files/Yang_linear_img/54287682.jpg","show blot")</f>
        <v>show blot</v>
      </c>
      <c r="G7169" t="s">
        <v>6936</v>
      </c>
      <c r="I7169" s="6">
        <v>4.6166530399740218</v>
      </c>
      <c r="K7169" s="8"/>
    </row>
    <row r="7170" spans="1:11" ht="15" x14ac:dyDescent="0.25">
      <c r="A7170" s="3" t="str">
        <f>HYPERLINK("proteomic_fractions_linear_files/Yang_linear_img/160333840.jpg", "160333840")</f>
        <v>160333840</v>
      </c>
      <c r="C7170" s="3" t="str">
        <f>HYPERLINK("http://www.ncbi.nlm.nih.gov/protein/160333840","Srp19")</f>
        <v>Srp19</v>
      </c>
      <c r="E7170" t="str">
        <f>HYPERLINK("J:\Depot - mpkCCD Fractions\Main Web Page\Web Pages_old\proteomic_fractions_linear_files/Yang_linear_img/160333840.jpg","show blot")</f>
        <v>show blot</v>
      </c>
      <c r="G7170" t="s">
        <v>6937</v>
      </c>
      <c r="I7170" s="6">
        <v>5.233565615429602</v>
      </c>
      <c r="K7170" s="8"/>
    </row>
    <row r="7171" spans="1:11" ht="15" x14ac:dyDescent="0.25">
      <c r="A7171" s="3" t="str">
        <f>HYPERLINK("proteomic_fractions_linear_files/Yang_linear_img/31981338;153791789.jpg", "31981338;153791789")</f>
        <v>31981338;153791789</v>
      </c>
      <c r="C7171" s="3" t="str">
        <f>HYPERLINK("http://www.ncbi.nlm.nih.gov/protein/31981338;153791789","Srp54a")</f>
        <v>Srp54a</v>
      </c>
      <c r="E7171" t="str">
        <f>HYPERLINK("J:\Depot - mpkCCD Fractions\Main Web Page\Web Pages_old\proteomic_fractions_linear_files/Yang_linear_img/31981338;153791789.jpg","show blot")</f>
        <v>show blot</v>
      </c>
      <c r="G7171" t="s">
        <v>6938</v>
      </c>
      <c r="I7171" s="6">
        <v>3.777022980741557</v>
      </c>
      <c r="K7171" s="8"/>
    </row>
    <row r="7172" spans="1:11" ht="15" x14ac:dyDescent="0.25">
      <c r="A7172" s="3" t="str">
        <f>HYPERLINK("proteomic_fractions_linear_files/Yang_linear_img/153791789.jpg", "153791789")</f>
        <v>153791789</v>
      </c>
      <c r="C7172" s="3" t="str">
        <f>HYPERLINK("http://www.ncbi.nlm.nih.gov/protein/153791789","Srp54b")</f>
        <v>Srp54b</v>
      </c>
      <c r="E7172" t="str">
        <f>HYPERLINK("J:\Depot - mpkCCD Fractions\Main Web Page\Web Pages_old\proteomic_fractions_linear_files/Yang_linear_img/153791789.jpg","show blot")</f>
        <v>show blot</v>
      </c>
      <c r="G7172" t="s">
        <v>6938</v>
      </c>
      <c r="I7172" s="6">
        <v>5.1025825689261399</v>
      </c>
      <c r="K7172" s="8"/>
    </row>
    <row r="7173" spans="1:11" ht="15" x14ac:dyDescent="0.25">
      <c r="A7173" s="3" t="str">
        <f>HYPERLINK("proteomic_fractions_linear_files/Yang_linear_img/153791464.jpg", "153791464")</f>
        <v>153791464</v>
      </c>
      <c r="C7173" s="3" t="str">
        <f>HYPERLINK("http://www.ncbi.nlm.nih.gov/protein/153791464","Srp54c")</f>
        <v>Srp54c</v>
      </c>
      <c r="E7173" t="str">
        <f>HYPERLINK("J:\Depot - mpkCCD Fractions\Main Web Page\Web Pages_old\proteomic_fractions_linear_files/Yang_linear_img/153791464.jpg","show blot")</f>
        <v>show blot</v>
      </c>
      <c r="G7173" t="s">
        <v>6939</v>
      </c>
      <c r="I7173" s="6">
        <v>4.9634538189362054</v>
      </c>
      <c r="K7173" s="8"/>
    </row>
    <row r="7174" spans="1:11" ht="15" x14ac:dyDescent="0.25">
      <c r="A7174" s="3" t="str">
        <f>HYPERLINK("proteomic_fractions_linear_files/Yang_linear_img/47271535.jpg", "47271535")</f>
        <v>47271535</v>
      </c>
      <c r="C7174" s="3" t="str">
        <f>HYPERLINK("http://www.ncbi.nlm.nih.gov/protein/47271535","Srp68")</f>
        <v>Srp68</v>
      </c>
      <c r="E7174" t="str">
        <f>HYPERLINK("J:\Depot - mpkCCD Fractions\Main Web Page\Web Pages_old\proteomic_fractions_linear_files/Yang_linear_img/47271535.jpg","show blot")</f>
        <v>show blot</v>
      </c>
      <c r="G7174" t="s">
        <v>6940</v>
      </c>
      <c r="I7174" s="6">
        <v>5.206924726054309</v>
      </c>
      <c r="K7174" s="8"/>
    </row>
    <row r="7175" spans="1:11" ht="15" x14ac:dyDescent="0.25">
      <c r="A7175" s="3" t="str">
        <f>HYPERLINK("proteomic_fractions_linear_files/Yang_linear_img/118344452.jpg", "118344452")</f>
        <v>118344452</v>
      </c>
      <c r="C7175" s="3" t="str">
        <f>HYPERLINK("http://www.ncbi.nlm.nih.gov/protein/118344452","Srp72")</f>
        <v>Srp72</v>
      </c>
      <c r="E7175" t="str">
        <f>HYPERLINK("J:\Depot - mpkCCD Fractions\Main Web Page\Web Pages_old\proteomic_fractions_linear_files/Yang_linear_img/118344452.jpg","show blot")</f>
        <v>show blot</v>
      </c>
      <c r="G7175" t="s">
        <v>6941</v>
      </c>
      <c r="I7175" s="6">
        <v>5.2590001326859062</v>
      </c>
      <c r="K7175" s="8"/>
    </row>
    <row r="7176" spans="1:11" ht="15" x14ac:dyDescent="0.25">
      <c r="A7176" s="3" t="str">
        <f>HYPERLINK("proteomic_fractions_linear_files/Yang_linear_img/6755662.jpg", "6755662")</f>
        <v>6755662</v>
      </c>
      <c r="C7176" s="3" t="str">
        <f>HYPERLINK("http://www.ncbi.nlm.nih.gov/protein/6755662","Srp9")</f>
        <v>Srp9</v>
      </c>
      <c r="E7176" t="str">
        <f>HYPERLINK("J:\Depot - mpkCCD Fractions\Main Web Page\Web Pages_old\proteomic_fractions_linear_files/Yang_linear_img/6755662.jpg","show blot")</f>
        <v>show blot</v>
      </c>
      <c r="G7176" t="s">
        <v>6942</v>
      </c>
      <c r="I7176" s="6">
        <v>5.2200986986685267</v>
      </c>
      <c r="K7176" s="8"/>
    </row>
    <row r="7177" spans="1:11" ht="15" x14ac:dyDescent="0.25">
      <c r="A7177" s="3" t="str">
        <f>HYPERLINK("proteomic_fractions_linear_files/Yang_linear_img/31982726.jpg", "31982726")</f>
        <v>31982726</v>
      </c>
      <c r="C7177" s="3" t="str">
        <f>HYPERLINK("http://www.ncbi.nlm.nih.gov/protein/31982726","Srpk1")</f>
        <v>Srpk1</v>
      </c>
      <c r="E7177" t="str">
        <f>HYPERLINK("J:\Depot - mpkCCD Fractions\Main Web Page\Web Pages_old\proteomic_fractions_linear_files/Yang_linear_img/31982726.jpg","show blot")</f>
        <v>show blot</v>
      </c>
      <c r="G7177" t="s">
        <v>6943</v>
      </c>
      <c r="I7177" s="6">
        <v>5.0290945695388105</v>
      </c>
      <c r="K7177" s="8"/>
    </row>
    <row r="7178" spans="1:11" ht="15" x14ac:dyDescent="0.25">
      <c r="A7178" s="3" t="str">
        <f>HYPERLINK("proteomic_fractions_linear_files/Yang_linear_img/47059480.jpg", "47059480")</f>
        <v>47059480</v>
      </c>
      <c r="C7178" s="3" t="str">
        <f>HYPERLINK("http://www.ncbi.nlm.nih.gov/protein/47059480","Srpk2")</f>
        <v>Srpk2</v>
      </c>
      <c r="E7178" t="str">
        <f>HYPERLINK("J:\Depot - mpkCCD Fractions\Main Web Page\Web Pages_old\proteomic_fractions_linear_files/Yang_linear_img/47059480.jpg","show blot")</f>
        <v>show blot</v>
      </c>
      <c r="G7178" t="s">
        <v>6944</v>
      </c>
      <c r="I7178" s="6">
        <v>4.5507052151330729</v>
      </c>
      <c r="K7178" s="8"/>
    </row>
    <row r="7179" spans="1:11" ht="15" x14ac:dyDescent="0.25">
      <c r="A7179" s="3" t="str">
        <f>HYPERLINK("proteomic_fractions_linear_files/Yang_linear_img/9790111.jpg", "9790111")</f>
        <v>9790111</v>
      </c>
      <c r="C7179" s="3" t="str">
        <f>HYPERLINK("http://www.ncbi.nlm.nih.gov/protein/9790111","Srpk3")</f>
        <v>Srpk3</v>
      </c>
      <c r="E7179" t="str">
        <f>HYPERLINK("J:\Depot - mpkCCD Fractions\Main Web Page\Web Pages_old\proteomic_fractions_linear_files/Yang_linear_img/9790111.jpg","show blot")</f>
        <v>show blot</v>
      </c>
      <c r="G7179" t="s">
        <v>6945</v>
      </c>
      <c r="I7179" s="6">
        <v>4.2306895083472957</v>
      </c>
      <c r="K7179" s="8"/>
    </row>
    <row r="7180" spans="1:11" ht="15" x14ac:dyDescent="0.25">
      <c r="A7180" s="3" t="str">
        <f>HYPERLINK("proteomic_fractions_linear_files/Yang_linear_img/27229036.jpg", "27229036")</f>
        <v>27229036</v>
      </c>
      <c r="C7180" s="3" t="str">
        <f>HYPERLINK("http://www.ncbi.nlm.nih.gov/protein/27229036","Srpr")</f>
        <v>Srpr</v>
      </c>
      <c r="E7180" t="str">
        <f>HYPERLINK("J:\Depot - mpkCCD Fractions\Main Web Page\Web Pages_old\proteomic_fractions_linear_files/Yang_linear_img/27229036.jpg","show blot")</f>
        <v>show blot</v>
      </c>
      <c r="G7180" t="s">
        <v>6946</v>
      </c>
      <c r="I7180" s="6">
        <v>3.9859062854776708</v>
      </c>
      <c r="K7180" s="8"/>
    </row>
    <row r="7181" spans="1:11" ht="15" x14ac:dyDescent="0.25">
      <c r="A7181" s="3" t="str">
        <f>HYPERLINK("proteomic_fractions_linear_files/Yang_linear_img/6678137.jpg", "6678137")</f>
        <v>6678137</v>
      </c>
      <c r="C7181" s="3" t="str">
        <f>HYPERLINK("http://www.ncbi.nlm.nih.gov/protein/6678137","Srprb")</f>
        <v>Srprb</v>
      </c>
      <c r="E7181" t="str">
        <f>HYPERLINK("J:\Depot - mpkCCD Fractions\Main Web Page\Web Pages_old\proteomic_fractions_linear_files/Yang_linear_img/6678137.jpg","show blot")</f>
        <v>show blot</v>
      </c>
      <c r="G7181" t="s">
        <v>6947</v>
      </c>
      <c r="I7181" s="6">
        <v>5.3335700228009166</v>
      </c>
      <c r="K7181" s="8"/>
    </row>
    <row r="7182" spans="1:11" ht="15" x14ac:dyDescent="0.25">
      <c r="A7182" s="3" t="str">
        <f>HYPERLINK("proteomic_fractions_linear_files/Yang_linear_img/7305521.jpg", "7305521")</f>
        <v>7305521</v>
      </c>
      <c r="C7182" s="3" t="str">
        <f>HYPERLINK("http://www.ncbi.nlm.nih.gov/protein/7305521","Srr")</f>
        <v>Srr</v>
      </c>
      <c r="E7182" t="str">
        <f>HYPERLINK("J:\Depot - mpkCCD Fractions\Main Web Page\Web Pages_old\proteomic_fractions_linear_files/Yang_linear_img/7305521.jpg","show blot")</f>
        <v>show blot</v>
      </c>
      <c r="G7182" t="s">
        <v>6948</v>
      </c>
      <c r="I7182" s="6">
        <v>4.5722832755266083</v>
      </c>
      <c r="K7182" s="8"/>
    </row>
    <row r="7183" spans="1:11" ht="15" x14ac:dyDescent="0.25">
      <c r="A7183" s="3" t="str">
        <f>HYPERLINK("proteomic_fractions_linear_files/Yang_linear_img/194440682.jpg", "194440682")</f>
        <v>194440682</v>
      </c>
      <c r="C7183" s="3" t="str">
        <f>HYPERLINK("http://www.ncbi.nlm.nih.gov/protein/194440682","Srrm1")</f>
        <v>Srrm1</v>
      </c>
      <c r="E7183" t="str">
        <f>HYPERLINK("J:\Depot - mpkCCD Fractions\Main Web Page\Web Pages_old\proteomic_fractions_linear_files/Yang_linear_img/194440682.jpg","show blot")</f>
        <v>show blot</v>
      </c>
      <c r="G7183" t="s">
        <v>6949</v>
      </c>
      <c r="I7183" s="6">
        <v>4.663444667361305</v>
      </c>
      <c r="K7183" s="8"/>
    </row>
    <row r="7184" spans="1:11" ht="15" x14ac:dyDescent="0.25">
      <c r="A7184" s="3" t="str">
        <f>HYPERLINK("proteomic_fractions_linear_files/Yang_linear_img/194440687.jpg", "194440687")</f>
        <v>194440687</v>
      </c>
      <c r="C7184" s="3" t="str">
        <f>HYPERLINK("http://www.ncbi.nlm.nih.gov/protein/194440687","Srrm1")</f>
        <v>Srrm1</v>
      </c>
      <c r="E7184" t="str">
        <f>HYPERLINK("J:\Depot - mpkCCD Fractions\Main Web Page\Web Pages_old\proteomic_fractions_linear_files/Yang_linear_img/194440687.jpg","show blot")</f>
        <v>show blot</v>
      </c>
      <c r="G7184" t="s">
        <v>6950</v>
      </c>
      <c r="I7184" s="6">
        <v>4.663444667361305</v>
      </c>
      <c r="K7184" s="8"/>
    </row>
    <row r="7185" spans="1:11" ht="15" x14ac:dyDescent="0.25">
      <c r="A7185" s="3" t="str">
        <f>HYPERLINK("proteomic_fractions_linear_files/Yang_linear_img/126157504.jpg", "126157504")</f>
        <v>126157504</v>
      </c>
      <c r="C7185" s="3" t="str">
        <f>HYPERLINK("http://www.ncbi.nlm.nih.gov/protein/126157504","Srrm2")</f>
        <v>Srrm2</v>
      </c>
      <c r="E7185" t="str">
        <f>HYPERLINK("J:\Depot - mpkCCD Fractions\Main Web Page\Web Pages_old\proteomic_fractions_linear_files/Yang_linear_img/126157504.jpg","show blot")</f>
        <v>show blot</v>
      </c>
      <c r="G7185" t="s">
        <v>6951</v>
      </c>
      <c r="I7185" s="6">
        <v>4.7170567436734672</v>
      </c>
      <c r="K7185" s="8"/>
    </row>
    <row r="7186" spans="1:11" ht="15" x14ac:dyDescent="0.25">
      <c r="A7186" s="3" t="str">
        <f>HYPERLINK("proteomic_fractions_linear_files/Yang_linear_img/13937395.jpg", "13937395")</f>
        <v>13937395</v>
      </c>
      <c r="C7186" s="3" t="str">
        <f>HYPERLINK("http://www.ncbi.nlm.nih.gov/protein/13937395","Srrt")</f>
        <v>Srrt</v>
      </c>
      <c r="E7186" t="str">
        <f>HYPERLINK("J:\Depot - mpkCCD Fractions\Main Web Page\Web Pages_old\proteomic_fractions_linear_files/Yang_linear_img/13937395.jpg","show blot")</f>
        <v>show blot</v>
      </c>
      <c r="G7186" t="s">
        <v>6952</v>
      </c>
      <c r="I7186" s="6">
        <v>5.4884564819921469</v>
      </c>
      <c r="K7186" s="8"/>
    </row>
    <row r="7187" spans="1:11" ht="15" x14ac:dyDescent="0.25">
      <c r="A7187" s="3" t="str">
        <f>HYPERLINK("proteomic_fractions_linear_files/Yang_linear_img/158186670.jpg", "158186670")</f>
        <v>158186670</v>
      </c>
      <c r="C7187" s="3" t="str">
        <f>HYPERLINK("http://www.ncbi.nlm.nih.gov/protein/158186670","Srrt")</f>
        <v>Srrt</v>
      </c>
      <c r="E7187" t="str">
        <f>HYPERLINK("J:\Depot - mpkCCD Fractions\Main Web Page\Web Pages_old\proteomic_fractions_linear_files/Yang_linear_img/158186670.jpg","show blot")</f>
        <v>show blot</v>
      </c>
      <c r="G7187" t="s">
        <v>6953</v>
      </c>
      <c r="I7187" s="6">
        <v>5.4884564819921469</v>
      </c>
      <c r="K7187" s="8"/>
    </row>
    <row r="7188" spans="1:11" ht="15" x14ac:dyDescent="0.25">
      <c r="A7188" s="3" t="str">
        <f>HYPERLINK("proteomic_fractions_linear_files/Yang_linear_img/158186674.jpg", "158186674")</f>
        <v>158186674</v>
      </c>
      <c r="C7188" s="3" t="str">
        <f>HYPERLINK("http://www.ncbi.nlm.nih.gov/protein/158186674","Srrt")</f>
        <v>Srrt</v>
      </c>
      <c r="E7188" t="str">
        <f>HYPERLINK("J:\Depot - mpkCCD Fractions\Main Web Page\Web Pages_old\proteomic_fractions_linear_files/Yang_linear_img/158186674.jpg","show blot")</f>
        <v>show blot</v>
      </c>
      <c r="G7188" t="s">
        <v>6954</v>
      </c>
      <c r="I7188" s="6">
        <v>5.4884564819921469</v>
      </c>
      <c r="K7188" s="8"/>
    </row>
    <row r="7189" spans="1:11" ht="15" x14ac:dyDescent="0.25">
      <c r="A7189" s="3" t="str">
        <f>HYPERLINK("proteomic_fractions_linear_files/Yang_linear_img/118582271.jpg", "118582271")</f>
        <v>118582271</v>
      </c>
      <c r="C7189" s="3" t="str">
        <f>HYPERLINK("http://www.ncbi.nlm.nih.gov/protein/118582271","Srsf1")</f>
        <v>Srsf1</v>
      </c>
      <c r="E7189" t="str">
        <f>HYPERLINK("J:\Depot - mpkCCD Fractions\Main Web Page\Web Pages_old\proteomic_fractions_linear_files/Yang_linear_img/118582271.jpg","show blot")</f>
        <v>show blot</v>
      </c>
      <c r="G7189" t="s">
        <v>6955</v>
      </c>
      <c r="I7189" s="6">
        <v>6.3187525846076449</v>
      </c>
      <c r="K7189" s="8"/>
    </row>
    <row r="7190" spans="1:11" ht="15" x14ac:dyDescent="0.25">
      <c r="A7190" s="3" t="str">
        <f>HYPERLINK("proteomic_fractions_linear_files/Yang_linear_img/34328400.jpg", "34328400")</f>
        <v>34328400</v>
      </c>
      <c r="C7190" s="3" t="str">
        <f>HYPERLINK("http://www.ncbi.nlm.nih.gov/protein/34328400","Srsf1")</f>
        <v>Srsf1</v>
      </c>
      <c r="E7190" t="str">
        <f>HYPERLINK("J:\Depot - mpkCCD Fractions\Main Web Page\Web Pages_old\proteomic_fractions_linear_files/Yang_linear_img/34328400.jpg","show blot")</f>
        <v>show blot</v>
      </c>
      <c r="G7190" t="s">
        <v>6956</v>
      </c>
      <c r="I7190" s="6">
        <v>6.3187525846076449</v>
      </c>
      <c r="K7190" s="8"/>
    </row>
    <row r="7191" spans="1:11" ht="15" x14ac:dyDescent="0.25">
      <c r="A7191" s="3" t="str">
        <f>HYPERLINK("proteomic_fractions_linear_files/Yang_linear_img/545746418.jpg", "545746418")</f>
        <v>545746418</v>
      </c>
      <c r="C7191" s="3" t="str">
        <f>HYPERLINK("http://www.ncbi.nlm.nih.gov/protein/545746418","Srsf10")</f>
        <v>Srsf10</v>
      </c>
      <c r="E7191" t="str">
        <f>HYPERLINK("J:\Depot - mpkCCD Fractions\Main Web Page\Web Pages_old\proteomic_fractions_linear_files/Yang_linear_img/545746418.jpg","show blot")</f>
        <v>show blot</v>
      </c>
      <c r="G7191" t="s">
        <v>6957</v>
      </c>
      <c r="I7191" s="6">
        <v>4.7240374216553711</v>
      </c>
      <c r="K7191" s="8"/>
    </row>
    <row r="7192" spans="1:11" ht="15" x14ac:dyDescent="0.25">
      <c r="A7192" s="3" t="str">
        <f>HYPERLINK("proteomic_fractions_linear_files/Yang_linear_img/545746420.jpg", "545746420")</f>
        <v>545746420</v>
      </c>
      <c r="C7192" s="3" t="str">
        <f>HYPERLINK("http://www.ncbi.nlm.nih.gov/protein/545746420","Srsf10")</f>
        <v>Srsf10</v>
      </c>
      <c r="E7192" t="str">
        <f>HYPERLINK("J:\Depot - mpkCCD Fractions\Main Web Page\Web Pages_old\proteomic_fractions_linear_files/Yang_linear_img/545746420.jpg","show blot")</f>
        <v>show blot</v>
      </c>
      <c r="G7192" t="s">
        <v>6958</v>
      </c>
      <c r="I7192" s="6">
        <v>4.7240374216553711</v>
      </c>
      <c r="K7192" s="8"/>
    </row>
    <row r="7193" spans="1:11" ht="15" x14ac:dyDescent="0.25">
      <c r="A7193" s="3" t="str">
        <f>HYPERLINK("proteomic_fractions_linear_files/Yang_linear_img/122937372.jpg", "122937372")</f>
        <v>122937372</v>
      </c>
      <c r="C7193" s="3" t="str">
        <f>HYPERLINK("http://www.ncbi.nlm.nih.gov/protein/122937372","Srsf10")</f>
        <v>Srsf10</v>
      </c>
      <c r="E7193" t="str">
        <f>HYPERLINK("J:\Depot - mpkCCD Fractions\Main Web Page\Web Pages_old\proteomic_fractions_linear_files/Yang_linear_img/122937372.jpg","show blot")</f>
        <v>show blot</v>
      </c>
      <c r="G7193" t="s">
        <v>6959</v>
      </c>
      <c r="I7193" s="6">
        <v>4.7240374216553711</v>
      </c>
      <c r="K7193" s="8"/>
    </row>
    <row r="7194" spans="1:11" ht="15" x14ac:dyDescent="0.25">
      <c r="A7194" s="3" t="str">
        <f>HYPERLINK("proteomic_fractions_linear_files/Yang_linear_img/6753820.jpg", "6753820")</f>
        <v>6753820</v>
      </c>
      <c r="C7194" s="3" t="str">
        <f>HYPERLINK("http://www.ncbi.nlm.nih.gov/protein/6753820","Srsf10")</f>
        <v>Srsf10</v>
      </c>
      <c r="E7194" t="str">
        <f>HYPERLINK("J:\Depot - mpkCCD Fractions\Main Web Page\Web Pages_old\proteomic_fractions_linear_files/Yang_linear_img/6753820.jpg","show blot")</f>
        <v>show blot</v>
      </c>
      <c r="G7194" t="s">
        <v>6960</v>
      </c>
      <c r="I7194" s="6">
        <v>4.7240374216553711</v>
      </c>
      <c r="K7194" s="8"/>
    </row>
    <row r="7195" spans="1:11" ht="15" x14ac:dyDescent="0.25">
      <c r="A7195" s="3" t="str">
        <f>HYPERLINK("proteomic_fractions_linear_files/Yang_linear_img/33469007.jpg", "33469007")</f>
        <v>33469007</v>
      </c>
      <c r="C7195" s="3" t="str">
        <f>HYPERLINK("http://www.ncbi.nlm.nih.gov/protein/33469007","Srsf11")</f>
        <v>Srsf11</v>
      </c>
      <c r="E7195" t="str">
        <f>HYPERLINK("J:\Depot - mpkCCD Fractions\Main Web Page\Web Pages_old\proteomic_fractions_linear_files/Yang_linear_img/33469007.jpg","show blot")</f>
        <v>show blot</v>
      </c>
      <c r="G7195" t="s">
        <v>6961</v>
      </c>
      <c r="I7195" s="6">
        <v>4.3394596335483238</v>
      </c>
      <c r="K7195" s="8"/>
    </row>
    <row r="7196" spans="1:11" ht="15" x14ac:dyDescent="0.25">
      <c r="A7196" s="3" t="str">
        <f>HYPERLINK("proteomic_fractions_linear_files/Yang_linear_img/147898671.jpg", "147898671")</f>
        <v>147898671</v>
      </c>
      <c r="C7196" s="3" t="str">
        <f>HYPERLINK("http://www.ncbi.nlm.nih.gov/protein/147898671","Srsf11")</f>
        <v>Srsf11</v>
      </c>
      <c r="E7196" t="str">
        <f>HYPERLINK("J:\Depot - mpkCCD Fractions\Main Web Page\Web Pages_old\proteomic_fractions_linear_files/Yang_linear_img/147898671.jpg","show blot")</f>
        <v>show blot</v>
      </c>
      <c r="G7196" t="s">
        <v>6962</v>
      </c>
      <c r="I7196" s="6">
        <v>4.3394596335483238</v>
      </c>
      <c r="K7196" s="8"/>
    </row>
    <row r="7197" spans="1:11" ht="15" x14ac:dyDescent="0.25">
      <c r="A7197" s="3" t="str">
        <f>HYPERLINK("proteomic_fractions_linear_files/Yang_linear_img/148222073.jpg", "148222073")</f>
        <v>148222073</v>
      </c>
      <c r="C7197" s="3" t="str">
        <f>HYPERLINK("http://www.ncbi.nlm.nih.gov/protein/148222073","Srsf11")</f>
        <v>Srsf11</v>
      </c>
      <c r="E7197" t="str">
        <f>HYPERLINK("J:\Depot - mpkCCD Fractions\Main Web Page\Web Pages_old\proteomic_fractions_linear_files/Yang_linear_img/148222073.jpg","show blot")</f>
        <v>show blot</v>
      </c>
      <c r="G7197" t="s">
        <v>6963</v>
      </c>
      <c r="I7197" s="6">
        <v>4.3394596335483238</v>
      </c>
      <c r="K7197" s="8"/>
    </row>
    <row r="7198" spans="1:11" ht="15" x14ac:dyDescent="0.25">
      <c r="A7198" s="3" t="str">
        <f>HYPERLINK("proteomic_fractions_linear_files/Yang_linear_img/6755478.jpg", "6755478")</f>
        <v>6755478</v>
      </c>
      <c r="C7198" s="3" t="str">
        <f>HYPERLINK("http://www.ncbi.nlm.nih.gov/protein/6755478","Srsf2")</f>
        <v>Srsf2</v>
      </c>
      <c r="E7198" t="str">
        <f>HYPERLINK("J:\Depot - mpkCCD Fractions\Main Web Page\Web Pages_old\proteomic_fractions_linear_files/Yang_linear_img/6755478.jpg","show blot")</f>
        <v>show blot</v>
      </c>
      <c r="G7198" t="s">
        <v>6964</v>
      </c>
      <c r="I7198" s="6">
        <v>6.1035605911342232</v>
      </c>
      <c r="K7198" s="8"/>
    </row>
    <row r="7199" spans="1:11" ht="15" x14ac:dyDescent="0.25">
      <c r="A7199" s="3" t="str">
        <f>HYPERLINK("proteomic_fractions_linear_files/Yang_linear_img/8567402.jpg", "8567402")</f>
        <v>8567402</v>
      </c>
      <c r="C7199" s="3" t="str">
        <f>HYPERLINK("http://www.ncbi.nlm.nih.gov/protein/8567402","Srsf3")</f>
        <v>Srsf3</v>
      </c>
      <c r="E7199" t="str">
        <f>HYPERLINK("J:\Depot - mpkCCD Fractions\Main Web Page\Web Pages_old\proteomic_fractions_linear_files/Yang_linear_img/8567402.jpg","show blot")</f>
        <v>show blot</v>
      </c>
      <c r="G7199" t="s">
        <v>6965</v>
      </c>
      <c r="I7199" s="6">
        <v>6.5786164600256587</v>
      </c>
      <c r="K7199" s="8"/>
    </row>
    <row r="7200" spans="1:11" ht="15" x14ac:dyDescent="0.25">
      <c r="A7200" s="3" t="str">
        <f>HYPERLINK("proteomic_fractions_linear_files/Yang_linear_img/165377173.jpg", "165377173")</f>
        <v>165377173</v>
      </c>
      <c r="C7200" s="3" t="str">
        <f>HYPERLINK("http://www.ncbi.nlm.nih.gov/protein/165377173","Srsf4")</f>
        <v>Srsf4</v>
      </c>
      <c r="E7200" t="str">
        <f>HYPERLINK("J:\Depot - mpkCCD Fractions\Main Web Page\Web Pages_old\proteomic_fractions_linear_files/Yang_linear_img/165377173.jpg","show blot")</f>
        <v>show blot</v>
      </c>
      <c r="G7200" t="s">
        <v>6966</v>
      </c>
      <c r="I7200" s="6">
        <v>5.6127949096747489</v>
      </c>
      <c r="K7200" s="8"/>
    </row>
    <row r="7201" spans="1:11" ht="15" x14ac:dyDescent="0.25">
      <c r="A7201" s="3" t="str">
        <f>HYPERLINK("proteomic_fractions_linear_files/Yang_linear_img/119226245.jpg", "119226245")</f>
        <v>119226245</v>
      </c>
      <c r="C7201" s="3" t="str">
        <f>HYPERLINK("http://www.ncbi.nlm.nih.gov/protein/119226245","Srsf5")</f>
        <v>Srsf5</v>
      </c>
      <c r="E7201" t="str">
        <f>HYPERLINK("J:\Depot - mpkCCD Fractions\Main Web Page\Web Pages_old\proteomic_fractions_linear_files/Yang_linear_img/119226245.jpg","show blot")</f>
        <v>show blot</v>
      </c>
      <c r="G7201" t="s">
        <v>6967</v>
      </c>
      <c r="I7201" s="6">
        <v>6.0311714299351813</v>
      </c>
      <c r="K7201" s="8"/>
    </row>
    <row r="7202" spans="1:11" ht="15" x14ac:dyDescent="0.25">
      <c r="A7202" s="3" t="str">
        <f>HYPERLINK("proteomic_fractions_linear_files/Yang_linear_img/224967104.jpg", "224967104")</f>
        <v>224967104</v>
      </c>
      <c r="C7202" s="3" t="str">
        <f>HYPERLINK("http://www.ncbi.nlm.nih.gov/protein/224967104","Srsf6")</f>
        <v>Srsf6</v>
      </c>
      <c r="E7202" t="str">
        <f>HYPERLINK("J:\Depot - mpkCCD Fractions\Main Web Page\Web Pages_old\proteomic_fractions_linear_files/Yang_linear_img/224967104.jpg","show blot")</f>
        <v>show blot</v>
      </c>
      <c r="G7202" t="s">
        <v>6968</v>
      </c>
      <c r="I7202" s="6">
        <v>5.8066712970919836</v>
      </c>
      <c r="K7202" s="8"/>
    </row>
    <row r="7203" spans="1:11" ht="15" x14ac:dyDescent="0.25">
      <c r="A7203" s="3" t="str">
        <f>HYPERLINK("proteomic_fractions_linear_files/Yang_linear_img/22122585.jpg", "22122585")</f>
        <v>22122585</v>
      </c>
      <c r="C7203" s="3" t="str">
        <f>HYPERLINK("http://www.ncbi.nlm.nih.gov/protein/22122585","Srsf7")</f>
        <v>Srsf7</v>
      </c>
      <c r="E7203" t="str">
        <f>HYPERLINK("J:\Depot - mpkCCD Fractions\Main Web Page\Web Pages_old\proteomic_fractions_linear_files/Yang_linear_img/22122585.jpg","show blot")</f>
        <v>show blot</v>
      </c>
      <c r="G7203" t="s">
        <v>6969</v>
      </c>
      <c r="I7203" s="6">
        <v>6.0405884130551515</v>
      </c>
      <c r="K7203" s="8"/>
    </row>
    <row r="7204" spans="1:11" ht="15" x14ac:dyDescent="0.25">
      <c r="A7204" s="3" t="str">
        <f>HYPERLINK("proteomic_fractions_linear_files/Yang_linear_img/306774098.jpg", "306774098")</f>
        <v>306774098</v>
      </c>
      <c r="C7204" s="3" t="str">
        <f>HYPERLINK("http://www.ncbi.nlm.nih.gov/protein/306774098","Srsf7")</f>
        <v>Srsf7</v>
      </c>
      <c r="E7204" t="str">
        <f>HYPERLINK("J:\Depot - mpkCCD Fractions\Main Web Page\Web Pages_old\proteomic_fractions_linear_files/Yang_linear_img/306774098.jpg","show blot")</f>
        <v>show blot</v>
      </c>
      <c r="G7204" t="s">
        <v>6970</v>
      </c>
      <c r="I7204" s="6">
        <v>6.0405884130551515</v>
      </c>
      <c r="K7204" s="8"/>
    </row>
    <row r="7205" spans="1:11" ht="15" x14ac:dyDescent="0.25">
      <c r="A7205" s="3" t="str">
        <f>HYPERLINK("proteomic_fractions_linear_files/Yang_linear_img/306774101.jpg", "306774101")</f>
        <v>306774101</v>
      </c>
      <c r="C7205" s="3" t="str">
        <f>HYPERLINK("http://www.ncbi.nlm.nih.gov/protein/306774101","Srsf7")</f>
        <v>Srsf7</v>
      </c>
      <c r="E7205" t="str">
        <f>HYPERLINK("J:\Depot - mpkCCD Fractions\Main Web Page\Web Pages_old\proteomic_fractions_linear_files/Yang_linear_img/306774101.jpg","show blot")</f>
        <v>show blot</v>
      </c>
      <c r="G7205" t="s">
        <v>6971</v>
      </c>
      <c r="I7205" s="6">
        <v>6.0405884130551515</v>
      </c>
      <c r="K7205" s="8"/>
    </row>
    <row r="7206" spans="1:11" ht="15" x14ac:dyDescent="0.25">
      <c r="A7206" s="3" t="str">
        <f>HYPERLINK("proteomic_fractions_linear_files/Yang_linear_img/306774103.jpg", "306774103")</f>
        <v>306774103</v>
      </c>
      <c r="C7206" s="3" t="str">
        <f>HYPERLINK("http://www.ncbi.nlm.nih.gov/protein/306774103","Srsf7")</f>
        <v>Srsf7</v>
      </c>
      <c r="E7206" t="str">
        <f>HYPERLINK("J:\Depot - mpkCCD Fractions\Main Web Page\Web Pages_old\proteomic_fractions_linear_files/Yang_linear_img/306774103.jpg","show blot")</f>
        <v>show blot</v>
      </c>
      <c r="G7206" t="s">
        <v>6972</v>
      </c>
      <c r="I7206" s="6">
        <v>6.0405884130551515</v>
      </c>
      <c r="K7206" s="8"/>
    </row>
    <row r="7207" spans="1:11" ht="15" x14ac:dyDescent="0.25">
      <c r="A7207" s="3" t="str">
        <f>HYPERLINK("proteomic_fractions_linear_files/Yang_linear_img/13385016.jpg", "13385016")</f>
        <v>13385016</v>
      </c>
      <c r="C7207" s="3" t="str">
        <f>HYPERLINK("http://www.ncbi.nlm.nih.gov/protein/13385016","Srsf9")</f>
        <v>Srsf9</v>
      </c>
      <c r="E7207" t="str">
        <f>HYPERLINK("J:\Depot - mpkCCD Fractions\Main Web Page\Web Pages_old\proteomic_fractions_linear_files/Yang_linear_img/13385016.jpg","show blot")</f>
        <v>show blot</v>
      </c>
      <c r="G7207" t="s">
        <v>6973</v>
      </c>
      <c r="I7207" s="6">
        <v>4.4057015480867472</v>
      </c>
      <c r="K7207" s="8"/>
    </row>
    <row r="7208" spans="1:11" ht="15" x14ac:dyDescent="0.25">
      <c r="A7208" s="3" t="str">
        <f>HYPERLINK("proteomic_fractions_linear_files/Yang_linear_img/402747081.jpg", "402747081")</f>
        <v>402747081</v>
      </c>
      <c r="C7208" s="3" t="str">
        <f>HYPERLINK("http://www.ncbi.nlm.nih.gov/protein/402747081","Srxn1")</f>
        <v>Srxn1</v>
      </c>
      <c r="E7208" t="str">
        <f>HYPERLINK("J:\Depot - mpkCCD Fractions\Main Web Page\Web Pages_old\proteomic_fractions_linear_files/Yang_linear_img/402747081.jpg","show blot")</f>
        <v>show blot</v>
      </c>
      <c r="G7208" t="s">
        <v>6974</v>
      </c>
      <c r="I7208" s="6">
        <v>4.6912980773917585</v>
      </c>
      <c r="K7208" s="8"/>
    </row>
    <row r="7209" spans="1:11" ht="15" x14ac:dyDescent="0.25">
      <c r="A7209" s="3" t="str">
        <f>HYPERLINK("proteomic_fractions_linear_files/Yang_linear_img/260436924.jpg", "260436924")</f>
        <v>260436924</v>
      </c>
      <c r="C7209" s="3" t="str">
        <f>HYPERLINK("http://www.ncbi.nlm.nih.gov/protein/260436924","Ss18l1")</f>
        <v>Ss18l1</v>
      </c>
      <c r="E7209" t="str">
        <f>HYPERLINK("J:\Depot - mpkCCD Fractions\Main Web Page\Web Pages_old\proteomic_fractions_linear_files/Yang_linear_img/260436924.jpg","show blot")</f>
        <v>show blot</v>
      </c>
      <c r="G7209" t="s">
        <v>6975</v>
      </c>
      <c r="I7209" s="6">
        <v>3.9426585484575543</v>
      </c>
      <c r="K7209" s="8"/>
    </row>
    <row r="7210" spans="1:11" ht="15" x14ac:dyDescent="0.25">
      <c r="A7210" s="3" t="str">
        <f>HYPERLINK("proteomic_fractions_linear_files/Yang_linear_img/6678143.jpg", "6678143")</f>
        <v>6678143</v>
      </c>
      <c r="C7210" s="3" t="str">
        <f>HYPERLINK("http://www.ncbi.nlm.nih.gov/protein/6678143","Ssb")</f>
        <v>Ssb</v>
      </c>
      <c r="E7210" t="str">
        <f>HYPERLINK("J:\Depot - mpkCCD Fractions\Main Web Page\Web Pages_old\proteomic_fractions_linear_files/Yang_linear_img/6678143.jpg","show blot")</f>
        <v>show blot</v>
      </c>
      <c r="G7210" t="s">
        <v>6976</v>
      </c>
      <c r="I7210" s="6">
        <v>6.2023394179105544</v>
      </c>
      <c r="K7210" s="8"/>
    </row>
    <row r="7211" spans="1:11" ht="15" x14ac:dyDescent="0.25">
      <c r="A7211" s="3" t="str">
        <f>HYPERLINK("proteomic_fractions_linear_files/Yang_linear_img/47058964.jpg", "47058964")</f>
        <v>47058964</v>
      </c>
      <c r="C7211" s="3" t="str">
        <f>HYPERLINK("http://www.ncbi.nlm.nih.gov/protein/47058964","Ssbp1")</f>
        <v>Ssbp1</v>
      </c>
      <c r="E7211" t="str">
        <f>HYPERLINK("J:\Depot - mpkCCD Fractions\Main Web Page\Web Pages_old\proteomic_fractions_linear_files/Yang_linear_img/47058964.jpg","show blot")</f>
        <v>show blot</v>
      </c>
      <c r="G7211" t="s">
        <v>6977</v>
      </c>
      <c r="I7211" s="6">
        <v>4.9930052378974628</v>
      </c>
      <c r="K7211" s="8"/>
    </row>
    <row r="7212" spans="1:11" ht="15" x14ac:dyDescent="0.25">
      <c r="A7212" s="3" t="str">
        <f>HYPERLINK("proteomic_fractions_linear_files/Yang_linear_img/47059026.jpg", "47059026")</f>
        <v>47059026</v>
      </c>
      <c r="C7212" s="3" t="str">
        <f>HYPERLINK("http://www.ncbi.nlm.nih.gov/protein/47059026","Ssbp1")</f>
        <v>Ssbp1</v>
      </c>
      <c r="E7212" t="str">
        <f>HYPERLINK("J:\Depot - mpkCCD Fractions\Main Web Page\Web Pages_old\proteomic_fractions_linear_files/Yang_linear_img/47059026.jpg","show blot")</f>
        <v>show blot</v>
      </c>
      <c r="G7212" t="s">
        <v>6978</v>
      </c>
      <c r="I7212" s="6">
        <v>4.9930052378974628</v>
      </c>
      <c r="K7212" s="8"/>
    </row>
    <row r="7213" spans="1:11" ht="15" x14ac:dyDescent="0.25">
      <c r="A7213" s="3" t="str">
        <f>HYPERLINK("proteomic_fractions_linear_files/Yang_linear_img/37674269.jpg", "37674269")</f>
        <v>37674269</v>
      </c>
      <c r="C7213" s="3" t="str">
        <f>HYPERLINK("http://www.ncbi.nlm.nih.gov/protein/37674269","Ssh3")</f>
        <v>Ssh3</v>
      </c>
      <c r="E7213" t="str">
        <f>HYPERLINK("J:\Depot - mpkCCD Fractions\Main Web Page\Web Pages_old\proteomic_fractions_linear_files/Yang_linear_img/37674269.jpg","show blot")</f>
        <v>show blot</v>
      </c>
      <c r="G7213" t="s">
        <v>6979</v>
      </c>
      <c r="I7213" s="6">
        <v>4.3005772294400346</v>
      </c>
      <c r="K7213" s="8"/>
    </row>
    <row r="7214" spans="1:11" ht="15" x14ac:dyDescent="0.25">
      <c r="A7214" s="3" t="str">
        <f>HYPERLINK("proteomic_fractions_linear_files/Yang_linear_img/12963687.jpg", "12963687")</f>
        <v>12963687</v>
      </c>
      <c r="C7214" s="3" t="str">
        <f>HYPERLINK("http://www.ncbi.nlm.nih.gov/protein/12963687","Ssna1")</f>
        <v>Ssna1</v>
      </c>
      <c r="E7214" t="str">
        <f>HYPERLINK("J:\Depot - mpkCCD Fractions\Main Web Page\Web Pages_old\proteomic_fractions_linear_files/Yang_linear_img/12963687.jpg","show blot")</f>
        <v>show blot</v>
      </c>
      <c r="G7214" t="s">
        <v>6980</v>
      </c>
      <c r="I7214" s="6">
        <v>4.1635516435329603</v>
      </c>
      <c r="K7214" s="8"/>
    </row>
    <row r="7215" spans="1:11" ht="15" x14ac:dyDescent="0.25">
      <c r="A7215" s="3" t="str">
        <f>HYPERLINK("proteomic_fractions_linear_files/Yang_linear_img/165377206.jpg", "165377206")</f>
        <v>165377206</v>
      </c>
      <c r="C7215" s="3" t="str">
        <f>HYPERLINK("http://www.ncbi.nlm.nih.gov/protein/165377206","Ssr1")</f>
        <v>Ssr1</v>
      </c>
      <c r="E7215" t="str">
        <f>HYPERLINK("J:\Depot - mpkCCD Fractions\Main Web Page\Web Pages_old\proteomic_fractions_linear_files/Yang_linear_img/165377206.jpg","show blot")</f>
        <v>show blot</v>
      </c>
      <c r="G7215" t="s">
        <v>6981</v>
      </c>
      <c r="I7215" s="6">
        <v>5.1202661368396063</v>
      </c>
      <c r="K7215" s="8"/>
    </row>
    <row r="7216" spans="1:11" ht="15" x14ac:dyDescent="0.25">
      <c r="A7216" s="3" t="str">
        <f>HYPERLINK("proteomic_fractions_linear_files/Yang_linear_img/21312968.jpg", "21312968")</f>
        <v>21312968</v>
      </c>
      <c r="C7216" s="3" t="str">
        <f>HYPERLINK("http://www.ncbi.nlm.nih.gov/protein/21312968","Ssr3")</f>
        <v>Ssr3</v>
      </c>
      <c r="E7216" t="str">
        <f>HYPERLINK("J:\Depot - mpkCCD Fractions\Main Web Page\Web Pages_old\proteomic_fractions_linear_files/Yang_linear_img/21312968.jpg","show blot")</f>
        <v>show blot</v>
      </c>
      <c r="G7216" t="s">
        <v>6982</v>
      </c>
      <c r="I7216" s="6">
        <v>5.3567913012167638</v>
      </c>
      <c r="K7216" s="8"/>
    </row>
    <row r="7217" spans="1:11" ht="15" x14ac:dyDescent="0.25">
      <c r="A7217" s="3" t="str">
        <f>HYPERLINK("proteomic_fractions_linear_files/Yang_linear_img/262050625.jpg", "262050625")</f>
        <v>262050625</v>
      </c>
      <c r="C7217" s="3" t="str">
        <f>HYPERLINK("http://www.ncbi.nlm.nih.gov/protein/262050625","Ssr4")</f>
        <v>Ssr4</v>
      </c>
      <c r="E7217" t="str">
        <f>HYPERLINK("J:\Depot - mpkCCD Fractions\Main Web Page\Web Pages_old\proteomic_fractions_linear_files/Yang_linear_img/262050625.jpg","show blot")</f>
        <v>show blot</v>
      </c>
      <c r="G7217" t="s">
        <v>6983</v>
      </c>
      <c r="I7217" s="6">
        <v>5.8318060000055247</v>
      </c>
      <c r="K7217" s="8"/>
    </row>
    <row r="7218" spans="1:11" ht="15" x14ac:dyDescent="0.25">
      <c r="A7218" s="3" t="str">
        <f>HYPERLINK("proteomic_fractions_linear_files/Yang_linear_img/6678145.jpg", "6678145")</f>
        <v>6678145</v>
      </c>
      <c r="C7218" s="3" t="str">
        <f>HYPERLINK("http://www.ncbi.nlm.nih.gov/protein/6678145","Ssr4")</f>
        <v>Ssr4</v>
      </c>
      <c r="E7218" t="str">
        <f>HYPERLINK("J:\Depot - mpkCCD Fractions\Main Web Page\Web Pages_old\proteomic_fractions_linear_files/Yang_linear_img/6678145.jpg","show blot")</f>
        <v>show blot</v>
      </c>
      <c r="G7218" t="s">
        <v>6984</v>
      </c>
      <c r="I7218" s="6">
        <v>5.8318060000055247</v>
      </c>
      <c r="K7218" s="8"/>
    </row>
    <row r="7219" spans="1:11" ht="15" x14ac:dyDescent="0.25">
      <c r="A7219" s="3" t="str">
        <f>HYPERLINK("proteomic_fractions_linear_files/Yang_linear_img/111154063.jpg", "111154063")</f>
        <v>111154063</v>
      </c>
      <c r="C7219" s="3" t="str">
        <f>HYPERLINK("http://www.ncbi.nlm.nih.gov/protein/111154063","Ssrp1")</f>
        <v>Ssrp1</v>
      </c>
      <c r="E7219" t="str">
        <f>HYPERLINK("J:\Depot - mpkCCD Fractions\Main Web Page\Web Pages_old\proteomic_fractions_linear_files/Yang_linear_img/111154063.jpg","show blot")</f>
        <v>show blot</v>
      </c>
      <c r="G7219" t="s">
        <v>6985</v>
      </c>
      <c r="I7219" s="6">
        <v>5.0489898588510815</v>
      </c>
      <c r="K7219" s="8"/>
    </row>
    <row r="7220" spans="1:11" ht="15" x14ac:dyDescent="0.25">
      <c r="A7220" s="3" t="str">
        <f>HYPERLINK("proteomic_fractions_linear_files/Yang_linear_img/31543773.jpg", "31543773")</f>
        <v>31543773</v>
      </c>
      <c r="C7220" s="3" t="str">
        <f>HYPERLINK("http://www.ncbi.nlm.nih.gov/protein/31543773","Sssca1")</f>
        <v>Sssca1</v>
      </c>
      <c r="E7220" t="str">
        <f>HYPERLINK("J:\Depot - mpkCCD Fractions\Main Web Page\Web Pages_old\proteomic_fractions_linear_files/Yang_linear_img/31543773.jpg","show blot")</f>
        <v>show blot</v>
      </c>
      <c r="G7220" t="s">
        <v>6986</v>
      </c>
      <c r="I7220" s="6">
        <v>5.2064124198440025</v>
      </c>
      <c r="K7220" s="8"/>
    </row>
    <row r="7221" spans="1:11" ht="15" x14ac:dyDescent="0.25">
      <c r="A7221" s="3" t="str">
        <f>HYPERLINK("proteomic_fractions_linear_files/Yang_linear_img/172088095.jpg", "172088095")</f>
        <v>172088095</v>
      </c>
      <c r="C7221" s="3" t="str">
        <f>HYPERLINK("http://www.ncbi.nlm.nih.gov/protein/172088095","Ssu72")</f>
        <v>Ssu72</v>
      </c>
      <c r="E7221" t="str">
        <f>HYPERLINK("J:\Depot - mpkCCD Fractions\Main Web Page\Web Pages_old\proteomic_fractions_linear_files/Yang_linear_img/172088095.jpg","show blot")</f>
        <v>show blot</v>
      </c>
      <c r="G7221" t="s">
        <v>6987</v>
      </c>
      <c r="I7221" s="6">
        <v>4.3343024823694991</v>
      </c>
      <c r="K7221" s="8"/>
    </row>
    <row r="7222" spans="1:11" ht="15" x14ac:dyDescent="0.25">
      <c r="A7222" s="3" t="str">
        <f>HYPERLINK("proteomic_fractions_linear_files/Yang_linear_img/19526912.jpg", "19526912")</f>
        <v>19526912</v>
      </c>
      <c r="C7222" s="3" t="str">
        <f>HYPERLINK("http://www.ncbi.nlm.nih.gov/protein/19526912","St13")</f>
        <v>St13</v>
      </c>
      <c r="E7222" t="str">
        <f>HYPERLINK("J:\Depot - mpkCCD Fractions\Main Web Page\Web Pages_old\proteomic_fractions_linear_files/Yang_linear_img/19526912.jpg","show blot")</f>
        <v>show blot</v>
      </c>
      <c r="G7222" t="s">
        <v>6988</v>
      </c>
      <c r="I7222" s="6">
        <v>6.6075818421341177</v>
      </c>
      <c r="K7222" s="8"/>
    </row>
    <row r="7223" spans="1:11" ht="15" x14ac:dyDescent="0.25">
      <c r="A7223" s="3" t="str">
        <f>HYPERLINK("proteomic_fractions_linear_files/Yang_linear_img/7363445.jpg", "7363445")</f>
        <v>7363445</v>
      </c>
      <c r="C7223" s="3" t="str">
        <f>HYPERLINK("http://www.ncbi.nlm.nih.gov/protein/7363445","St14")</f>
        <v>St14</v>
      </c>
      <c r="E7223" t="str">
        <f>HYPERLINK("J:\Depot - mpkCCD Fractions\Main Web Page\Web Pages_old\proteomic_fractions_linear_files/Yang_linear_img/7363445.jpg","show blot")</f>
        <v>show blot</v>
      </c>
      <c r="G7223" t="s">
        <v>6989</v>
      </c>
      <c r="I7223" s="6">
        <v>4.5351178804293433</v>
      </c>
      <c r="K7223" s="8"/>
    </row>
    <row r="7224" spans="1:11" ht="15" x14ac:dyDescent="0.25">
      <c r="A7224" s="3" t="str">
        <f>HYPERLINK("proteomic_fractions_linear_files/Yang_linear_img/9055352.jpg", "9055352")</f>
        <v>9055352</v>
      </c>
      <c r="C7224" s="3" t="str">
        <f>HYPERLINK("http://www.ncbi.nlm.nih.gov/protein/9055352","St3gal6")</f>
        <v>St3gal6</v>
      </c>
      <c r="E7224" t="str">
        <f>HYPERLINK("J:\Depot - mpkCCD Fractions\Main Web Page\Web Pages_old\proteomic_fractions_linear_files/Yang_linear_img/9055352.jpg","show blot")</f>
        <v>show blot</v>
      </c>
      <c r="G7224" t="s">
        <v>6990</v>
      </c>
      <c r="I7224" s="6">
        <v>3.7984208374830111</v>
      </c>
      <c r="K7224" s="8"/>
    </row>
    <row r="7225" spans="1:11" ht="15" x14ac:dyDescent="0.25">
      <c r="A7225" s="3" t="str">
        <f>HYPERLINK("proteomic_fractions_linear_files/Yang_linear_img/118150672.jpg", "118150672")</f>
        <v>118150672</v>
      </c>
      <c r="C7225" s="3" t="str">
        <f>HYPERLINK("http://www.ncbi.nlm.nih.gov/protein/118150672","Stag2")</f>
        <v>Stag2</v>
      </c>
      <c r="E7225" t="str">
        <f>HYPERLINK("J:\Depot - mpkCCD Fractions\Main Web Page\Web Pages_old\proteomic_fractions_linear_files/Yang_linear_img/118150672.jpg","show blot")</f>
        <v>show blot</v>
      </c>
      <c r="G7225" t="s">
        <v>6991</v>
      </c>
      <c r="I7225" s="6">
        <v>3.6696399371337591</v>
      </c>
      <c r="K7225" s="8"/>
    </row>
    <row r="7226" spans="1:11" ht="15" x14ac:dyDescent="0.25">
      <c r="A7226" s="3" t="str">
        <f>HYPERLINK("proteomic_fractions_linear_files/Yang_linear_img/6755668.jpg", "6755668")</f>
        <v>6755668</v>
      </c>
      <c r="C7226" s="3" t="str">
        <f>HYPERLINK("http://www.ncbi.nlm.nih.gov/protein/6755668","Stam")</f>
        <v>Stam</v>
      </c>
      <c r="E7226" t="str">
        <f>HYPERLINK("J:\Depot - mpkCCD Fractions\Main Web Page\Web Pages_old\proteomic_fractions_linear_files/Yang_linear_img/6755668.jpg","show blot")</f>
        <v>show blot</v>
      </c>
      <c r="G7226" t="s">
        <v>6992</v>
      </c>
      <c r="I7226" s="6">
        <v>4.3473983049041491</v>
      </c>
      <c r="K7226" s="8"/>
    </row>
    <row r="7227" spans="1:11" ht="15" x14ac:dyDescent="0.25">
      <c r="A7227" s="3" t="str">
        <f>HYPERLINK("proteomic_fractions_linear_files/Yang_linear_img/9789975.jpg", "9789975")</f>
        <v>9789975</v>
      </c>
      <c r="C7227" s="3" t="str">
        <f>HYPERLINK("http://www.ncbi.nlm.nih.gov/protein/9789975","Stam2")</f>
        <v>Stam2</v>
      </c>
      <c r="E7227" t="str">
        <f>HYPERLINK("J:\Depot - mpkCCD Fractions\Main Web Page\Web Pages_old\proteomic_fractions_linear_files/Yang_linear_img/9789975.jpg","show blot")</f>
        <v>show blot</v>
      </c>
      <c r="G7227" t="s">
        <v>6993</v>
      </c>
      <c r="I7227" s="6">
        <v>4.4082490162576216</v>
      </c>
      <c r="K7227" s="8"/>
    </row>
    <row r="7228" spans="1:11" ht="15" x14ac:dyDescent="0.25">
      <c r="A7228" s="3" t="str">
        <f>HYPERLINK("proteomic_fractions_linear_files/Yang_linear_img/17941277.jpg", "17941277")</f>
        <v>17941277</v>
      </c>
      <c r="C7228" s="3" t="str">
        <f>HYPERLINK("http://www.ncbi.nlm.nih.gov/protein/17941277","Stambp")</f>
        <v>Stambp</v>
      </c>
      <c r="E7228" t="str">
        <f>HYPERLINK("J:\Depot - mpkCCD Fractions\Main Web Page\Web Pages_old\proteomic_fractions_linear_files/Yang_linear_img/17941277.jpg","show blot")</f>
        <v>show blot</v>
      </c>
      <c r="G7228" t="s">
        <v>6994</v>
      </c>
      <c r="I7228" s="6">
        <v>4.8327143784381938</v>
      </c>
      <c r="K7228" s="8"/>
    </row>
    <row r="7229" spans="1:11" ht="15" x14ac:dyDescent="0.25">
      <c r="A7229" s="3" t="str">
        <f>HYPERLINK("proteomic_fractions_linear_files/Yang_linear_img/22122357.jpg", "22122357")</f>
        <v>22122357</v>
      </c>
      <c r="C7229" s="3" t="str">
        <f>HYPERLINK("http://www.ncbi.nlm.nih.gov/protein/22122357","Stap2")</f>
        <v>Stap2</v>
      </c>
      <c r="E7229" t="str">
        <f>HYPERLINK("J:\Depot - mpkCCD Fractions\Main Web Page\Web Pages_old\proteomic_fractions_linear_files/Yang_linear_img/22122357.jpg","show blot")</f>
        <v>show blot</v>
      </c>
      <c r="G7229" t="s">
        <v>6995</v>
      </c>
      <c r="I7229" s="6">
        <v>3.6670104471809002</v>
      </c>
      <c r="K7229" s="8"/>
    </row>
    <row r="7230" spans="1:11" ht="15" x14ac:dyDescent="0.25">
      <c r="A7230" s="3" t="str">
        <f>HYPERLINK("proteomic_fractions_linear_files/Yang_linear_img/9910482.jpg", "9910482")</f>
        <v>9910482</v>
      </c>
      <c r="C7230" s="3" t="str">
        <f>HYPERLINK("http://www.ncbi.nlm.nih.gov/protein/9910482","Stard10")</f>
        <v>Stard10</v>
      </c>
      <c r="E7230" t="str">
        <f>HYPERLINK("J:\Depot - mpkCCD Fractions\Main Web Page\Web Pages_old\proteomic_fractions_linear_files/Yang_linear_img/9910482.jpg","show blot")</f>
        <v>show blot</v>
      </c>
      <c r="G7230" t="s">
        <v>6996</v>
      </c>
      <c r="I7230" s="6">
        <v>5.350573205696163</v>
      </c>
      <c r="K7230" s="8"/>
    </row>
    <row r="7231" spans="1:11" ht="15" x14ac:dyDescent="0.25">
      <c r="A7231" s="3" t="str">
        <f>HYPERLINK("proteomic_fractions_linear_files/Yang_linear_img/10946984.jpg", "10946984")</f>
        <v>10946984</v>
      </c>
      <c r="C7231" s="3" t="str">
        <f>HYPERLINK("http://www.ncbi.nlm.nih.gov/protein/10946984","Stard3")</f>
        <v>Stard3</v>
      </c>
      <c r="E7231" t="str">
        <f>HYPERLINK("J:\Depot - mpkCCD Fractions\Main Web Page\Web Pages_old\proteomic_fractions_linear_files/Yang_linear_img/10946984.jpg","show blot")</f>
        <v>show blot</v>
      </c>
      <c r="G7231" t="s">
        <v>6997</v>
      </c>
      <c r="I7231" s="6">
        <v>2.2419944891567805</v>
      </c>
      <c r="K7231" s="8"/>
    </row>
    <row r="7232" spans="1:11" ht="15" x14ac:dyDescent="0.25">
      <c r="A7232" s="3" t="str">
        <f>HYPERLINK("proteomic_fractions_linear_files/Yang_linear_img/70794799.jpg", "70794799")</f>
        <v>70794799</v>
      </c>
      <c r="C7232" s="3" t="str">
        <f>HYPERLINK("http://www.ncbi.nlm.nih.gov/protein/70794799","Stard3nl")</f>
        <v>Stard3nl</v>
      </c>
      <c r="E7232" t="str">
        <f>HYPERLINK("J:\Depot - mpkCCD Fractions\Main Web Page\Web Pages_old\proteomic_fractions_linear_files/Yang_linear_img/70794799.jpg","show blot")</f>
        <v>show blot</v>
      </c>
      <c r="G7232" t="s">
        <v>6998</v>
      </c>
      <c r="I7232" s="6">
        <v>2.4089305674524488</v>
      </c>
      <c r="K7232" s="8"/>
    </row>
    <row r="7233" spans="1:11" ht="15" x14ac:dyDescent="0.25">
      <c r="A7233" s="3" t="str">
        <f>HYPERLINK("proteomic_fractions_linear_files/Yang_linear_img/21218432.jpg", "21218432")</f>
        <v>21218432</v>
      </c>
      <c r="C7233" s="3" t="str">
        <f>HYPERLINK("http://www.ncbi.nlm.nih.gov/protein/21218432","Stard5")</f>
        <v>Stard5</v>
      </c>
      <c r="E7233" t="str">
        <f>HYPERLINK("J:\Depot - mpkCCD Fractions\Main Web Page\Web Pages_old\proteomic_fractions_linear_files/Yang_linear_img/21218432.jpg","show blot")</f>
        <v>show blot</v>
      </c>
      <c r="G7233" t="s">
        <v>6999</v>
      </c>
      <c r="I7233" s="6">
        <v>1.7973252582182562</v>
      </c>
      <c r="K7233" s="8"/>
    </row>
    <row r="7234" spans="1:11" ht="15" x14ac:dyDescent="0.25">
      <c r="A7234" s="3" t="str">
        <f>HYPERLINK("proteomic_fractions_linear_files/Yang_linear_img/114326482;328887938.jpg", "114326482;328887938")</f>
        <v>114326482;328887938</v>
      </c>
      <c r="C7234" s="3" t="str">
        <f>HYPERLINK("http://www.ncbi.nlm.nih.gov/protein/114326482;328887938","Stat1")</f>
        <v>Stat1</v>
      </c>
      <c r="E7234" t="str">
        <f>HYPERLINK("J:\Depot - mpkCCD Fractions\Main Web Page\Web Pages_old\proteomic_fractions_linear_files/Yang_linear_img/114326482;328887938.jpg","show blot")</f>
        <v>show blot</v>
      </c>
      <c r="G7234" t="s">
        <v>7000</v>
      </c>
      <c r="I7234" s="6">
        <v>4.7674090427106082</v>
      </c>
      <c r="K7234" s="8"/>
    </row>
    <row r="7235" spans="1:11" ht="15" x14ac:dyDescent="0.25">
      <c r="A7235" s="3" t="str">
        <f>HYPERLINK("proteomic_fractions_linear_files/Yang_linear_img/114326482.jpg", "114326482")</f>
        <v>114326482</v>
      </c>
      <c r="C7235" s="3" t="str">
        <f>HYPERLINK("http://www.ncbi.nlm.nih.gov/protein/114326482","Stat1")</f>
        <v>Stat1</v>
      </c>
      <c r="E7235" t="str">
        <f>HYPERLINK("J:\Depot - mpkCCD Fractions\Main Web Page\Web Pages_old\proteomic_fractions_linear_files/Yang_linear_img/114326482.jpg","show blot")</f>
        <v>show blot</v>
      </c>
      <c r="G7235" t="s">
        <v>7000</v>
      </c>
      <c r="I7235" s="6">
        <v>4.7674090427106082</v>
      </c>
      <c r="K7235" s="8"/>
    </row>
    <row r="7236" spans="1:11" ht="15" x14ac:dyDescent="0.25">
      <c r="A7236" s="3" t="str">
        <f>HYPERLINK("proteomic_fractions_linear_files/Yang_linear_img/328887938;114326482.jpg", "328887938;114326482")</f>
        <v>328887938;114326482</v>
      </c>
      <c r="C7236" s="3" t="str">
        <f>HYPERLINK("http://www.ncbi.nlm.nih.gov/protein/328887938;114326482","Stat1")</f>
        <v>Stat1</v>
      </c>
      <c r="E7236" t="str">
        <f>HYPERLINK("J:\Depot - mpkCCD Fractions\Main Web Page\Web Pages_old\proteomic_fractions_linear_files/Yang_linear_img/328887938;114326482.jpg","show blot")</f>
        <v>show blot</v>
      </c>
      <c r="G7236" t="s">
        <v>7000</v>
      </c>
      <c r="I7236" s="6">
        <v>4.7674090427106082</v>
      </c>
      <c r="K7236" s="8"/>
    </row>
    <row r="7237" spans="1:11" ht="15" x14ac:dyDescent="0.25">
      <c r="A7237" s="3" t="str">
        <f>HYPERLINK("proteomic_fractions_linear_files/Yang_linear_img/328887935.jpg", "328887935")</f>
        <v>328887935</v>
      </c>
      <c r="C7237" s="3" t="str">
        <f>HYPERLINK("http://www.ncbi.nlm.nih.gov/protein/328887935","Stat1")</f>
        <v>Stat1</v>
      </c>
      <c r="E7237" t="str">
        <f>HYPERLINK("J:\Depot - mpkCCD Fractions\Main Web Page\Web Pages_old\proteomic_fractions_linear_files/Yang_linear_img/328887935.jpg","show blot")</f>
        <v>show blot</v>
      </c>
      <c r="G7237" t="s">
        <v>7001</v>
      </c>
      <c r="I7237" s="6">
        <v>4.7674090427106082</v>
      </c>
      <c r="K7237" s="8"/>
    </row>
    <row r="7238" spans="1:11" ht="15" x14ac:dyDescent="0.25">
      <c r="A7238" s="3" t="str">
        <f>HYPERLINK("proteomic_fractions_linear_files/Yang_linear_img/9910572.jpg", "9910572")</f>
        <v>9910572</v>
      </c>
      <c r="C7238" s="3" t="str">
        <f>HYPERLINK("http://www.ncbi.nlm.nih.gov/protein/9910572","Stat2")</f>
        <v>Stat2</v>
      </c>
      <c r="E7238" t="str">
        <f>HYPERLINK("J:\Depot - mpkCCD Fractions\Main Web Page\Web Pages_old\proteomic_fractions_linear_files/Yang_linear_img/9910572.jpg","show blot")</f>
        <v>show blot</v>
      </c>
      <c r="G7238" t="s">
        <v>7002</v>
      </c>
      <c r="I7238" s="6">
        <v>3.230292264404941</v>
      </c>
      <c r="K7238" s="8"/>
    </row>
    <row r="7239" spans="1:11" ht="15" x14ac:dyDescent="0.25">
      <c r="A7239" s="3" t="str">
        <f>HYPERLINK("proteomic_fractions_linear_files/Yang_linear_img/22094115.jpg", "22094115")</f>
        <v>22094115</v>
      </c>
      <c r="C7239" s="3" t="str">
        <f>HYPERLINK("http://www.ncbi.nlm.nih.gov/protein/22094115","Stat3")</f>
        <v>Stat3</v>
      </c>
      <c r="E7239" t="str">
        <f>HYPERLINK("J:\Depot - mpkCCD Fractions\Main Web Page\Web Pages_old\proteomic_fractions_linear_files/Yang_linear_img/22094115.jpg","show blot")</f>
        <v>show blot</v>
      </c>
      <c r="G7239" t="s">
        <v>7003</v>
      </c>
      <c r="I7239" s="6">
        <v>4.4194911612594883</v>
      </c>
      <c r="K7239" s="8"/>
    </row>
    <row r="7240" spans="1:11" ht="15" x14ac:dyDescent="0.25">
      <c r="A7240" s="3" t="str">
        <f>HYPERLINK("proteomic_fractions_linear_files/Yang_linear_img/47458804.jpg", "47458804")</f>
        <v>47458804</v>
      </c>
      <c r="C7240" s="3" t="str">
        <f>HYPERLINK("http://www.ncbi.nlm.nih.gov/protein/47458804","Stat3")</f>
        <v>Stat3</v>
      </c>
      <c r="E7240" t="str">
        <f>HYPERLINK("J:\Depot - mpkCCD Fractions\Main Web Page\Web Pages_old\proteomic_fractions_linear_files/Yang_linear_img/47458804.jpg","show blot")</f>
        <v>show blot</v>
      </c>
      <c r="G7240" t="s">
        <v>7004</v>
      </c>
      <c r="I7240" s="6">
        <v>4.4194911612594883</v>
      </c>
      <c r="K7240" s="8"/>
    </row>
    <row r="7241" spans="1:11" ht="15" x14ac:dyDescent="0.25">
      <c r="A7241" s="3" t="str">
        <f>HYPERLINK("proteomic_fractions_linear_files/Yang_linear_img/47458807.jpg", "47458807")</f>
        <v>47458807</v>
      </c>
      <c r="C7241" s="3" t="str">
        <f>HYPERLINK("http://www.ncbi.nlm.nih.gov/protein/47458807","Stat3")</f>
        <v>Stat3</v>
      </c>
      <c r="E7241" t="str">
        <f>HYPERLINK("J:\Depot - mpkCCD Fractions\Main Web Page\Web Pages_old\proteomic_fractions_linear_files/Yang_linear_img/47458807.jpg","show blot")</f>
        <v>show blot</v>
      </c>
      <c r="G7241" t="s">
        <v>7005</v>
      </c>
      <c r="I7241" s="6">
        <v>4.4194911612594883</v>
      </c>
      <c r="K7241" s="8"/>
    </row>
    <row r="7242" spans="1:11" ht="15" x14ac:dyDescent="0.25">
      <c r="A7242" s="3" t="str">
        <f>HYPERLINK("proteomic_fractions_linear_files/Yang_linear_img/255759968.jpg", "255759968")</f>
        <v>255759968</v>
      </c>
      <c r="C7242" s="3" t="str">
        <f>HYPERLINK("http://www.ncbi.nlm.nih.gov/protein/255759968","Stat5a")</f>
        <v>Stat5a</v>
      </c>
      <c r="E7242" t="str">
        <f>HYPERLINK("J:\Depot - mpkCCD Fractions\Main Web Page\Web Pages_old\proteomic_fractions_linear_files/Yang_linear_img/255759968.jpg","show blot")</f>
        <v>show blot</v>
      </c>
      <c r="G7242" t="s">
        <v>7006</v>
      </c>
      <c r="I7242" s="6">
        <v>4.2653615634773265</v>
      </c>
      <c r="K7242" s="8"/>
    </row>
    <row r="7243" spans="1:11" ht="15" x14ac:dyDescent="0.25">
      <c r="A7243" s="3" t="str">
        <f>HYPERLINK("proteomic_fractions_linear_files/Yang_linear_img/6755672.jpg", "6755672")</f>
        <v>6755672</v>
      </c>
      <c r="C7243" s="3" t="str">
        <f>HYPERLINK("http://www.ncbi.nlm.nih.gov/protein/6755672","Stat5a")</f>
        <v>Stat5a</v>
      </c>
      <c r="E7243" t="str">
        <f>HYPERLINK("J:\Depot - mpkCCD Fractions\Main Web Page\Web Pages_old\proteomic_fractions_linear_files/Yang_linear_img/6755672.jpg","show blot")</f>
        <v>show blot</v>
      </c>
      <c r="G7243" t="s">
        <v>7007</v>
      </c>
      <c r="I7243" s="6">
        <v>4.2653615634773265</v>
      </c>
      <c r="K7243" s="8"/>
    </row>
    <row r="7244" spans="1:11" ht="15" x14ac:dyDescent="0.25">
      <c r="A7244" s="3" t="str">
        <f>HYPERLINK("proteomic_fractions_linear_files/Yang_linear_img/165932366.jpg", "165932366")</f>
        <v>165932366</v>
      </c>
      <c r="C7244" s="3" t="str">
        <f>HYPERLINK("http://www.ncbi.nlm.nih.gov/protein/165932366","Stat5b")</f>
        <v>Stat5b</v>
      </c>
      <c r="E7244" t="str">
        <f>HYPERLINK("J:\Depot - mpkCCD Fractions\Main Web Page\Web Pages_old\proteomic_fractions_linear_files/Yang_linear_img/165932366.jpg","show blot")</f>
        <v>show blot</v>
      </c>
      <c r="G7244" t="s">
        <v>7008</v>
      </c>
      <c r="I7244" s="6">
        <v>4.2701604463590952</v>
      </c>
      <c r="K7244" s="8"/>
    </row>
    <row r="7245" spans="1:11" ht="15" x14ac:dyDescent="0.25">
      <c r="A7245" s="3" t="str">
        <f>HYPERLINK("proteomic_fractions_linear_files/Yang_linear_img/128485774.jpg", "128485774")</f>
        <v>128485774</v>
      </c>
      <c r="C7245" s="3" t="str">
        <f>HYPERLINK("http://www.ncbi.nlm.nih.gov/protein/128485774","Stat6")</f>
        <v>Stat6</v>
      </c>
      <c r="E7245" t="str">
        <f>HYPERLINK("J:\Depot - mpkCCD Fractions\Main Web Page\Web Pages_old\proteomic_fractions_linear_files/Yang_linear_img/128485774.jpg","show blot")</f>
        <v>show blot</v>
      </c>
      <c r="G7245" t="s">
        <v>7009</v>
      </c>
      <c r="I7245" s="6">
        <v>3.902143496913633</v>
      </c>
      <c r="K7245" s="8"/>
    </row>
    <row r="7246" spans="1:11" ht="15" x14ac:dyDescent="0.25">
      <c r="A7246" s="3" t="str">
        <f>HYPERLINK("proteomic_fractions_linear_files/Yang_linear_img/158186639.jpg", "158186639")</f>
        <v>158186639</v>
      </c>
      <c r="C7246" s="3" t="str">
        <f>HYPERLINK("http://www.ncbi.nlm.nih.gov/protein/158186639","Stau1")</f>
        <v>Stau1</v>
      </c>
      <c r="E7246" t="str">
        <f>HYPERLINK("J:\Depot - mpkCCD Fractions\Main Web Page\Web Pages_old\proteomic_fractions_linear_files/Yang_linear_img/158186639.jpg","show blot")</f>
        <v>show blot</v>
      </c>
      <c r="G7246" t="s">
        <v>7010</v>
      </c>
      <c r="I7246" s="6">
        <v>4.9102879922135747</v>
      </c>
      <c r="K7246" s="8"/>
    </row>
    <row r="7247" spans="1:11" ht="15" x14ac:dyDescent="0.25">
      <c r="A7247" s="3" t="str">
        <f>HYPERLINK("proteomic_fractions_linear_files/Yang_linear_img/158186641.jpg", "158186641")</f>
        <v>158186641</v>
      </c>
      <c r="C7247" s="3" t="str">
        <f>HYPERLINK("http://www.ncbi.nlm.nih.gov/protein/158186641","Stau1")</f>
        <v>Stau1</v>
      </c>
      <c r="E7247" t="str">
        <f>HYPERLINK("J:\Depot - mpkCCD Fractions\Main Web Page\Web Pages_old\proteomic_fractions_linear_files/Yang_linear_img/158186641.jpg","show blot")</f>
        <v>show blot</v>
      </c>
      <c r="G7247" t="s">
        <v>7011</v>
      </c>
      <c r="I7247" s="6">
        <v>4.9102879922135747</v>
      </c>
      <c r="K7247" s="8"/>
    </row>
    <row r="7248" spans="1:11" ht="15" x14ac:dyDescent="0.25">
      <c r="A7248" s="3" t="str">
        <f>HYPERLINK("proteomic_fractions_linear_files/Yang_linear_img/6755674.jpg", "6755674")</f>
        <v>6755674</v>
      </c>
      <c r="C7248" s="3" t="str">
        <f>HYPERLINK("http://www.ncbi.nlm.nih.gov/protein/6755674","Stau1")</f>
        <v>Stau1</v>
      </c>
      <c r="E7248" t="str">
        <f>HYPERLINK("J:\Depot - mpkCCD Fractions\Main Web Page\Web Pages_old\proteomic_fractions_linear_files/Yang_linear_img/6755674.jpg","show blot")</f>
        <v>show blot</v>
      </c>
      <c r="G7248" t="s">
        <v>7012</v>
      </c>
      <c r="I7248" s="6">
        <v>4.9102879922135747</v>
      </c>
      <c r="K7248" s="8"/>
    </row>
    <row r="7249" spans="1:11" ht="15" x14ac:dyDescent="0.25">
      <c r="A7249" s="3" t="str">
        <f>HYPERLINK("proteomic_fractions_linear_files/Yang_linear_img/162287083.jpg", "162287083")</f>
        <v>162287083</v>
      </c>
      <c r="C7249" s="3" t="str">
        <f>HYPERLINK("http://www.ncbi.nlm.nih.gov/protein/162287083","Stau2")</f>
        <v>Stau2</v>
      </c>
      <c r="E7249" t="str">
        <f>HYPERLINK("J:\Depot - mpkCCD Fractions\Main Web Page\Web Pages_old\proteomic_fractions_linear_files/Yang_linear_img/162287083.jpg","show blot")</f>
        <v>show blot</v>
      </c>
      <c r="G7249" t="s">
        <v>7013</v>
      </c>
      <c r="I7249" s="6">
        <v>2.3204983406714348</v>
      </c>
      <c r="K7249" s="8"/>
    </row>
    <row r="7250" spans="1:11" ht="15" x14ac:dyDescent="0.25">
      <c r="A7250" s="3" t="str">
        <f>HYPERLINK("proteomic_fractions_linear_files/Yang_linear_img/194018455.jpg", "194018455")</f>
        <v>194018455</v>
      </c>
      <c r="C7250" s="3" t="str">
        <f>HYPERLINK("http://www.ncbi.nlm.nih.gov/protein/194018455","Stau2")</f>
        <v>Stau2</v>
      </c>
      <c r="E7250" t="str">
        <f>HYPERLINK("J:\Depot - mpkCCD Fractions\Main Web Page\Web Pages_old\proteomic_fractions_linear_files/Yang_linear_img/194018455.jpg","show blot")</f>
        <v>show blot</v>
      </c>
      <c r="G7250" t="s">
        <v>7014</v>
      </c>
      <c r="I7250" s="6">
        <v>2.3204983406714348</v>
      </c>
      <c r="K7250" s="8"/>
    </row>
    <row r="7251" spans="1:11" ht="15" x14ac:dyDescent="0.25">
      <c r="A7251" s="3" t="str">
        <f>HYPERLINK("proteomic_fractions_linear_files/Yang_linear_img/254553462.jpg", "254553462")</f>
        <v>254553462</v>
      </c>
      <c r="C7251" s="3" t="str">
        <f>HYPERLINK("http://www.ncbi.nlm.nih.gov/protein/254553462","Steap1")</f>
        <v>Steap1</v>
      </c>
      <c r="E7251" t="str">
        <f>HYPERLINK("J:\Depot - mpkCCD Fractions\Main Web Page\Web Pages_old\proteomic_fractions_linear_files/Yang_linear_img/254553462.jpg","show blot")</f>
        <v>show blot</v>
      </c>
      <c r="G7251" t="s">
        <v>7015</v>
      </c>
      <c r="I7251" s="6">
        <v>2.5309545650535314</v>
      </c>
      <c r="K7251" s="8"/>
    </row>
    <row r="7252" spans="1:11" ht="15" x14ac:dyDescent="0.25">
      <c r="A7252" s="3" t="str">
        <f>HYPERLINK("proteomic_fractions_linear_files/Yang_linear_img/124249344.jpg", "124249344")</f>
        <v>124249344</v>
      </c>
      <c r="C7252" s="3" t="str">
        <f>HYPERLINK("http://www.ncbi.nlm.nih.gov/protein/124249344","Steap2")</f>
        <v>Steap2</v>
      </c>
      <c r="E7252" t="str">
        <f>HYPERLINK("J:\Depot - mpkCCD Fractions\Main Web Page\Web Pages_old\proteomic_fractions_linear_files/Yang_linear_img/124249344.jpg","show blot")</f>
        <v>show blot</v>
      </c>
      <c r="G7252" t="s">
        <v>7016</v>
      </c>
      <c r="I7252" s="6">
        <v>3.1202219224811958</v>
      </c>
      <c r="K7252" s="8"/>
    </row>
    <row r="7253" spans="1:11" ht="15" x14ac:dyDescent="0.25">
      <c r="A7253" s="3" t="str">
        <f>HYPERLINK("proteomic_fractions_linear_files/Yang_linear_img/31981983.jpg", "31981983")</f>
        <v>31981983</v>
      </c>
      <c r="C7253" s="3" t="str">
        <f>HYPERLINK("http://www.ncbi.nlm.nih.gov/protein/31981983","Stim1")</f>
        <v>Stim1</v>
      </c>
      <c r="E7253" t="str">
        <f>HYPERLINK("J:\Depot - mpkCCD Fractions\Main Web Page\Web Pages_old\proteomic_fractions_linear_files/Yang_linear_img/31981983.jpg","show blot")</f>
        <v>show blot</v>
      </c>
      <c r="G7253" t="s">
        <v>7017</v>
      </c>
      <c r="I7253" s="6">
        <v>2.7503880788564352</v>
      </c>
      <c r="K7253" s="8"/>
    </row>
    <row r="7254" spans="1:11" ht="15" x14ac:dyDescent="0.25">
      <c r="A7254" s="3" t="str">
        <f>HYPERLINK("proteomic_fractions_linear_files/Yang_linear_img/281182368.jpg", "281182368")</f>
        <v>281182368</v>
      </c>
      <c r="C7254" s="3" t="str">
        <f>HYPERLINK("http://www.ncbi.nlm.nih.gov/protein/281182368","Stim2")</f>
        <v>Stim2</v>
      </c>
      <c r="E7254" t="str">
        <f>HYPERLINK("J:\Depot - mpkCCD Fractions\Main Web Page\Web Pages_old\proteomic_fractions_linear_files/Yang_linear_img/281182368.jpg","show blot")</f>
        <v>show blot</v>
      </c>
      <c r="G7254" t="s">
        <v>7018</v>
      </c>
      <c r="I7254" s="6">
        <v>2.3268758536709355</v>
      </c>
      <c r="K7254" s="8"/>
    </row>
    <row r="7255" spans="1:11" ht="15" x14ac:dyDescent="0.25">
      <c r="A7255" s="3" t="str">
        <f>HYPERLINK("proteomic_fractions_linear_files/Yang_linear_img/14389431.jpg", "14389431")</f>
        <v>14389431</v>
      </c>
      <c r="C7255" s="3" t="str">
        <f>HYPERLINK("http://www.ncbi.nlm.nih.gov/protein/14389431","Stip1")</f>
        <v>Stip1</v>
      </c>
      <c r="E7255" t="str">
        <f>HYPERLINK("J:\Depot - mpkCCD Fractions\Main Web Page\Web Pages_old\proteomic_fractions_linear_files/Yang_linear_img/14389431.jpg","show blot")</f>
        <v>show blot</v>
      </c>
      <c r="G7255" t="s">
        <v>7019</v>
      </c>
      <c r="I7255" s="6">
        <v>6.2922445991703313</v>
      </c>
      <c r="K7255" s="8"/>
    </row>
    <row r="7256" spans="1:11" ht="15" x14ac:dyDescent="0.25">
      <c r="A7256" s="3" t="str">
        <f>HYPERLINK("proteomic_fractions_linear_files/Yang_linear_img/126362973.jpg", "126362973")</f>
        <v>126362973</v>
      </c>
      <c r="C7256" s="3" t="str">
        <f>HYPERLINK("http://www.ncbi.nlm.nih.gov/protein/126362973","Stk10")</f>
        <v>Stk10</v>
      </c>
      <c r="E7256" t="str">
        <f>HYPERLINK("J:\Depot - mpkCCD Fractions\Main Web Page\Web Pages_old\proteomic_fractions_linear_files/Yang_linear_img/126362973.jpg","show blot")</f>
        <v>show blot</v>
      </c>
      <c r="G7256" t="s">
        <v>7020</v>
      </c>
      <c r="I7256" s="6">
        <v>4.2281744956828211</v>
      </c>
      <c r="K7256" s="8"/>
    </row>
    <row r="7257" spans="1:11" ht="15" x14ac:dyDescent="0.25">
      <c r="A7257" s="3" t="str">
        <f>HYPERLINK("proteomic_fractions_linear_files/Yang_linear_img/7106425.jpg", "7106425")</f>
        <v>7106425</v>
      </c>
      <c r="C7257" s="3" t="str">
        <f>HYPERLINK("http://www.ncbi.nlm.nih.gov/protein/7106425","Stk11")</f>
        <v>Stk11</v>
      </c>
      <c r="E7257" t="str">
        <f>HYPERLINK("J:\Depot - mpkCCD Fractions\Main Web Page\Web Pages_old\proteomic_fractions_linear_files/Yang_linear_img/7106425.jpg","show blot")</f>
        <v>show blot</v>
      </c>
      <c r="G7257" t="s">
        <v>7021</v>
      </c>
      <c r="I7257" s="6">
        <v>3.2668403272821047</v>
      </c>
      <c r="K7257" s="8"/>
    </row>
    <row r="7258" spans="1:11" ht="15" x14ac:dyDescent="0.25">
      <c r="A7258" s="3" t="str">
        <f>HYPERLINK("proteomic_fractions_linear_files/Yang_linear_img/169808413.jpg", "169808413")</f>
        <v>169808413</v>
      </c>
      <c r="C7258" s="3" t="str">
        <f>HYPERLINK("http://www.ncbi.nlm.nih.gov/protein/169808413","Stk11ip")</f>
        <v>Stk11ip</v>
      </c>
      <c r="E7258" t="str">
        <f>HYPERLINK("J:\Depot - mpkCCD Fractions\Main Web Page\Web Pages_old\proteomic_fractions_linear_files/Yang_linear_img/169808413.jpg","show blot")</f>
        <v>show blot</v>
      </c>
      <c r="G7258" t="s">
        <v>7022</v>
      </c>
      <c r="I7258" s="6">
        <v>2.7513062748582224</v>
      </c>
      <c r="K7258" s="8"/>
    </row>
    <row r="7259" spans="1:11" ht="15" x14ac:dyDescent="0.25">
      <c r="A7259" s="3" t="str">
        <f>HYPERLINK("proteomic_fractions_linear_files/Yang_linear_img/226958539.jpg", "226958539")</f>
        <v>226958539</v>
      </c>
      <c r="C7259" s="3" t="str">
        <f>HYPERLINK("http://www.ncbi.nlm.nih.gov/protein/226958539","Stk16")</f>
        <v>Stk16</v>
      </c>
      <c r="E7259" t="str">
        <f>HYPERLINK("J:\Depot - mpkCCD Fractions\Main Web Page\Web Pages_old\proteomic_fractions_linear_files/Yang_linear_img/226958539.jpg","show blot")</f>
        <v>show blot</v>
      </c>
      <c r="G7259" t="s">
        <v>7023</v>
      </c>
      <c r="I7259" s="6">
        <v>2.5598714352713237</v>
      </c>
      <c r="K7259" s="8"/>
    </row>
    <row r="7260" spans="1:11" ht="15" x14ac:dyDescent="0.25">
      <c r="A7260" s="3" t="str">
        <f>HYPERLINK("proteomic_fractions_linear_files/Yang_linear_img/21703922.jpg", "21703922")</f>
        <v>21703922</v>
      </c>
      <c r="C7260" s="3" t="str">
        <f>HYPERLINK("http://www.ncbi.nlm.nih.gov/protein/21703922","Stk24")</f>
        <v>Stk24</v>
      </c>
      <c r="E7260" t="str">
        <f>HYPERLINK("J:\Depot - mpkCCD Fractions\Main Web Page\Web Pages_old\proteomic_fractions_linear_files/Yang_linear_img/21703922.jpg","show blot")</f>
        <v>show blot</v>
      </c>
      <c r="G7260" t="s">
        <v>7024</v>
      </c>
      <c r="I7260" s="6">
        <v>5.5447778131399534</v>
      </c>
      <c r="K7260" s="8"/>
    </row>
    <row r="7261" spans="1:11" ht="15" x14ac:dyDescent="0.25">
      <c r="A7261" s="3" t="str">
        <f>HYPERLINK("proteomic_fractions_linear_files/Yang_linear_img/89337277.jpg", "89337277")</f>
        <v>89337277</v>
      </c>
      <c r="C7261" s="3" t="str">
        <f>HYPERLINK("http://www.ncbi.nlm.nih.gov/protein/89337277","Stk25")</f>
        <v>Stk25</v>
      </c>
      <c r="E7261" t="str">
        <f>HYPERLINK("J:\Depot - mpkCCD Fractions\Main Web Page\Web Pages_old\proteomic_fractions_linear_files/Yang_linear_img/89337277.jpg","show blot")</f>
        <v>show blot</v>
      </c>
      <c r="G7261" t="s">
        <v>7025</v>
      </c>
      <c r="I7261" s="6">
        <v>5.2335639241947511</v>
      </c>
      <c r="K7261" s="8"/>
    </row>
    <row r="7262" spans="1:11" ht="15" x14ac:dyDescent="0.25">
      <c r="A7262" s="3" t="str">
        <f>HYPERLINK("proteomic_fractions_linear_files/Yang_linear_img/118150664.jpg", "118150664")</f>
        <v>118150664</v>
      </c>
      <c r="C7262" s="3" t="str">
        <f>HYPERLINK("http://www.ncbi.nlm.nih.gov/protein/118150664","Stk3")</f>
        <v>Stk3</v>
      </c>
      <c r="E7262" t="str">
        <f>HYPERLINK("J:\Depot - mpkCCD Fractions\Main Web Page\Web Pages_old\proteomic_fractions_linear_files/Yang_linear_img/118150664.jpg","show blot")</f>
        <v>show blot</v>
      </c>
      <c r="G7262" t="s">
        <v>7026</v>
      </c>
      <c r="I7262" s="6">
        <v>4.7396450374546024</v>
      </c>
      <c r="K7262" s="8"/>
    </row>
    <row r="7263" spans="1:11" ht="15" x14ac:dyDescent="0.25">
      <c r="A7263" s="3" t="str">
        <f>HYPERLINK("proteomic_fractions_linear_files/Yang_linear_img/19527344.jpg", "19527344")</f>
        <v>19527344</v>
      </c>
      <c r="C7263" s="3" t="str">
        <f>HYPERLINK("http://www.ncbi.nlm.nih.gov/protein/19527344","Stk38")</f>
        <v>Stk38</v>
      </c>
      <c r="E7263" t="str">
        <f>HYPERLINK("J:\Depot - mpkCCD Fractions\Main Web Page\Web Pages_old\proteomic_fractions_linear_files/Yang_linear_img/19527344.jpg","show blot")</f>
        <v>show blot</v>
      </c>
      <c r="G7263" t="s">
        <v>7027</v>
      </c>
      <c r="I7263" s="6">
        <v>4.4594354629894442</v>
      </c>
      <c r="K7263" s="8"/>
    </row>
    <row r="7264" spans="1:11" ht="15" x14ac:dyDescent="0.25">
      <c r="A7264" s="3" t="str">
        <f>HYPERLINK("proteomic_fractions_linear_files/Yang_linear_img/27370078.jpg", "27370078")</f>
        <v>27370078</v>
      </c>
      <c r="C7264" s="3" t="str">
        <f>HYPERLINK("http://www.ncbi.nlm.nih.gov/protein/27370078","Stk38l")</f>
        <v>Stk38l</v>
      </c>
      <c r="E7264" t="str">
        <f>HYPERLINK("J:\Depot - mpkCCD Fractions\Main Web Page\Web Pages_old\proteomic_fractions_linear_files/Yang_linear_img/27370078.jpg","show blot")</f>
        <v>show blot</v>
      </c>
      <c r="G7264" t="s">
        <v>7028</v>
      </c>
      <c r="I7264" s="6">
        <v>4.0871826280881356</v>
      </c>
      <c r="K7264" s="8"/>
    </row>
    <row r="7265" spans="1:11" ht="15" x14ac:dyDescent="0.25">
      <c r="A7265" s="3" t="str">
        <f>HYPERLINK("proteomic_fractions_linear_files/Yang_linear_img/12328814.jpg", "12328814")</f>
        <v>12328814</v>
      </c>
      <c r="C7265" s="3" t="str">
        <f>HYPERLINK("http://www.ncbi.nlm.nih.gov/protein/12328814","Stk4")</f>
        <v>Stk4</v>
      </c>
      <c r="E7265" t="str">
        <f>HYPERLINK("J:\Depot - mpkCCD Fractions\Main Web Page\Web Pages_old\proteomic_fractions_linear_files/Yang_linear_img/12328814.jpg","show blot")</f>
        <v>show blot</v>
      </c>
      <c r="G7265" t="s">
        <v>7029</v>
      </c>
      <c r="I7265" s="6">
        <v>4.9318239263272474</v>
      </c>
      <c r="K7265" s="8"/>
    </row>
    <row r="7266" spans="1:11" ht="15" x14ac:dyDescent="0.25">
      <c r="A7266" s="3" t="str">
        <f>HYPERLINK("proteomic_fractions_linear_files/Yang_linear_img/9789995.jpg", "9789995")</f>
        <v>9789995</v>
      </c>
      <c r="C7266" s="3" t="str">
        <f>HYPERLINK("http://www.ncbi.nlm.nih.gov/protein/9789995","Stmn1")</f>
        <v>Stmn1</v>
      </c>
      <c r="E7266" t="str">
        <f>HYPERLINK("J:\Depot - mpkCCD Fractions\Main Web Page\Web Pages_old\proteomic_fractions_linear_files/Yang_linear_img/9789995.jpg","show blot")</f>
        <v>show blot</v>
      </c>
      <c r="G7266" t="s">
        <v>7030</v>
      </c>
      <c r="I7266" s="6">
        <v>6.0348992783299291</v>
      </c>
      <c r="K7266" s="8"/>
    </row>
    <row r="7267" spans="1:11" ht="15" x14ac:dyDescent="0.25">
      <c r="A7267" s="3" t="str">
        <f>HYPERLINK("proteomic_fractions_linear_files/Yang_linear_img/13384630.jpg", "13384630")</f>
        <v>13384630</v>
      </c>
      <c r="C7267" s="3" t="str">
        <f>HYPERLINK("http://www.ncbi.nlm.nih.gov/protein/13384630","Stmn2")</f>
        <v>Stmn2</v>
      </c>
      <c r="E7267" t="str">
        <f>HYPERLINK("J:\Depot - mpkCCD Fractions\Main Web Page\Web Pages_old\proteomic_fractions_linear_files/Yang_linear_img/13384630.jpg","show blot")</f>
        <v>show blot</v>
      </c>
      <c r="G7267" t="s">
        <v>7031</v>
      </c>
      <c r="I7267" s="6">
        <v>5.6926598100874868</v>
      </c>
      <c r="K7267" s="8"/>
    </row>
    <row r="7268" spans="1:11" ht="15" x14ac:dyDescent="0.25">
      <c r="A7268" s="3" t="str">
        <f>HYPERLINK("proteomic_fractions_linear_files/Yang_linear_img/9790189.jpg", "9790189")</f>
        <v>9790189</v>
      </c>
      <c r="C7268" s="3" t="str">
        <f>HYPERLINK("http://www.ncbi.nlm.nih.gov/protein/9790189","Stmn4")</f>
        <v>Stmn4</v>
      </c>
      <c r="E7268" t="str">
        <f>HYPERLINK("J:\Depot - mpkCCD Fractions\Main Web Page\Web Pages_old\proteomic_fractions_linear_files/Yang_linear_img/9790189.jpg","show blot")</f>
        <v>show blot</v>
      </c>
      <c r="G7268" t="s">
        <v>7032</v>
      </c>
      <c r="I7268" s="6">
        <v>2.778725114157667</v>
      </c>
      <c r="K7268" s="8"/>
    </row>
    <row r="7269" spans="1:11" ht="15" x14ac:dyDescent="0.25">
      <c r="A7269" s="3" t="str">
        <f>HYPERLINK("proteomic_fractions_linear_files/Yang_linear_img/7710018.jpg", "7710018")</f>
        <v>7710018</v>
      </c>
      <c r="C7269" s="3" t="str">
        <f>HYPERLINK("http://www.ncbi.nlm.nih.gov/protein/7710018","Stom")</f>
        <v>Stom</v>
      </c>
      <c r="E7269" t="str">
        <f>HYPERLINK("J:\Depot - mpkCCD Fractions\Main Web Page\Web Pages_old\proteomic_fractions_linear_files/Yang_linear_img/7710018.jpg","show blot")</f>
        <v>show blot</v>
      </c>
      <c r="G7269" t="s">
        <v>7033</v>
      </c>
      <c r="I7269" s="6">
        <v>2.8516348507619567</v>
      </c>
      <c r="K7269" s="8"/>
    </row>
    <row r="7270" spans="1:11" ht="15" x14ac:dyDescent="0.25">
      <c r="A7270" s="3" t="str">
        <f>HYPERLINK("proteomic_fractions_linear_files/Yang_linear_img/12963591.jpg", "12963591")</f>
        <v>12963591</v>
      </c>
      <c r="C7270" s="3" t="str">
        <f>HYPERLINK("http://www.ncbi.nlm.nih.gov/protein/12963591","Stoml2")</f>
        <v>Stoml2</v>
      </c>
      <c r="E7270" t="str">
        <f>HYPERLINK("J:\Depot - mpkCCD Fractions\Main Web Page\Web Pages_old\proteomic_fractions_linear_files/Yang_linear_img/12963591.jpg","show blot")</f>
        <v>show blot</v>
      </c>
      <c r="G7270" t="s">
        <v>7034</v>
      </c>
      <c r="I7270" s="6">
        <v>5.3739400685725522</v>
      </c>
      <c r="K7270" s="8"/>
    </row>
    <row r="7271" spans="1:11" ht="15" x14ac:dyDescent="0.25">
      <c r="A7271" s="3" t="str">
        <f>HYPERLINK("proteomic_fractions_linear_files/Yang_linear_img/159032010.jpg", "159032010")</f>
        <v>159032010</v>
      </c>
      <c r="C7271" s="3" t="str">
        <f>HYPERLINK("http://www.ncbi.nlm.nih.gov/protein/159032010","Ston1")</f>
        <v>Ston1</v>
      </c>
      <c r="E7271" t="str">
        <f>HYPERLINK("J:\Depot - mpkCCD Fractions\Main Web Page\Web Pages_old\proteomic_fractions_linear_files/Yang_linear_img/159032010.jpg","show blot")</f>
        <v>show blot</v>
      </c>
      <c r="G7271" t="s">
        <v>7035</v>
      </c>
      <c r="I7271" s="6">
        <v>3.2285232416660943</v>
      </c>
      <c r="K7271" s="8"/>
    </row>
    <row r="7272" spans="1:11" ht="15" x14ac:dyDescent="0.25">
      <c r="A7272" s="3" t="str">
        <f>HYPERLINK("proteomic_fractions_linear_files/Yang_linear_img/30425068.jpg", "30425068")</f>
        <v>30425068</v>
      </c>
      <c r="C7272" s="3" t="str">
        <f>HYPERLINK("http://www.ncbi.nlm.nih.gov/protein/30425068","Ston2")</f>
        <v>Ston2</v>
      </c>
      <c r="E7272" t="str">
        <f>HYPERLINK("J:\Depot - mpkCCD Fractions\Main Web Page\Web Pages_old\proteomic_fractions_linear_files/Yang_linear_img/30425068.jpg","show blot")</f>
        <v>show blot</v>
      </c>
      <c r="G7272" t="s">
        <v>7036</v>
      </c>
      <c r="I7272" s="6">
        <v>3.1523897011579023</v>
      </c>
      <c r="K7272" s="8"/>
    </row>
    <row r="7273" spans="1:11" ht="15" x14ac:dyDescent="0.25">
      <c r="A7273" s="3" t="str">
        <f>HYPERLINK("proteomic_fractions_linear_files/Yang_linear_img/160707896.jpg", "160707896")</f>
        <v>160707896</v>
      </c>
      <c r="C7273" s="3" t="str">
        <f>HYPERLINK("http://www.ncbi.nlm.nih.gov/protein/160707896","Strap")</f>
        <v>Strap</v>
      </c>
      <c r="E7273" t="str">
        <f>HYPERLINK("J:\Depot - mpkCCD Fractions\Main Web Page\Web Pages_old\proteomic_fractions_linear_files/Yang_linear_img/160707896.jpg","show blot")</f>
        <v>show blot</v>
      </c>
      <c r="G7273" t="s">
        <v>7037</v>
      </c>
      <c r="I7273" s="6">
        <v>5.9752317035585891</v>
      </c>
      <c r="K7273" s="8"/>
    </row>
    <row r="7274" spans="1:11" ht="15" x14ac:dyDescent="0.25">
      <c r="A7274" s="3" t="str">
        <f>HYPERLINK("proteomic_fractions_linear_files/Yang_linear_img/114842377.jpg", "114842377")</f>
        <v>114842377</v>
      </c>
      <c r="C7274" s="3" t="str">
        <f>HYPERLINK("http://www.ncbi.nlm.nih.gov/protein/114842377","Strbp")</f>
        <v>Strbp</v>
      </c>
      <c r="E7274" t="str">
        <f>HYPERLINK("J:\Depot - mpkCCD Fractions\Main Web Page\Web Pages_old\proteomic_fractions_linear_files/Yang_linear_img/114842377.jpg","show blot")</f>
        <v>show blot</v>
      </c>
      <c r="G7274" t="s">
        <v>7038</v>
      </c>
      <c r="I7274" s="6">
        <v>4.2792238221997501</v>
      </c>
      <c r="K7274" s="8"/>
    </row>
    <row r="7275" spans="1:11" ht="15" x14ac:dyDescent="0.25">
      <c r="A7275" s="3" t="str">
        <f>HYPERLINK("proteomic_fractions_linear_files/Yang_linear_img/169646306.jpg", "169646306")</f>
        <v>169646306</v>
      </c>
      <c r="C7275" s="3" t="str">
        <f>HYPERLINK("http://www.ncbi.nlm.nih.gov/protein/169646306","Strip1")</f>
        <v>Strip1</v>
      </c>
      <c r="E7275" t="str">
        <f>HYPERLINK("J:\Depot - mpkCCD Fractions\Main Web Page\Web Pages_old\proteomic_fractions_linear_files/Yang_linear_img/169646306.jpg","show blot")</f>
        <v>show blot</v>
      </c>
      <c r="G7275" t="s">
        <v>7039</v>
      </c>
      <c r="I7275" s="6">
        <v>3.7162768989752779</v>
      </c>
      <c r="K7275" s="8"/>
    </row>
    <row r="7276" spans="1:11" ht="15" x14ac:dyDescent="0.25">
      <c r="A7276" s="3" t="str">
        <f>HYPERLINK("proteomic_fractions_linear_files/Yang_linear_img/83627724.jpg", "83627724")</f>
        <v>83627724</v>
      </c>
      <c r="C7276" s="3" t="str">
        <f>HYPERLINK("http://www.ncbi.nlm.nih.gov/protein/83627724","Strip2")</f>
        <v>Strip2</v>
      </c>
      <c r="E7276" t="str">
        <f>HYPERLINK("J:\Depot - mpkCCD Fractions\Main Web Page\Web Pages_old\proteomic_fractions_linear_files/Yang_linear_img/83627724.jpg","show blot")</f>
        <v>show blot</v>
      </c>
      <c r="G7276" t="s">
        <v>7040</v>
      </c>
      <c r="I7276" s="6">
        <v>3.7175219502660952</v>
      </c>
      <c r="K7276" s="8"/>
    </row>
    <row r="7277" spans="1:11" ht="15" x14ac:dyDescent="0.25">
      <c r="A7277" s="3" t="str">
        <f>HYPERLINK("proteomic_fractions_linear_files/Yang_linear_img/83627727.jpg", "83627727")</f>
        <v>83627727</v>
      </c>
      <c r="C7277" s="3" t="str">
        <f>HYPERLINK("http://www.ncbi.nlm.nih.gov/protein/83627727","Strip2")</f>
        <v>Strip2</v>
      </c>
      <c r="E7277" t="str">
        <f>HYPERLINK("J:\Depot - mpkCCD Fractions\Main Web Page\Web Pages_old\proteomic_fractions_linear_files/Yang_linear_img/83627727.jpg","show blot")</f>
        <v>show blot</v>
      </c>
      <c r="G7277" t="s">
        <v>7041</v>
      </c>
      <c r="I7277" s="6">
        <v>3.7175219502660952</v>
      </c>
      <c r="K7277" s="8"/>
    </row>
    <row r="7278" spans="1:11" ht="15" x14ac:dyDescent="0.25">
      <c r="A7278" s="3" t="str">
        <f>HYPERLINK("proteomic_fractions_linear_files/Yang_linear_img/61098078.jpg", "61098078")</f>
        <v>61098078</v>
      </c>
      <c r="C7278" s="3" t="str">
        <f>HYPERLINK("http://www.ncbi.nlm.nih.gov/protein/61098078","Strn")</f>
        <v>Strn</v>
      </c>
      <c r="E7278" t="str">
        <f>HYPERLINK("J:\Depot - mpkCCD Fractions\Main Web Page\Web Pages_old\proteomic_fractions_linear_files/Yang_linear_img/61098078.jpg","show blot")</f>
        <v>show blot</v>
      </c>
      <c r="G7278" t="s">
        <v>7042</v>
      </c>
      <c r="I7278" s="6">
        <v>4.147661536820884</v>
      </c>
      <c r="K7278" s="8"/>
    </row>
    <row r="7279" spans="1:11" ht="15" x14ac:dyDescent="0.25">
      <c r="A7279" s="3" t="str">
        <f>HYPERLINK("proteomic_fractions_linear_files/Yang_linear_img/16418469.jpg", "16418469")</f>
        <v>16418469</v>
      </c>
      <c r="C7279" s="3" t="str">
        <f>HYPERLINK("http://www.ncbi.nlm.nih.gov/protein/16418469","Strn3")</f>
        <v>Strn3</v>
      </c>
      <c r="E7279" t="str">
        <f>HYPERLINK("J:\Depot - mpkCCD Fractions\Main Web Page\Web Pages_old\proteomic_fractions_linear_files/Yang_linear_img/16418469.jpg","show blot")</f>
        <v>show blot</v>
      </c>
      <c r="G7279" t="s">
        <v>7043</v>
      </c>
      <c r="I7279" s="6">
        <v>4.6122092859886532</v>
      </c>
      <c r="K7279" s="8"/>
    </row>
    <row r="7280" spans="1:11" ht="15" x14ac:dyDescent="0.25">
      <c r="A7280" s="3" t="str">
        <f>HYPERLINK("proteomic_fractions_linear_files/Yang_linear_img/285402377.jpg", "285402377")</f>
        <v>285402377</v>
      </c>
      <c r="C7280" s="3" t="str">
        <f>HYPERLINK("http://www.ncbi.nlm.nih.gov/protein/285402377","Strn3")</f>
        <v>Strn3</v>
      </c>
      <c r="E7280" t="str">
        <f>HYPERLINK("J:\Depot - mpkCCD Fractions\Main Web Page\Web Pages_old\proteomic_fractions_linear_files/Yang_linear_img/285402377.jpg","show blot")</f>
        <v>show blot</v>
      </c>
      <c r="G7280" t="s">
        <v>7044</v>
      </c>
      <c r="I7280" s="6">
        <v>4.6122092859886532</v>
      </c>
      <c r="K7280" s="8"/>
    </row>
    <row r="7281" spans="1:11" ht="15" x14ac:dyDescent="0.25">
      <c r="A7281" s="3" t="str">
        <f>HYPERLINK("proteomic_fractions_linear_files/Yang_linear_img/89886482.jpg", "89886482")</f>
        <v>89886482</v>
      </c>
      <c r="C7281" s="3" t="str">
        <f>HYPERLINK("http://www.ncbi.nlm.nih.gov/protein/89886482","Strn4")</f>
        <v>Strn4</v>
      </c>
      <c r="E7281" t="str">
        <f>HYPERLINK("J:\Depot - mpkCCD Fractions\Main Web Page\Web Pages_old\proteomic_fractions_linear_files/Yang_linear_img/89886482.jpg","show blot")</f>
        <v>show blot</v>
      </c>
      <c r="G7281" t="s">
        <v>7045</v>
      </c>
      <c r="I7281" s="6">
        <v>3.2405211290973042</v>
      </c>
      <c r="K7281" s="8"/>
    </row>
    <row r="7282" spans="1:11" ht="15" x14ac:dyDescent="0.25">
      <c r="A7282" s="3" t="str">
        <f>HYPERLINK("proteomic_fractions_linear_files/Yang_linear_img/89886486.jpg", "89886486")</f>
        <v>89886486</v>
      </c>
      <c r="C7282" s="3" t="str">
        <f>HYPERLINK("http://www.ncbi.nlm.nih.gov/protein/89886486","Strn4")</f>
        <v>Strn4</v>
      </c>
      <c r="E7282" t="str">
        <f>HYPERLINK("J:\Depot - mpkCCD Fractions\Main Web Page\Web Pages_old\proteomic_fractions_linear_files/Yang_linear_img/89886486.jpg","show blot")</f>
        <v>show blot</v>
      </c>
      <c r="G7282" t="s">
        <v>7046</v>
      </c>
      <c r="I7282" s="6">
        <v>3.2405211290973042</v>
      </c>
      <c r="K7282" s="8"/>
    </row>
    <row r="7283" spans="1:11" ht="15" x14ac:dyDescent="0.25">
      <c r="A7283" s="3" t="str">
        <f>HYPERLINK("proteomic_fractions_linear_files/Yang_linear_img/148747128.jpg", "148747128")</f>
        <v>148747128</v>
      </c>
      <c r="C7283" s="3" t="str">
        <f>HYPERLINK("http://www.ncbi.nlm.nih.gov/protein/148747128","Stt3a")</f>
        <v>Stt3a</v>
      </c>
      <c r="E7283" t="str">
        <f>HYPERLINK("J:\Depot - mpkCCD Fractions\Main Web Page\Web Pages_old\proteomic_fractions_linear_files/Yang_linear_img/148747128.jpg","show blot")</f>
        <v>show blot</v>
      </c>
      <c r="G7283" t="s">
        <v>7047</v>
      </c>
      <c r="I7283" s="6">
        <v>4.8220706120309202</v>
      </c>
      <c r="K7283" s="8"/>
    </row>
    <row r="7284" spans="1:11" ht="15" x14ac:dyDescent="0.25">
      <c r="A7284" s="3" t="str">
        <f>HYPERLINK("proteomic_fractions_linear_files/Yang_linear_img/61651673.jpg", "61651673")</f>
        <v>61651673</v>
      </c>
      <c r="C7284" s="3" t="str">
        <f>HYPERLINK("http://www.ncbi.nlm.nih.gov/protein/61651673","Stt3b")</f>
        <v>Stt3b</v>
      </c>
      <c r="E7284" t="str">
        <f>HYPERLINK("J:\Depot - mpkCCD Fractions\Main Web Page\Web Pages_old\proteomic_fractions_linear_files/Yang_linear_img/61651673.jpg","show blot")</f>
        <v>show blot</v>
      </c>
      <c r="G7284" t="s">
        <v>7048</v>
      </c>
      <c r="I7284" s="6">
        <v>4.2337267755001875</v>
      </c>
      <c r="K7284" s="8"/>
    </row>
    <row r="7285" spans="1:11" ht="15" x14ac:dyDescent="0.25">
      <c r="A7285" s="3" t="str">
        <f>HYPERLINK("proteomic_fractions_linear_files/Yang_linear_img/9789907.jpg", "9789907")</f>
        <v>9789907</v>
      </c>
      <c r="C7285" s="3" t="str">
        <f>HYPERLINK("http://www.ncbi.nlm.nih.gov/protein/9789907","Stub1")</f>
        <v>Stub1</v>
      </c>
      <c r="E7285" t="str">
        <f>HYPERLINK("J:\Depot - mpkCCD Fractions\Main Web Page\Web Pages_old\proteomic_fractions_linear_files/Yang_linear_img/9789907.jpg","show blot")</f>
        <v>show blot</v>
      </c>
      <c r="G7285" t="s">
        <v>7049</v>
      </c>
      <c r="I7285" s="6">
        <v>5.5575288718094678</v>
      </c>
      <c r="K7285" s="8"/>
    </row>
    <row r="7286" spans="1:11" ht="15" x14ac:dyDescent="0.25">
      <c r="A7286" s="3" t="str">
        <f>HYPERLINK("proteomic_fractions_linear_files/Yang_linear_img/19527102.jpg", "19527102")</f>
        <v>19527102</v>
      </c>
      <c r="C7286" s="3" t="str">
        <f>HYPERLINK("http://www.ncbi.nlm.nih.gov/protein/19527102","Stx12")</f>
        <v>Stx12</v>
      </c>
      <c r="E7286" t="str">
        <f>HYPERLINK("J:\Depot - mpkCCD Fractions\Main Web Page\Web Pages_old\proteomic_fractions_linear_files/Yang_linear_img/19527102.jpg","show blot")</f>
        <v>show blot</v>
      </c>
      <c r="G7286" t="s">
        <v>7050</v>
      </c>
      <c r="I7286" s="6">
        <v>5.1739012034846512</v>
      </c>
      <c r="K7286" s="8"/>
    </row>
    <row r="7287" spans="1:11" ht="15" x14ac:dyDescent="0.25">
      <c r="A7287" s="3" t="str">
        <f>HYPERLINK("proteomic_fractions_linear_files/Yang_linear_img/156231057.jpg", "156231057")</f>
        <v>156231057</v>
      </c>
      <c r="C7287" s="3" t="str">
        <f>HYPERLINK("http://www.ncbi.nlm.nih.gov/protein/156231057","Stx16")</f>
        <v>Stx16</v>
      </c>
      <c r="E7287" t="str">
        <f>HYPERLINK("J:\Depot - mpkCCD Fractions\Main Web Page\Web Pages_old\proteomic_fractions_linear_files/Yang_linear_img/156231057.jpg","show blot")</f>
        <v>show blot</v>
      </c>
      <c r="G7287" t="s">
        <v>7051</v>
      </c>
      <c r="I7287" s="6">
        <v>4.2324791374928825</v>
      </c>
      <c r="K7287" s="8"/>
    </row>
    <row r="7288" spans="1:11" ht="15" x14ac:dyDescent="0.25">
      <c r="A7288" s="3" t="str">
        <f>HYPERLINK("proteomic_fractions_linear_files/Yang_linear_img/156231059.jpg", "156231059")</f>
        <v>156231059</v>
      </c>
      <c r="C7288" s="3" t="str">
        <f>HYPERLINK("http://www.ncbi.nlm.nih.gov/protein/156231059","Stx16")</f>
        <v>Stx16</v>
      </c>
      <c r="E7288" t="str">
        <f>HYPERLINK("J:\Depot - mpkCCD Fractions\Main Web Page\Web Pages_old\proteomic_fractions_linear_files/Yang_linear_img/156231059.jpg","show blot")</f>
        <v>show blot</v>
      </c>
      <c r="G7288" t="s">
        <v>7052</v>
      </c>
      <c r="I7288" s="6">
        <v>4.2324791374928825</v>
      </c>
      <c r="K7288" s="8"/>
    </row>
    <row r="7289" spans="1:11" ht="15" x14ac:dyDescent="0.25">
      <c r="A7289" s="3" t="str">
        <f>HYPERLINK("proteomic_fractions_linear_files/Yang_linear_img/156231061.jpg", "156231061")</f>
        <v>156231061</v>
      </c>
      <c r="C7289" s="3" t="str">
        <f>HYPERLINK("http://www.ncbi.nlm.nih.gov/protein/156231061","Stx16")</f>
        <v>Stx16</v>
      </c>
      <c r="E7289" t="str">
        <f>HYPERLINK("J:\Depot - mpkCCD Fractions\Main Web Page\Web Pages_old\proteomic_fractions_linear_files/Yang_linear_img/156231061.jpg","show blot")</f>
        <v>show blot</v>
      </c>
      <c r="G7289" t="s">
        <v>7053</v>
      </c>
      <c r="I7289" s="6">
        <v>4.2324791374928825</v>
      </c>
      <c r="K7289" s="8"/>
    </row>
    <row r="7290" spans="1:11" ht="15" x14ac:dyDescent="0.25">
      <c r="A7290" s="3" t="str">
        <f>HYPERLINK("proteomic_fractions_linear_files/Yang_linear_img/156231063.jpg", "156231063")</f>
        <v>156231063</v>
      </c>
      <c r="C7290" s="3" t="str">
        <f>HYPERLINK("http://www.ncbi.nlm.nih.gov/protein/156231063","Stx16")</f>
        <v>Stx16</v>
      </c>
      <c r="E7290" t="str">
        <f>HYPERLINK("J:\Depot - mpkCCD Fractions\Main Web Page\Web Pages_old\proteomic_fractions_linear_files/Yang_linear_img/156231063.jpg","show blot")</f>
        <v>show blot</v>
      </c>
      <c r="G7290" t="s">
        <v>7054</v>
      </c>
      <c r="I7290" s="6">
        <v>4.2324791374928825</v>
      </c>
      <c r="K7290" s="8"/>
    </row>
    <row r="7291" spans="1:11" ht="15" x14ac:dyDescent="0.25">
      <c r="A7291" s="3" t="str">
        <f>HYPERLINK("proteomic_fractions_linear_files/Yang_linear_img/84579893.jpg", "84579893")</f>
        <v>84579893</v>
      </c>
      <c r="C7291" s="3" t="str">
        <f>HYPERLINK("http://www.ncbi.nlm.nih.gov/protein/84579893","Stx17")</f>
        <v>Stx17</v>
      </c>
      <c r="E7291" t="str">
        <f>HYPERLINK("J:\Depot - mpkCCD Fractions\Main Web Page\Web Pages_old\proteomic_fractions_linear_files/Yang_linear_img/84579893.jpg","show blot")</f>
        <v>show blot</v>
      </c>
      <c r="G7291" t="s">
        <v>7055</v>
      </c>
      <c r="I7291" s="6">
        <v>3.1055687198086637</v>
      </c>
      <c r="K7291" s="8"/>
    </row>
    <row r="7292" spans="1:11" ht="15" x14ac:dyDescent="0.25">
      <c r="A7292" s="3" t="str">
        <f>HYPERLINK("proteomic_fractions_linear_files/Yang_linear_img/77736535.jpg", "77736535")</f>
        <v>77736535</v>
      </c>
      <c r="C7292" s="3" t="str">
        <f>HYPERLINK("http://www.ncbi.nlm.nih.gov/protein/77736535","Stx18")</f>
        <v>Stx18</v>
      </c>
      <c r="E7292" t="str">
        <f>HYPERLINK("J:\Depot - mpkCCD Fractions\Main Web Page\Web Pages_old\proteomic_fractions_linear_files/Yang_linear_img/77736535.jpg","show blot")</f>
        <v>show blot</v>
      </c>
      <c r="G7292" t="s">
        <v>7056</v>
      </c>
      <c r="I7292" s="6">
        <v>2.308345492480552</v>
      </c>
      <c r="K7292" s="8"/>
    </row>
    <row r="7293" spans="1:11" ht="15" x14ac:dyDescent="0.25">
      <c r="A7293" s="3" t="str">
        <f>HYPERLINK("proteomic_fractions_linear_files/Yang_linear_img/22726207.jpg", "22726207")</f>
        <v>22726207</v>
      </c>
      <c r="C7293" s="3" t="str">
        <f>HYPERLINK("http://www.ncbi.nlm.nih.gov/protein/22726207","Stx3")</f>
        <v>Stx3</v>
      </c>
      <c r="E7293" t="str">
        <f>HYPERLINK("J:\Depot - mpkCCD Fractions\Main Web Page\Web Pages_old\proteomic_fractions_linear_files/Yang_linear_img/22726207.jpg","show blot")</f>
        <v>show blot</v>
      </c>
      <c r="G7293" t="s">
        <v>7057</v>
      </c>
      <c r="I7293" s="6">
        <v>4.5535193134249425</v>
      </c>
      <c r="K7293" s="8"/>
    </row>
    <row r="7294" spans="1:11" ht="15" x14ac:dyDescent="0.25">
      <c r="A7294" s="3" t="str">
        <f>HYPERLINK("proteomic_fractions_linear_files/Yang_linear_img/70778802.jpg", "70778802")</f>
        <v>70778802</v>
      </c>
      <c r="C7294" s="3" t="str">
        <f>HYPERLINK("http://www.ncbi.nlm.nih.gov/protein/70778802","Stx3")</f>
        <v>Stx3</v>
      </c>
      <c r="E7294" t="str">
        <f>HYPERLINK("J:\Depot - mpkCCD Fractions\Main Web Page\Web Pages_old\proteomic_fractions_linear_files/Yang_linear_img/70778802.jpg","show blot")</f>
        <v>show blot</v>
      </c>
      <c r="G7294" t="s">
        <v>7058</v>
      </c>
      <c r="I7294" s="6">
        <v>4.5535193134249425</v>
      </c>
      <c r="K7294" s="8"/>
    </row>
    <row r="7295" spans="1:11" ht="15" x14ac:dyDescent="0.25">
      <c r="A7295" s="3" t="str">
        <f>HYPERLINK("proteomic_fractions_linear_files/Yang_linear_img/70778911.jpg", "70778911")</f>
        <v>70778911</v>
      </c>
      <c r="C7295" s="3" t="str">
        <f>HYPERLINK("http://www.ncbi.nlm.nih.gov/protein/70778911","Stx3")</f>
        <v>Stx3</v>
      </c>
      <c r="E7295" t="str">
        <f>HYPERLINK("J:\Depot - mpkCCD Fractions\Main Web Page\Web Pages_old\proteomic_fractions_linear_files/Yang_linear_img/70778911.jpg","show blot")</f>
        <v>show blot</v>
      </c>
      <c r="G7295" t="s">
        <v>7059</v>
      </c>
      <c r="I7295" s="6">
        <v>4.5535193134249425</v>
      </c>
      <c r="K7295" s="8"/>
    </row>
    <row r="7296" spans="1:11" ht="15" x14ac:dyDescent="0.25">
      <c r="A7296" s="3" t="str">
        <f>HYPERLINK("proteomic_fractions_linear_files/Yang_linear_img/6678177.jpg", "6678177")</f>
        <v>6678177</v>
      </c>
      <c r="C7296" s="3" t="str">
        <f>HYPERLINK("http://www.ncbi.nlm.nih.gov/protein/6678177","Stx4a")</f>
        <v>Stx4a</v>
      </c>
      <c r="E7296" t="str">
        <f>HYPERLINK("J:\Depot - mpkCCD Fractions\Main Web Page\Web Pages_old\proteomic_fractions_linear_files/Yang_linear_img/6678177.jpg","show blot")</f>
        <v>show blot</v>
      </c>
      <c r="G7296" t="s">
        <v>7060</v>
      </c>
      <c r="I7296" s="6">
        <v>4.9656112724841632</v>
      </c>
      <c r="K7296" s="8"/>
    </row>
    <row r="7297" spans="1:11" ht="15" x14ac:dyDescent="0.25">
      <c r="A7297" s="3" t="str">
        <f>HYPERLINK("proteomic_fractions_linear_files/Yang_linear_img/268370185;268370181.jpg", "268370185;268370181")</f>
        <v>268370185;268370181</v>
      </c>
      <c r="C7297" s="3" t="str">
        <f>HYPERLINK("http://www.ncbi.nlm.nih.gov/protein/268370185;268370181","Stx5a")</f>
        <v>Stx5a</v>
      </c>
      <c r="E7297" t="str">
        <f>HYPERLINK("J:\Depot - mpkCCD Fractions\Main Web Page\Web Pages_old\proteomic_fractions_linear_files/Yang_linear_img/268370185;268370181.jpg","show blot")</f>
        <v>show blot</v>
      </c>
      <c r="G7297" t="s">
        <v>7061</v>
      </c>
      <c r="I7297" s="6">
        <v>4.2840459584292621</v>
      </c>
      <c r="K7297" s="8"/>
    </row>
    <row r="7298" spans="1:11" ht="15" x14ac:dyDescent="0.25">
      <c r="A7298" s="3" t="str">
        <f>HYPERLINK("proteomic_fractions_linear_files/Yang_linear_img/268370181;268370185.jpg", "268370181;268370185")</f>
        <v>268370181;268370185</v>
      </c>
      <c r="C7298" s="3" t="str">
        <f>HYPERLINK("http://www.ncbi.nlm.nih.gov/protein/268370181;268370185","Stx5a")</f>
        <v>Stx5a</v>
      </c>
      <c r="E7298" t="str">
        <f>HYPERLINK("J:\Depot - mpkCCD Fractions\Main Web Page\Web Pages_old\proteomic_fractions_linear_files/Yang_linear_img/268370181;268370185.jpg","show blot")</f>
        <v>show blot</v>
      </c>
      <c r="G7298" t="s">
        <v>7061</v>
      </c>
      <c r="I7298" s="6">
        <v>4.2840459584292621</v>
      </c>
      <c r="K7298" s="8"/>
    </row>
    <row r="7299" spans="1:11" ht="15" x14ac:dyDescent="0.25">
      <c r="A7299" s="3" t="str">
        <f>HYPERLINK("proteomic_fractions_linear_files/Yang_linear_img/10946800.jpg", "10946800")</f>
        <v>10946800</v>
      </c>
      <c r="C7299" s="3" t="str">
        <f>HYPERLINK("http://www.ncbi.nlm.nih.gov/protein/10946800","Stx6")</f>
        <v>Stx6</v>
      </c>
      <c r="E7299" t="str">
        <f>HYPERLINK("J:\Depot - mpkCCD Fractions\Main Web Page\Web Pages_old\proteomic_fractions_linear_files/Yang_linear_img/10946800.jpg","show blot")</f>
        <v>show blot</v>
      </c>
      <c r="G7299" t="s">
        <v>7062</v>
      </c>
      <c r="I7299" s="6">
        <v>4.5783963442435338</v>
      </c>
      <c r="K7299" s="8"/>
    </row>
    <row r="7300" spans="1:11" ht="15" x14ac:dyDescent="0.25">
      <c r="A7300" s="3" t="str">
        <f>HYPERLINK("proteomic_fractions_linear_files/Yang_linear_img/31560462.jpg", "31560462")</f>
        <v>31560462</v>
      </c>
      <c r="C7300" s="3" t="str">
        <f>HYPERLINK("http://www.ncbi.nlm.nih.gov/protein/31560462","Stx7")</f>
        <v>Stx7</v>
      </c>
      <c r="E7300" t="str">
        <f>HYPERLINK("J:\Depot - mpkCCD Fractions\Main Web Page\Web Pages_old\proteomic_fractions_linear_files/Yang_linear_img/31560462.jpg","show blot")</f>
        <v>show blot</v>
      </c>
      <c r="G7300" t="s">
        <v>7063</v>
      </c>
      <c r="I7300" s="6">
        <v>5.7417843963277972</v>
      </c>
      <c r="K7300" s="8"/>
    </row>
    <row r="7301" spans="1:11" ht="15" x14ac:dyDescent="0.25">
      <c r="A7301" s="3" t="str">
        <f>HYPERLINK("proteomic_fractions_linear_files/Yang_linear_img/9055356.jpg", "9055356")</f>
        <v>9055356</v>
      </c>
      <c r="C7301" s="3" t="str">
        <f>HYPERLINK("http://www.ncbi.nlm.nih.gov/protein/9055356","Stx8")</f>
        <v>Stx8</v>
      </c>
      <c r="E7301" t="str">
        <f>HYPERLINK("J:\Depot - mpkCCD Fractions\Main Web Page\Web Pages_old\proteomic_fractions_linear_files/Yang_linear_img/9055356.jpg","show blot")</f>
        <v>show blot</v>
      </c>
      <c r="G7301" t="s">
        <v>7064</v>
      </c>
      <c r="I7301" s="6">
        <v>4.1784782105177722</v>
      </c>
      <c r="K7301" s="8"/>
    </row>
    <row r="7302" spans="1:11" ht="15" x14ac:dyDescent="0.25">
      <c r="A7302" s="3" t="str">
        <f>HYPERLINK("proteomic_fractions_linear_files/Yang_linear_img/165972305.jpg", "165972305")</f>
        <v>165972305</v>
      </c>
      <c r="C7302" s="3" t="str">
        <f>HYPERLINK("http://www.ncbi.nlm.nih.gov/protein/165972305","Stxbp1")</f>
        <v>Stxbp1</v>
      </c>
      <c r="E7302" t="str">
        <f>HYPERLINK("J:\Depot - mpkCCD Fractions\Main Web Page\Web Pages_old\proteomic_fractions_linear_files/Yang_linear_img/165972305.jpg","show blot")</f>
        <v>show blot</v>
      </c>
      <c r="G7302" t="s">
        <v>7065</v>
      </c>
      <c r="I7302" s="6">
        <v>3.1921028744045312</v>
      </c>
      <c r="K7302" s="8"/>
    </row>
    <row r="7303" spans="1:11" ht="15" x14ac:dyDescent="0.25">
      <c r="A7303" s="3" t="str">
        <f>HYPERLINK("proteomic_fractions_linear_files/Yang_linear_img/165972307.jpg", "165972307")</f>
        <v>165972307</v>
      </c>
      <c r="C7303" s="3" t="str">
        <f>HYPERLINK("http://www.ncbi.nlm.nih.gov/protein/165972307","Stxbp1")</f>
        <v>Stxbp1</v>
      </c>
      <c r="E7303" t="str">
        <f>HYPERLINK("J:\Depot - mpkCCD Fractions\Main Web Page\Web Pages_old\proteomic_fractions_linear_files/Yang_linear_img/165972307.jpg","show blot")</f>
        <v>show blot</v>
      </c>
      <c r="G7303" t="s">
        <v>7066</v>
      </c>
      <c r="I7303" s="6">
        <v>3.1921028744045312</v>
      </c>
      <c r="K7303" s="8"/>
    </row>
    <row r="7304" spans="1:11" ht="15" x14ac:dyDescent="0.25">
      <c r="A7304" s="3" t="str">
        <f>HYPERLINK("proteomic_fractions_linear_files/Yang_linear_img/6755688.jpg", "6755688")</f>
        <v>6755688</v>
      </c>
      <c r="C7304" s="3" t="str">
        <f>HYPERLINK("http://www.ncbi.nlm.nih.gov/protein/6755688","Stxbp2")</f>
        <v>Stxbp2</v>
      </c>
      <c r="E7304" t="str">
        <f>HYPERLINK("J:\Depot - mpkCCD Fractions\Main Web Page\Web Pages_old\proteomic_fractions_linear_files/Yang_linear_img/6755688.jpg","show blot")</f>
        <v>show blot</v>
      </c>
      <c r="G7304" t="s">
        <v>7067</v>
      </c>
      <c r="I7304" s="6">
        <v>5.0912982257940449</v>
      </c>
      <c r="K7304" s="8"/>
    </row>
    <row r="7305" spans="1:11" ht="15" x14ac:dyDescent="0.25">
      <c r="A7305" s="3" t="str">
        <f>HYPERLINK("proteomic_fractions_linear_files/Yang_linear_img/6755690.jpg", "6755690")</f>
        <v>6755690</v>
      </c>
      <c r="C7305" s="3" t="str">
        <f>HYPERLINK("http://www.ncbi.nlm.nih.gov/protein/6755690","Stxbp3a")</f>
        <v>Stxbp3a</v>
      </c>
      <c r="E7305" t="str">
        <f>HYPERLINK("J:\Depot - mpkCCD Fractions\Main Web Page\Web Pages_old\proteomic_fractions_linear_files/Yang_linear_img/6755690.jpg","show blot")</f>
        <v>show blot</v>
      </c>
      <c r="G7305" t="s">
        <v>7068</v>
      </c>
      <c r="I7305" s="6">
        <v>4.7757207990089361</v>
      </c>
      <c r="K7305" s="8"/>
    </row>
    <row r="7306" spans="1:11" ht="15" x14ac:dyDescent="0.25">
      <c r="A7306" s="3" t="str">
        <f>HYPERLINK("proteomic_fractions_linear_files/Yang_linear_img/6755692.jpg", "6755692")</f>
        <v>6755692</v>
      </c>
      <c r="C7306" s="3" t="str">
        <f>HYPERLINK("http://www.ncbi.nlm.nih.gov/protein/6755692","Stxbp4")</f>
        <v>Stxbp4</v>
      </c>
      <c r="E7306" t="str">
        <f>HYPERLINK("J:\Depot - mpkCCD Fractions\Main Web Page\Web Pages_old\proteomic_fractions_linear_files/Yang_linear_img/6755692.jpg","show blot")</f>
        <v>show blot</v>
      </c>
      <c r="G7306" t="s">
        <v>7069</v>
      </c>
      <c r="I7306" s="6">
        <v>3.1769801447048196</v>
      </c>
      <c r="K7306" s="8"/>
    </row>
    <row r="7307" spans="1:11" ht="15" x14ac:dyDescent="0.25">
      <c r="A7307" s="3" t="str">
        <f>HYPERLINK("proteomic_fractions_linear_files/Yang_linear_img/158749547.jpg", "158749547")</f>
        <v>158749547</v>
      </c>
      <c r="C7307" s="3" t="str">
        <f>HYPERLINK("http://www.ncbi.nlm.nih.gov/protein/158749547","Stxbp5")</f>
        <v>Stxbp5</v>
      </c>
      <c r="E7307" t="str">
        <f>HYPERLINK("J:\Depot - mpkCCD Fractions\Main Web Page\Web Pages_old\proteomic_fractions_linear_files/Yang_linear_img/158749547.jpg","show blot")</f>
        <v>show blot</v>
      </c>
      <c r="G7307" t="s">
        <v>7070</v>
      </c>
      <c r="I7307" s="6">
        <v>2.5386732467986284</v>
      </c>
      <c r="K7307" s="8"/>
    </row>
    <row r="7308" spans="1:11" ht="15" x14ac:dyDescent="0.25">
      <c r="A7308" s="3" t="str">
        <f>HYPERLINK("proteomic_fractions_linear_files/Yang_linear_img/308082030.jpg", "308082030")</f>
        <v>308082030</v>
      </c>
      <c r="C7308" s="3" t="str">
        <f>HYPERLINK("http://www.ncbi.nlm.nih.gov/protein/308082030","Styxl1")</f>
        <v>Styxl1</v>
      </c>
      <c r="E7308" t="str">
        <f>HYPERLINK("J:\Depot - mpkCCD Fractions\Main Web Page\Web Pages_old\proteomic_fractions_linear_files/Yang_linear_img/308082030.jpg","show blot")</f>
        <v>show blot</v>
      </c>
      <c r="G7308" t="s">
        <v>7071</v>
      </c>
      <c r="I7308" s="6">
        <v>4.1611529566514571</v>
      </c>
      <c r="K7308" s="8"/>
    </row>
    <row r="7309" spans="1:11" ht="15" x14ac:dyDescent="0.25">
      <c r="A7309" s="3" t="str">
        <f>HYPERLINK("proteomic_fractions_linear_files/Yang_linear_img/6755364.jpg", "6755364")</f>
        <v>6755364</v>
      </c>
      <c r="C7309" s="3" t="str">
        <f>HYPERLINK("http://www.ncbi.nlm.nih.gov/protein/6755364","Sub1")</f>
        <v>Sub1</v>
      </c>
      <c r="E7309" t="str">
        <f>HYPERLINK("J:\Depot - mpkCCD Fractions\Main Web Page\Web Pages_old\proteomic_fractions_linear_files/Yang_linear_img/6755364.jpg","show blot")</f>
        <v>show blot</v>
      </c>
      <c r="G7309" t="s">
        <v>7072</v>
      </c>
      <c r="I7309" s="6">
        <v>6.4738592630350187</v>
      </c>
      <c r="K7309" s="8"/>
    </row>
    <row r="7310" spans="1:11" ht="15" x14ac:dyDescent="0.25">
      <c r="A7310" s="3" t="str">
        <f>HYPERLINK("proteomic_fractions_linear_files/Yang_linear_img/46849708.jpg", "46849708")</f>
        <v>46849708</v>
      </c>
      <c r="C7310" s="3" t="str">
        <f>HYPERLINK("http://www.ncbi.nlm.nih.gov/protein/46849708","Sucla2")</f>
        <v>Sucla2</v>
      </c>
      <c r="E7310" t="str">
        <f>HYPERLINK("J:\Depot - mpkCCD Fractions\Main Web Page\Web Pages_old\proteomic_fractions_linear_files/Yang_linear_img/46849708.jpg","show blot")</f>
        <v>show blot</v>
      </c>
      <c r="G7310" t="s">
        <v>7073</v>
      </c>
      <c r="I7310" s="6">
        <v>5.4754240230097997</v>
      </c>
      <c r="K7310" s="8"/>
    </row>
    <row r="7311" spans="1:11" ht="15" x14ac:dyDescent="0.25">
      <c r="A7311" s="3" t="str">
        <f>HYPERLINK("proteomic_fractions_linear_files/Yang_linear_img/255958286.jpg", "255958286")</f>
        <v>255958286</v>
      </c>
      <c r="C7311" s="3" t="str">
        <f>HYPERLINK("http://www.ncbi.nlm.nih.gov/protein/255958286","Suclg1")</f>
        <v>Suclg1</v>
      </c>
      <c r="E7311" t="str">
        <f>HYPERLINK("J:\Depot - mpkCCD Fractions\Main Web Page\Web Pages_old\proteomic_fractions_linear_files/Yang_linear_img/255958286.jpg","show blot")</f>
        <v>show blot</v>
      </c>
      <c r="G7311" t="s">
        <v>7074</v>
      </c>
      <c r="I7311" s="6">
        <v>5.8115645118961234</v>
      </c>
      <c r="K7311" s="8"/>
    </row>
    <row r="7312" spans="1:11" ht="15" x14ac:dyDescent="0.25">
      <c r="A7312" s="3" t="str">
        <f>HYPERLINK("proteomic_fractions_linear_files/Yang_linear_img/165972309.jpg", "165972309")</f>
        <v>165972309</v>
      </c>
      <c r="C7312" s="3" t="str">
        <f>HYPERLINK("http://www.ncbi.nlm.nih.gov/protein/165972309","Suclg2")</f>
        <v>Suclg2</v>
      </c>
      <c r="E7312" t="str">
        <f>HYPERLINK("J:\Depot - mpkCCD Fractions\Main Web Page\Web Pages_old\proteomic_fractions_linear_files/Yang_linear_img/165972309.jpg","show blot")</f>
        <v>show blot</v>
      </c>
      <c r="G7312" t="s">
        <v>7075</v>
      </c>
      <c r="I7312" s="6">
        <v>5.7309021771555919</v>
      </c>
      <c r="K7312" s="8"/>
    </row>
    <row r="7313" spans="1:11" ht="15" x14ac:dyDescent="0.25">
      <c r="A7313" s="3" t="str">
        <f>HYPERLINK("proteomic_fractions_linear_files/Yang_linear_img/70794805.jpg", "70794805")</f>
        <v>70794805</v>
      </c>
      <c r="C7313" s="3" t="str">
        <f>HYPERLINK("http://www.ncbi.nlm.nih.gov/protein/70794805","Sufu")</f>
        <v>Sufu</v>
      </c>
      <c r="E7313" t="str">
        <f>HYPERLINK("J:\Depot - mpkCCD Fractions\Main Web Page\Web Pages_old\proteomic_fractions_linear_files/Yang_linear_img/70794805.jpg","show blot")</f>
        <v>show blot</v>
      </c>
      <c r="G7313" t="s">
        <v>7076</v>
      </c>
      <c r="I7313" s="6">
        <v>4.0891692803671047</v>
      </c>
      <c r="K7313" s="8"/>
    </row>
    <row r="7314" spans="1:11" ht="15" x14ac:dyDescent="0.25">
      <c r="A7314" s="3" t="str">
        <f>HYPERLINK("proteomic_fractions_linear_files/Yang_linear_img/70794807.jpg", "70794807")</f>
        <v>70794807</v>
      </c>
      <c r="C7314" s="3" t="str">
        <f>HYPERLINK("http://www.ncbi.nlm.nih.gov/protein/70794807","Sufu")</f>
        <v>Sufu</v>
      </c>
      <c r="E7314" t="str">
        <f>HYPERLINK("J:\Depot - mpkCCD Fractions\Main Web Page\Web Pages_old\proteomic_fractions_linear_files/Yang_linear_img/70794807.jpg","show blot")</f>
        <v>show blot</v>
      </c>
      <c r="G7314" t="s">
        <v>7077</v>
      </c>
      <c r="I7314" s="6">
        <v>4.0891692803671047</v>
      </c>
      <c r="K7314" s="8"/>
    </row>
    <row r="7315" spans="1:11" ht="15" x14ac:dyDescent="0.25">
      <c r="A7315" s="3" t="str">
        <f>HYPERLINK("proteomic_fractions_linear_files/Yang_linear_img/23956176.jpg", "23956176")</f>
        <v>23956176</v>
      </c>
      <c r="C7315" s="3" t="str">
        <f>HYPERLINK("http://www.ncbi.nlm.nih.gov/protein/23956176","Sugt1")</f>
        <v>Sugt1</v>
      </c>
      <c r="E7315" t="str">
        <f>HYPERLINK("J:\Depot - mpkCCD Fractions\Main Web Page\Web Pages_old\proteomic_fractions_linear_files/Yang_linear_img/23956176.jpg","show blot")</f>
        <v>show blot</v>
      </c>
      <c r="G7315" t="s">
        <v>7078</v>
      </c>
      <c r="I7315" s="6">
        <v>5.9704757237193231</v>
      </c>
      <c r="K7315" s="8"/>
    </row>
    <row r="7316" spans="1:11" ht="15" x14ac:dyDescent="0.25">
      <c r="A7316" s="3" t="str">
        <f>HYPERLINK("proteomic_fractions_linear_files/Yang_linear_img/40254554.jpg", "40254554")</f>
        <v>40254554</v>
      </c>
      <c r="C7316" s="3" t="str">
        <f>HYPERLINK("http://www.ncbi.nlm.nih.gov/protein/40254554","Sult1c1")</f>
        <v>Sult1c1</v>
      </c>
      <c r="E7316" t="str">
        <f>HYPERLINK("J:\Depot - mpkCCD Fractions\Main Web Page\Web Pages_old\proteomic_fractions_linear_files/Yang_linear_img/40254554.jpg","show blot")</f>
        <v>show blot</v>
      </c>
      <c r="G7316" t="s">
        <v>7079</v>
      </c>
      <c r="I7316" s="6">
        <v>5.2968161360360577</v>
      </c>
      <c r="K7316" s="8"/>
    </row>
    <row r="7317" spans="1:11" ht="15" x14ac:dyDescent="0.25">
      <c r="A7317" s="3" t="str">
        <f>HYPERLINK("proteomic_fractions_linear_files/Yang_linear_img/34328501.jpg", "34328501")</f>
        <v>34328501</v>
      </c>
      <c r="C7317" s="3" t="str">
        <f>HYPERLINK("http://www.ncbi.nlm.nih.gov/protein/34328501","Sult1c2")</f>
        <v>Sult1c2</v>
      </c>
      <c r="E7317" t="str">
        <f>HYPERLINK("J:\Depot - mpkCCD Fractions\Main Web Page\Web Pages_old\proteomic_fractions_linear_files/Yang_linear_img/34328501.jpg","show blot")</f>
        <v>show blot</v>
      </c>
      <c r="G7317" t="s">
        <v>7080</v>
      </c>
      <c r="I7317" s="6">
        <v>3.9632813560303908</v>
      </c>
      <c r="K7317" s="8"/>
    </row>
    <row r="7318" spans="1:11" ht="15" x14ac:dyDescent="0.25">
      <c r="A7318" s="3" t="str">
        <f>HYPERLINK("proteomic_fractions_linear_files/Yang_linear_img/188219649.jpg", "188219649")</f>
        <v>188219649</v>
      </c>
      <c r="C7318" s="3" t="str">
        <f>HYPERLINK("http://www.ncbi.nlm.nih.gov/protein/188219649","Sult1d1")</f>
        <v>Sult1d1</v>
      </c>
      <c r="E7318" t="str">
        <f>HYPERLINK("J:\Depot - mpkCCD Fractions\Main Web Page\Web Pages_old\proteomic_fractions_linear_files/Yang_linear_img/188219649.jpg","show blot")</f>
        <v>show blot</v>
      </c>
      <c r="G7318" t="s">
        <v>7081</v>
      </c>
      <c r="I7318" s="6">
        <v>6.2083948249558425</v>
      </c>
      <c r="K7318" s="8"/>
    </row>
    <row r="7319" spans="1:11" ht="15" x14ac:dyDescent="0.25">
      <c r="A7319" s="3" t="str">
        <f>HYPERLINK("proteomic_fractions_linear_files/Yang_linear_img/229092371.jpg", "229092371")</f>
        <v>229092371</v>
      </c>
      <c r="C7319" s="3" t="str">
        <f>HYPERLINK("http://www.ncbi.nlm.nih.gov/protein/229092371","Sult2b1")</f>
        <v>Sult2b1</v>
      </c>
      <c r="E7319" t="str">
        <f>HYPERLINK("J:\Depot - mpkCCD Fractions\Main Web Page\Web Pages_old\proteomic_fractions_linear_files/Yang_linear_img/229092371.jpg","show blot")</f>
        <v>show blot</v>
      </c>
      <c r="G7319" t="s">
        <v>7082</v>
      </c>
      <c r="I7319" s="6">
        <v>4.0023656672097658</v>
      </c>
      <c r="K7319" s="8"/>
    </row>
    <row r="7320" spans="1:11" ht="15" x14ac:dyDescent="0.25">
      <c r="A7320" s="3" t="str">
        <f>HYPERLINK("proteomic_fractions_linear_files/Yang_linear_img/171906580.jpg", "171906580")</f>
        <v>171906580</v>
      </c>
      <c r="C7320" s="3" t="str">
        <f>HYPERLINK("http://www.ncbi.nlm.nih.gov/protein/171906580","Sult3a1")</f>
        <v>Sult3a1</v>
      </c>
      <c r="E7320" t="str">
        <f>HYPERLINK("J:\Depot - mpkCCD Fractions\Main Web Page\Web Pages_old\proteomic_fractions_linear_files/Yang_linear_img/171906580.jpg","show blot")</f>
        <v>show blot</v>
      </c>
      <c r="G7320" t="s">
        <v>7083</v>
      </c>
      <c r="I7320" s="6">
        <v>3.2460865315881731</v>
      </c>
      <c r="K7320" s="8"/>
    </row>
    <row r="7321" spans="1:11" ht="15" x14ac:dyDescent="0.25">
      <c r="A7321" s="3" t="str">
        <f>HYPERLINK("proteomic_fractions_linear_files/Yang_linear_img/144094256.jpg", "144094256")</f>
        <v>144094256</v>
      </c>
      <c r="C7321" s="3" t="str">
        <f>HYPERLINK("http://www.ncbi.nlm.nih.gov/protein/144094256","Sumf1")</f>
        <v>Sumf1</v>
      </c>
      <c r="E7321" t="str">
        <f>HYPERLINK("J:\Depot - mpkCCD Fractions\Main Web Page\Web Pages_old\proteomic_fractions_linear_files/Yang_linear_img/144094256.jpg","show blot")</f>
        <v>show blot</v>
      </c>
      <c r="G7321" t="s">
        <v>7084</v>
      </c>
      <c r="I7321" s="6">
        <v>3.6906684972011115</v>
      </c>
      <c r="K7321" s="8"/>
    </row>
    <row r="7322" spans="1:11" ht="15" x14ac:dyDescent="0.25">
      <c r="A7322" s="3" t="str">
        <f>HYPERLINK("proteomic_fractions_linear_files/Yang_linear_img/19111164.jpg", "19111164")</f>
        <v>19111164</v>
      </c>
      <c r="C7322" s="3" t="str">
        <f>HYPERLINK("http://www.ncbi.nlm.nih.gov/protein/19111164","Sumo2")</f>
        <v>Sumo2</v>
      </c>
      <c r="E7322" t="str">
        <f>HYPERLINK("J:\Depot - mpkCCD Fractions\Main Web Page\Web Pages_old\proteomic_fractions_linear_files/Yang_linear_img/19111164.jpg","show blot")</f>
        <v>show blot</v>
      </c>
      <c r="G7322" t="s">
        <v>7085</v>
      </c>
      <c r="I7322" s="6">
        <v>6.5247001472613482</v>
      </c>
      <c r="K7322" s="8"/>
    </row>
    <row r="7323" spans="1:11" ht="15" x14ac:dyDescent="0.25">
      <c r="A7323" s="3" t="str">
        <f>HYPERLINK("proteomic_fractions_linear_files/Yang_linear_img/9910556.jpg", "9910556")</f>
        <v>9910556</v>
      </c>
      <c r="C7323" s="3" t="str">
        <f>HYPERLINK("http://www.ncbi.nlm.nih.gov/protein/9910556","Sumo3")</f>
        <v>Sumo3</v>
      </c>
      <c r="E7323" t="str">
        <f>HYPERLINK("J:\Depot - mpkCCD Fractions\Main Web Page\Web Pages_old\proteomic_fractions_linear_files/Yang_linear_img/9910556.jpg","show blot")</f>
        <v>show blot</v>
      </c>
      <c r="G7323" t="s">
        <v>7086</v>
      </c>
      <c r="I7323" s="6">
        <v>6.5002379129564734</v>
      </c>
      <c r="K7323" s="8"/>
    </row>
    <row r="7324" spans="1:11" ht="15" x14ac:dyDescent="0.25">
      <c r="A7324" s="3" t="str">
        <f>HYPERLINK("proteomic_fractions_linear_files/Yang_linear_img/29789243.jpg", "29789243")</f>
        <v>29789243</v>
      </c>
      <c r="C7324" s="3" t="str">
        <f>HYPERLINK("http://www.ncbi.nlm.nih.gov/protein/29789243","Sun1")</f>
        <v>Sun1</v>
      </c>
      <c r="E7324" t="str">
        <f>HYPERLINK("J:\Depot - mpkCCD Fractions\Main Web Page\Web Pages_old\proteomic_fractions_linear_files/Yang_linear_img/29789243.jpg","show blot")</f>
        <v>show blot</v>
      </c>
      <c r="G7324" t="s">
        <v>7087</v>
      </c>
      <c r="I7324" s="6">
        <v>3.5214633387802516</v>
      </c>
      <c r="K7324" s="8"/>
    </row>
    <row r="7325" spans="1:11" ht="15" x14ac:dyDescent="0.25">
      <c r="A7325" s="3" t="str">
        <f>HYPERLINK("proteomic_fractions_linear_files/Yang_linear_img/371120922.jpg", "371120922")</f>
        <v>371120922</v>
      </c>
      <c r="C7325" s="3" t="str">
        <f>HYPERLINK("http://www.ncbi.nlm.nih.gov/protein/371120922","Sun1")</f>
        <v>Sun1</v>
      </c>
      <c r="E7325" t="str">
        <f>HYPERLINK("J:\Depot - mpkCCD Fractions\Main Web Page\Web Pages_old\proteomic_fractions_linear_files/Yang_linear_img/371120922.jpg","show blot")</f>
        <v>show blot</v>
      </c>
      <c r="G7325" t="s">
        <v>7088</v>
      </c>
      <c r="I7325" s="6">
        <v>3.5214633387802516</v>
      </c>
      <c r="K7325" s="8"/>
    </row>
    <row r="7326" spans="1:11" ht="15" x14ac:dyDescent="0.25">
      <c r="A7326" s="3" t="str">
        <f>HYPERLINK("proteomic_fractions_linear_files/Yang_linear_img/371120936.jpg", "371120936")</f>
        <v>371120936</v>
      </c>
      <c r="C7326" s="3" t="str">
        <f>HYPERLINK("http://www.ncbi.nlm.nih.gov/protein/371120936","Sun1")</f>
        <v>Sun1</v>
      </c>
      <c r="E7326" t="str">
        <f>HYPERLINK("J:\Depot - mpkCCD Fractions\Main Web Page\Web Pages_old\proteomic_fractions_linear_files/Yang_linear_img/371120936.jpg","show blot")</f>
        <v>show blot</v>
      </c>
      <c r="G7326" t="s">
        <v>7089</v>
      </c>
      <c r="I7326" s="6">
        <v>3.5214633387802516</v>
      </c>
      <c r="K7326" s="8"/>
    </row>
    <row r="7327" spans="1:11" ht="15" x14ac:dyDescent="0.25">
      <c r="A7327" s="3" t="str">
        <f>HYPERLINK("proteomic_fractions_linear_files/Yang_linear_img/371121164.jpg", "371121164")</f>
        <v>371121164</v>
      </c>
      <c r="C7327" s="3" t="str">
        <f>HYPERLINK("http://www.ncbi.nlm.nih.gov/protein/371121164","Sun1")</f>
        <v>Sun1</v>
      </c>
      <c r="E7327" t="str">
        <f>HYPERLINK("J:\Depot - mpkCCD Fractions\Main Web Page\Web Pages_old\proteomic_fractions_linear_files/Yang_linear_img/371121164.jpg","show blot")</f>
        <v>show blot</v>
      </c>
      <c r="G7327" t="s">
        <v>7090</v>
      </c>
      <c r="I7327" s="6">
        <v>3.5214633387802516</v>
      </c>
      <c r="K7327" s="8"/>
    </row>
    <row r="7328" spans="1:11" ht="15" x14ac:dyDescent="0.25">
      <c r="A7328" s="3" t="str">
        <f>HYPERLINK("proteomic_fractions_linear_files/Yang_linear_img/371121280.jpg", "371121280")</f>
        <v>371121280</v>
      </c>
      <c r="C7328" s="3" t="str">
        <f>HYPERLINK("http://www.ncbi.nlm.nih.gov/protein/371121280","Sun1")</f>
        <v>Sun1</v>
      </c>
      <c r="E7328" t="str">
        <f>HYPERLINK("J:\Depot - mpkCCD Fractions\Main Web Page\Web Pages_old\proteomic_fractions_linear_files/Yang_linear_img/371121280.jpg","show blot")</f>
        <v>show blot</v>
      </c>
      <c r="G7328" t="s">
        <v>7091</v>
      </c>
      <c r="I7328" s="6">
        <v>3.5214633387802516</v>
      </c>
      <c r="K7328" s="8"/>
    </row>
    <row r="7329" spans="1:11" ht="15" x14ac:dyDescent="0.25">
      <c r="A7329" s="3" t="str">
        <f>HYPERLINK("proteomic_fractions_linear_files/Yang_linear_img/168693641.jpg", "168693641")</f>
        <v>168693641</v>
      </c>
      <c r="C7329" s="3" t="str">
        <f>HYPERLINK("http://www.ncbi.nlm.nih.gov/protein/168693641","Sun2")</f>
        <v>Sun2</v>
      </c>
      <c r="E7329" t="str">
        <f>HYPERLINK("J:\Depot - mpkCCD Fractions\Main Web Page\Web Pages_old\proteomic_fractions_linear_files/Yang_linear_img/168693641.jpg","show blot")</f>
        <v>show blot</v>
      </c>
      <c r="G7329" t="s">
        <v>7092</v>
      </c>
      <c r="I7329" s="6">
        <v>5.2850257086067014</v>
      </c>
      <c r="K7329" s="8"/>
    </row>
    <row r="7330" spans="1:11" ht="15" x14ac:dyDescent="0.25">
      <c r="A7330" s="3" t="str">
        <f>HYPERLINK("proteomic_fractions_linear_files/Yang_linear_img/329299035.jpg", "329299035")</f>
        <v>329299035</v>
      </c>
      <c r="C7330" s="3" t="str">
        <f>HYPERLINK("http://www.ncbi.nlm.nih.gov/protein/329299035","Sun2")</f>
        <v>Sun2</v>
      </c>
      <c r="E7330" t="str">
        <f>HYPERLINK("J:\Depot - mpkCCD Fractions\Main Web Page\Web Pages_old\proteomic_fractions_linear_files/Yang_linear_img/329299035.jpg","show blot")</f>
        <v>show blot</v>
      </c>
      <c r="G7330" t="s">
        <v>7093</v>
      </c>
      <c r="I7330" s="6">
        <v>5.2850257086067014</v>
      </c>
      <c r="K7330" s="8"/>
    </row>
    <row r="7331" spans="1:11" ht="15" x14ac:dyDescent="0.25">
      <c r="A7331" s="3" t="str">
        <f>HYPERLINK("proteomic_fractions_linear_files/Yang_linear_img/329299037.jpg", "329299037")</f>
        <v>329299037</v>
      </c>
      <c r="C7331" s="3" t="str">
        <f>HYPERLINK("http://www.ncbi.nlm.nih.gov/protein/329299037","Sun2")</f>
        <v>Sun2</v>
      </c>
      <c r="E7331" t="str">
        <f>HYPERLINK("J:\Depot - mpkCCD Fractions\Main Web Page\Web Pages_old\proteomic_fractions_linear_files/Yang_linear_img/329299037.jpg","show blot")</f>
        <v>show blot</v>
      </c>
      <c r="G7331" t="s">
        <v>7094</v>
      </c>
      <c r="I7331" s="6">
        <v>5.2850257086067014</v>
      </c>
      <c r="K7331" s="8"/>
    </row>
    <row r="7332" spans="1:11" ht="15" x14ac:dyDescent="0.25">
      <c r="A7332" s="3" t="str">
        <f>HYPERLINK("proteomic_fractions_linear_files/Yang_linear_img/154350222.jpg", "154350222")</f>
        <v>154350222</v>
      </c>
      <c r="C7332" s="3" t="str">
        <f>HYPERLINK("http://www.ncbi.nlm.nih.gov/protein/154350222","Supt16")</f>
        <v>Supt16</v>
      </c>
      <c r="E7332" t="str">
        <f>HYPERLINK("J:\Depot - mpkCCD Fractions\Main Web Page\Web Pages_old\proteomic_fractions_linear_files/Yang_linear_img/154350222.jpg","show blot")</f>
        <v>show blot</v>
      </c>
      <c r="G7332" t="s">
        <v>7095</v>
      </c>
      <c r="I7332" s="6">
        <v>5.0806508918174131</v>
      </c>
      <c r="K7332" s="8"/>
    </row>
    <row r="7333" spans="1:11" ht="15" x14ac:dyDescent="0.25">
      <c r="A7333" s="3" t="str">
        <f>HYPERLINK("proteomic_fractions_linear_files/Yang_linear_img/6678181.jpg", "6678181")</f>
        <v>6678181</v>
      </c>
      <c r="C7333" s="3" t="str">
        <f>HYPERLINK("http://www.ncbi.nlm.nih.gov/protein/6678181","Supt4a")</f>
        <v>Supt4a</v>
      </c>
      <c r="E7333" t="str">
        <f>HYPERLINK("J:\Depot - mpkCCD Fractions\Main Web Page\Web Pages_old\proteomic_fractions_linear_files/Yang_linear_img/6678181.jpg","show blot")</f>
        <v>show blot</v>
      </c>
      <c r="G7333" t="s">
        <v>7096</v>
      </c>
      <c r="I7333" s="6">
        <v>4.6753065635822919</v>
      </c>
      <c r="K7333" s="8"/>
    </row>
    <row r="7334" spans="1:11" ht="15" x14ac:dyDescent="0.25">
      <c r="A7334" s="3" t="str">
        <f>HYPERLINK("proteomic_fractions_linear_files/Yang_linear_img/22094123.jpg", "22094123")</f>
        <v>22094123</v>
      </c>
      <c r="C7334" s="3" t="str">
        <f>HYPERLINK("http://www.ncbi.nlm.nih.gov/protein/22094123","Supt5")</f>
        <v>Supt5</v>
      </c>
      <c r="E7334" t="str">
        <f>HYPERLINK("J:\Depot - mpkCCD Fractions\Main Web Page\Web Pages_old\proteomic_fractions_linear_files/Yang_linear_img/22094123.jpg","show blot")</f>
        <v>show blot</v>
      </c>
      <c r="G7334" t="s">
        <v>7097</v>
      </c>
      <c r="I7334" s="6">
        <v>4.817978242983127</v>
      </c>
      <c r="K7334" s="8"/>
    </row>
    <row r="7335" spans="1:11" ht="15" x14ac:dyDescent="0.25">
      <c r="A7335" s="3" t="str">
        <f>HYPERLINK("proteomic_fractions_linear_files/Yang_linear_img/166091434.jpg", "166091434")</f>
        <v>166091434</v>
      </c>
      <c r="C7335" s="3" t="str">
        <f>HYPERLINK("http://www.ncbi.nlm.nih.gov/protein/166091434","Supt6")</f>
        <v>Supt6</v>
      </c>
      <c r="E7335" t="str">
        <f>HYPERLINK("J:\Depot - mpkCCD Fractions\Main Web Page\Web Pages_old\proteomic_fractions_linear_files/Yang_linear_img/166091434.jpg","show blot")</f>
        <v>show blot</v>
      </c>
      <c r="G7335" t="s">
        <v>7098</v>
      </c>
      <c r="I7335" s="6">
        <v>4.6072869617049008</v>
      </c>
      <c r="K7335" s="8"/>
    </row>
    <row r="7336" spans="1:11" ht="15" x14ac:dyDescent="0.25">
      <c r="A7336" s="3" t="str">
        <f>HYPERLINK("proteomic_fractions_linear_files/Yang_linear_img/31088872.jpg", "31088872")</f>
        <v>31088872</v>
      </c>
      <c r="C7336" s="3" t="str">
        <f>HYPERLINK("http://www.ncbi.nlm.nih.gov/protein/31088872","Supv3l1")</f>
        <v>Supv3l1</v>
      </c>
      <c r="E7336" t="str">
        <f>HYPERLINK("J:\Depot - mpkCCD Fractions\Main Web Page\Web Pages_old\proteomic_fractions_linear_files/Yang_linear_img/31088872.jpg","show blot")</f>
        <v>show blot</v>
      </c>
      <c r="G7336" t="s">
        <v>7099</v>
      </c>
      <c r="I7336" s="6">
        <v>4.0474272481326832</v>
      </c>
      <c r="K7336" s="8"/>
    </row>
    <row r="7337" spans="1:11" ht="15" x14ac:dyDescent="0.25">
      <c r="A7337" s="3" t="str">
        <f>HYPERLINK("proteomic_fractions_linear_files/Yang_linear_img/160707899.jpg", "160707899")</f>
        <v>160707899</v>
      </c>
      <c r="C7337" s="3" t="str">
        <f>HYPERLINK("http://www.ncbi.nlm.nih.gov/protein/160707899","Surf1")</f>
        <v>Surf1</v>
      </c>
      <c r="E7337" t="str">
        <f>HYPERLINK("J:\Depot - mpkCCD Fractions\Main Web Page\Web Pages_old\proteomic_fractions_linear_files/Yang_linear_img/160707899.jpg","show blot")</f>
        <v>show blot</v>
      </c>
      <c r="G7337" t="s">
        <v>7100</v>
      </c>
      <c r="I7337" s="6">
        <v>3.1606705469499059</v>
      </c>
      <c r="K7337" s="8"/>
    </row>
    <row r="7338" spans="1:11" ht="15" x14ac:dyDescent="0.25">
      <c r="A7338" s="3" t="str">
        <f>HYPERLINK("proteomic_fractions_linear_files/Yang_linear_img/411147435.jpg", "411147435")</f>
        <v>411147435</v>
      </c>
      <c r="C7338" s="3" t="str">
        <f>HYPERLINK("http://www.ncbi.nlm.nih.gov/protein/411147435","Surf1")</f>
        <v>Surf1</v>
      </c>
      <c r="E7338" t="str">
        <f>HYPERLINK("J:\Depot - mpkCCD Fractions\Main Web Page\Web Pages_old\proteomic_fractions_linear_files/Yang_linear_img/411147435.jpg","show blot")</f>
        <v>show blot</v>
      </c>
      <c r="G7338" t="s">
        <v>7101</v>
      </c>
      <c r="I7338" s="6">
        <v>3.1606705469499059</v>
      </c>
      <c r="K7338" s="8"/>
    </row>
    <row r="7339" spans="1:11" ht="15" x14ac:dyDescent="0.25">
      <c r="A7339" s="3" t="str">
        <f>HYPERLINK("proteomic_fractions_linear_files/Yang_linear_img/7305529.jpg", "7305529")</f>
        <v>7305529</v>
      </c>
      <c r="C7339" s="3" t="str">
        <f>HYPERLINK("http://www.ncbi.nlm.nih.gov/protein/7305529","Surf2")</f>
        <v>Surf2</v>
      </c>
      <c r="E7339" t="str">
        <f>HYPERLINK("J:\Depot - mpkCCD Fractions\Main Web Page\Web Pages_old\proteomic_fractions_linear_files/Yang_linear_img/7305529.jpg","show blot")</f>
        <v>show blot</v>
      </c>
      <c r="G7339" t="s">
        <v>7102</v>
      </c>
      <c r="I7339" s="6">
        <v>4.1329698538646227</v>
      </c>
      <c r="K7339" s="8"/>
    </row>
    <row r="7340" spans="1:11" ht="15" x14ac:dyDescent="0.25">
      <c r="A7340" s="3" t="str">
        <f>HYPERLINK("proteomic_fractions_linear_files/Yang_linear_img/6755698.jpg", "6755698")</f>
        <v>6755698</v>
      </c>
      <c r="C7340" s="3" t="str">
        <f>HYPERLINK("http://www.ncbi.nlm.nih.gov/protein/6755698","Surf4")</f>
        <v>Surf4</v>
      </c>
      <c r="E7340" t="str">
        <f>HYPERLINK("J:\Depot - mpkCCD Fractions\Main Web Page\Web Pages_old\proteomic_fractions_linear_files/Yang_linear_img/6755698.jpg","show blot")</f>
        <v>show blot</v>
      </c>
      <c r="G7340" t="s">
        <v>7103</v>
      </c>
      <c r="I7340" s="6">
        <v>5.4122467993578889</v>
      </c>
      <c r="K7340" s="8"/>
    </row>
    <row r="7341" spans="1:11" ht="15" x14ac:dyDescent="0.25">
      <c r="A7341" s="3" t="str">
        <f>HYPERLINK("proteomic_fractions_linear_files/Yang_linear_img/6678185.jpg", "6678185")</f>
        <v>6678185</v>
      </c>
      <c r="C7341" s="3" t="str">
        <f>HYPERLINK("http://www.ncbi.nlm.nih.gov/protein/6678185","Surf6")</f>
        <v>Surf6</v>
      </c>
      <c r="E7341" t="str">
        <f>HYPERLINK("J:\Depot - mpkCCD Fractions\Main Web Page\Web Pages_old\proteomic_fractions_linear_files/Yang_linear_img/6678185.jpg","show blot")</f>
        <v>show blot</v>
      </c>
      <c r="G7341" t="s">
        <v>7104</v>
      </c>
      <c r="I7341" s="6">
        <v>3.6162496581584529</v>
      </c>
      <c r="K7341" s="8"/>
    </row>
    <row r="7342" spans="1:11" ht="15" x14ac:dyDescent="0.25">
      <c r="A7342" s="3" t="str">
        <f>HYPERLINK("proteomic_fractions_linear_files/Yang_linear_img/268607615.jpg", "268607615")</f>
        <v>268607615</v>
      </c>
      <c r="C7342" s="3" t="str">
        <f>HYPERLINK("http://www.ncbi.nlm.nih.gov/protein/268607615","Suv420h1")</f>
        <v>Suv420h1</v>
      </c>
      <c r="E7342" t="str">
        <f>HYPERLINK("J:\Depot - mpkCCD Fractions\Main Web Page\Web Pages_old\proteomic_fractions_linear_files/Yang_linear_img/268607615.jpg","show blot")</f>
        <v>show blot</v>
      </c>
      <c r="G7342" t="s">
        <v>7105</v>
      </c>
      <c r="I7342" s="6">
        <v>4.5749942700098893</v>
      </c>
      <c r="K7342" s="8"/>
    </row>
    <row r="7343" spans="1:11" ht="15" x14ac:dyDescent="0.25">
      <c r="A7343" s="3" t="str">
        <f>HYPERLINK("proteomic_fractions_linear_files/Yang_linear_img/268607619.jpg", "268607619")</f>
        <v>268607619</v>
      </c>
      <c r="C7343" s="3" t="str">
        <f>HYPERLINK("http://www.ncbi.nlm.nih.gov/protein/268607619","Suv420h1")</f>
        <v>Suv420h1</v>
      </c>
      <c r="E7343" t="str">
        <f>HYPERLINK("J:\Depot - mpkCCD Fractions\Main Web Page\Web Pages_old\proteomic_fractions_linear_files/Yang_linear_img/268607619.jpg","show blot")</f>
        <v>show blot</v>
      </c>
      <c r="G7343" t="s">
        <v>7106</v>
      </c>
      <c r="I7343" s="6">
        <v>4.5749942700098893</v>
      </c>
      <c r="K7343" s="8"/>
    </row>
    <row r="7344" spans="1:11" ht="15" x14ac:dyDescent="0.25">
      <c r="A7344" s="3" t="str">
        <f>HYPERLINK("proteomic_fractions_linear_files/Yang_linear_img/237858757.jpg", "237858757")</f>
        <v>237858757</v>
      </c>
      <c r="C7344" s="3" t="str">
        <f>HYPERLINK("http://www.ncbi.nlm.nih.gov/protein/237858757","Svip")</f>
        <v>Svip</v>
      </c>
      <c r="E7344" t="str">
        <f>HYPERLINK("J:\Depot - mpkCCD Fractions\Main Web Page\Web Pages_old\proteomic_fractions_linear_files/Yang_linear_img/237858757.jpg","show blot")</f>
        <v>show blot</v>
      </c>
      <c r="G7344" t="s">
        <v>7107</v>
      </c>
      <c r="I7344" s="6">
        <v>2.0525977633215624</v>
      </c>
      <c r="K7344" s="8"/>
    </row>
    <row r="7345" spans="1:11" ht="15" x14ac:dyDescent="0.25">
      <c r="A7345" s="3" t="str">
        <f>HYPERLINK("proteomic_fractions_linear_files/Yang_linear_img/228008363.jpg", "228008363")</f>
        <v>228008363</v>
      </c>
      <c r="C7345" s="3" t="str">
        <f>HYPERLINK("http://www.ncbi.nlm.nih.gov/protein/228008363","Swap70")</f>
        <v>Swap70</v>
      </c>
      <c r="E7345" t="str">
        <f>HYPERLINK("J:\Depot - mpkCCD Fractions\Main Web Page\Web Pages_old\proteomic_fractions_linear_files/Yang_linear_img/228008363.jpg","show blot")</f>
        <v>show blot</v>
      </c>
      <c r="G7345" t="s">
        <v>7108</v>
      </c>
      <c r="I7345" s="6">
        <v>4.6737722917147568</v>
      </c>
      <c r="K7345" s="8"/>
    </row>
    <row r="7346" spans="1:11" ht="15" x14ac:dyDescent="0.25">
      <c r="A7346" s="3" t="str">
        <f>HYPERLINK("proteomic_fractions_linear_files/Yang_linear_img/270265917.jpg", "270265917")</f>
        <v>270265917</v>
      </c>
      <c r="C7346" s="3" t="str">
        <f>HYPERLINK("http://www.ncbi.nlm.nih.gov/protein/270265917","Syap1")</f>
        <v>Syap1</v>
      </c>
      <c r="E7346" t="str">
        <f>HYPERLINK("J:\Depot - mpkCCD Fractions\Main Web Page\Web Pages_old\proteomic_fractions_linear_files/Yang_linear_img/270265917.jpg","show blot")</f>
        <v>show blot</v>
      </c>
      <c r="G7346" t="s">
        <v>7109</v>
      </c>
      <c r="I7346" s="6">
        <v>5.0196746509702352</v>
      </c>
      <c r="K7346" s="8"/>
    </row>
    <row r="7347" spans="1:11" ht="15" x14ac:dyDescent="0.25">
      <c r="A7347" s="3" t="str">
        <f>HYPERLINK("proteomic_fractions_linear_files/Yang_linear_img/56550045.jpg", "56550045")</f>
        <v>56550045</v>
      </c>
      <c r="C7347" s="3" t="str">
        <f>HYPERLINK("http://www.ncbi.nlm.nih.gov/protein/56550045","Syk")</f>
        <v>Syk</v>
      </c>
      <c r="E7347" t="str">
        <f>HYPERLINK("J:\Depot - mpkCCD Fractions\Main Web Page\Web Pages_old\proteomic_fractions_linear_files/Yang_linear_img/56550045.jpg","show blot")</f>
        <v>show blot</v>
      </c>
      <c r="G7347" t="s">
        <v>7110</v>
      </c>
      <c r="I7347" s="6">
        <v>3.487373390474704</v>
      </c>
      <c r="K7347" s="8"/>
    </row>
    <row r="7348" spans="1:11" ht="15" x14ac:dyDescent="0.25">
      <c r="A7348" s="3" t="str">
        <f>HYPERLINK("proteomic_fractions_linear_files/Yang_linear_img/226437613.jpg", "226437613")</f>
        <v>226437613</v>
      </c>
      <c r="C7348" s="3" t="str">
        <f>HYPERLINK("http://www.ncbi.nlm.nih.gov/protein/226437613","Sympk")</f>
        <v>Sympk</v>
      </c>
      <c r="E7348" t="str">
        <f>HYPERLINK("J:\Depot - mpkCCD Fractions\Main Web Page\Web Pages_old\proteomic_fractions_linear_files/Yang_linear_img/226437613.jpg","show blot")</f>
        <v>show blot</v>
      </c>
      <c r="G7348" t="s">
        <v>7111</v>
      </c>
      <c r="I7348" s="6">
        <v>4.2013727015601843</v>
      </c>
      <c r="K7348" s="8"/>
    </row>
    <row r="7349" spans="1:11" ht="15" x14ac:dyDescent="0.25">
      <c r="A7349" s="3" t="str">
        <f>HYPERLINK("proteomic_fractions_linear_files/Yang_linear_img/85701452.jpg", "85701452")</f>
        <v>85701452</v>
      </c>
      <c r="C7349" s="3" t="str">
        <f>HYPERLINK("http://www.ncbi.nlm.nih.gov/protein/85701452","Syna")</f>
        <v>Syna</v>
      </c>
      <c r="E7349" t="str">
        <f>HYPERLINK("J:\Depot - mpkCCD Fractions\Main Web Page\Web Pages_old\proteomic_fractions_linear_files/Yang_linear_img/85701452.jpg","show blot")</f>
        <v>show blot</v>
      </c>
      <c r="G7349" t="s">
        <v>7112</v>
      </c>
      <c r="I7349" s="6">
        <v>4.5862862905923336</v>
      </c>
      <c r="K7349" s="8"/>
    </row>
    <row r="7350" spans="1:11" ht="15" x14ac:dyDescent="0.25">
      <c r="A7350" s="3" t="str">
        <f>HYPERLINK("proteomic_fractions_linear_files/Yang_linear_img/547235396.jpg", "547235396")</f>
        <v>547235396</v>
      </c>
      <c r="C7350" s="3" t="str">
        <f>HYPERLINK("http://www.ncbi.nlm.nih.gov/protein/547235396","Syncrip")</f>
        <v>Syncrip</v>
      </c>
      <c r="E7350" t="str">
        <f>HYPERLINK("J:\Depot - mpkCCD Fractions\Main Web Page\Web Pages_old\proteomic_fractions_linear_files/Yang_linear_img/547235396.jpg","show blot")</f>
        <v>show blot</v>
      </c>
      <c r="G7350" t="s">
        <v>7113</v>
      </c>
      <c r="I7350" s="6">
        <v>6.2534493287017288</v>
      </c>
      <c r="K7350" s="8"/>
    </row>
    <row r="7351" spans="1:11" ht="15" x14ac:dyDescent="0.25">
      <c r="A7351" s="3" t="str">
        <f>HYPERLINK("proteomic_fractions_linear_files/Yang_linear_img/114145493.jpg", "114145493")</f>
        <v>114145493</v>
      </c>
      <c r="C7351" s="3" t="str">
        <f>HYPERLINK("http://www.ncbi.nlm.nih.gov/protein/114145493","Syncrip")</f>
        <v>Syncrip</v>
      </c>
      <c r="E7351" t="str">
        <f>HYPERLINK("J:\Depot - mpkCCD Fractions\Main Web Page\Web Pages_old\proteomic_fractions_linear_files/Yang_linear_img/114145493.jpg","show blot")</f>
        <v>show blot</v>
      </c>
      <c r="G7351" t="s">
        <v>7114</v>
      </c>
      <c r="I7351" s="6">
        <v>6.2534493287017288</v>
      </c>
      <c r="K7351" s="8"/>
    </row>
    <row r="7352" spans="1:11" ht="15" x14ac:dyDescent="0.25">
      <c r="A7352" s="3" t="str">
        <f>HYPERLINK("proteomic_fractions_linear_files/Yang_linear_img/29788787.jpg", "29788787")</f>
        <v>29788787</v>
      </c>
      <c r="C7352" s="3" t="str">
        <f>HYPERLINK("http://www.ncbi.nlm.nih.gov/protein/29788787","Syncrip")</f>
        <v>Syncrip</v>
      </c>
      <c r="E7352" t="str">
        <f>HYPERLINK("J:\Depot - mpkCCD Fractions\Main Web Page\Web Pages_old\proteomic_fractions_linear_files/Yang_linear_img/29788787.jpg","show blot")</f>
        <v>show blot</v>
      </c>
      <c r="G7352" t="s">
        <v>7115</v>
      </c>
      <c r="I7352" s="6">
        <v>6.2534493287017288</v>
      </c>
      <c r="K7352" s="8"/>
    </row>
    <row r="7353" spans="1:11" ht="15" x14ac:dyDescent="0.25">
      <c r="A7353" s="3" t="str">
        <f>HYPERLINK("proteomic_fractions_linear_files/Yang_linear_img/119120816.jpg", "119120816")</f>
        <v>119120816</v>
      </c>
      <c r="C7353" s="3" t="str">
        <f>HYPERLINK("http://www.ncbi.nlm.nih.gov/protein/119120816","Syne1")</f>
        <v>Syne1</v>
      </c>
      <c r="E7353" t="str">
        <f>HYPERLINK("J:\Depot - mpkCCD Fractions\Main Web Page\Web Pages_old\proteomic_fractions_linear_files/Yang_linear_img/119120816.jpg","show blot")</f>
        <v>show blot</v>
      </c>
      <c r="G7353" t="s">
        <v>7116</v>
      </c>
      <c r="I7353" s="6">
        <v>3.9913080214910974</v>
      </c>
      <c r="K7353" s="8"/>
    </row>
    <row r="7354" spans="1:11" ht="15" x14ac:dyDescent="0.25">
      <c r="A7354" s="3" t="str">
        <f>HYPERLINK("proteomic_fractions_linear_files/Yang_linear_img/119120865.jpg", "119120865")</f>
        <v>119120865</v>
      </c>
      <c r="C7354" s="3" t="str">
        <f>HYPERLINK("http://www.ncbi.nlm.nih.gov/protein/119120865","Syne1")</f>
        <v>Syne1</v>
      </c>
      <c r="E7354" t="str">
        <f>HYPERLINK("J:\Depot - mpkCCD Fractions\Main Web Page\Web Pages_old\proteomic_fractions_linear_files/Yang_linear_img/119120865.jpg","show blot")</f>
        <v>show blot</v>
      </c>
      <c r="G7354" t="s">
        <v>7117</v>
      </c>
      <c r="I7354" s="6">
        <v>3.9913080214910974</v>
      </c>
      <c r="K7354" s="8"/>
    </row>
    <row r="7355" spans="1:11" ht="15" x14ac:dyDescent="0.25">
      <c r="A7355" s="3" t="str">
        <f>HYPERLINK("proteomic_fractions_linear_files/Yang_linear_img/145699091.jpg", "145699091")</f>
        <v>145699091</v>
      </c>
      <c r="C7355" s="3" t="str">
        <f>HYPERLINK("http://www.ncbi.nlm.nih.gov/protein/145699091","Syne2")</f>
        <v>Syne2</v>
      </c>
      <c r="E7355" t="str">
        <f>HYPERLINK("J:\Depot - mpkCCD Fractions\Main Web Page\Web Pages_old\proteomic_fractions_linear_files/Yang_linear_img/145699091.jpg","show blot")</f>
        <v>show blot</v>
      </c>
      <c r="G7355" t="s">
        <v>7118</v>
      </c>
      <c r="I7355" s="6">
        <v>5.9196357483091084</v>
      </c>
      <c r="K7355" s="8"/>
    </row>
    <row r="7356" spans="1:11" ht="15" x14ac:dyDescent="0.25">
      <c r="A7356" s="3" t="str">
        <f>HYPERLINK("proteomic_fractions_linear_files/Yang_linear_img/46877048.jpg", "46877048")</f>
        <v>46877048</v>
      </c>
      <c r="C7356" s="3" t="str">
        <f>HYPERLINK("http://www.ncbi.nlm.nih.gov/protein/46877048","Syngr1")</f>
        <v>Syngr1</v>
      </c>
      <c r="E7356" t="str">
        <f>HYPERLINK("J:\Depot - mpkCCD Fractions\Main Web Page\Web Pages_old\proteomic_fractions_linear_files/Yang_linear_img/46877048.jpg","show blot")</f>
        <v>show blot</v>
      </c>
      <c r="G7356" t="s">
        <v>7119</v>
      </c>
      <c r="I7356" s="6">
        <v>4.3969408738506033</v>
      </c>
      <c r="K7356" s="8"/>
    </row>
    <row r="7357" spans="1:11" ht="15" x14ac:dyDescent="0.25">
      <c r="A7357" s="3" t="str">
        <f>HYPERLINK("proteomic_fractions_linear_files/Yang_linear_img/6678193.jpg", "6678193")</f>
        <v>6678193</v>
      </c>
      <c r="C7357" s="3" t="str">
        <f>HYPERLINK("http://www.ncbi.nlm.nih.gov/protein/6678193","Syngr1")</f>
        <v>Syngr1</v>
      </c>
      <c r="E7357" t="str">
        <f>HYPERLINK("J:\Depot - mpkCCD Fractions\Main Web Page\Web Pages_old\proteomic_fractions_linear_files/Yang_linear_img/6678193.jpg","show blot")</f>
        <v>show blot</v>
      </c>
      <c r="G7357" t="s">
        <v>7120</v>
      </c>
      <c r="I7357" s="6">
        <v>4.3969408738506033</v>
      </c>
      <c r="K7357" s="8"/>
    </row>
    <row r="7358" spans="1:11" ht="15" x14ac:dyDescent="0.25">
      <c r="A7358" s="3" t="str">
        <f>HYPERLINK("proteomic_fractions_linear_files/Yang_linear_img/7106429.jpg", "7106429")</f>
        <v>7106429</v>
      </c>
      <c r="C7358" s="3" t="str">
        <f>HYPERLINK("http://www.ncbi.nlm.nih.gov/protein/7106429","Syngr2")</f>
        <v>Syngr2</v>
      </c>
      <c r="E7358" t="str">
        <f>HYPERLINK("J:\Depot - mpkCCD Fractions\Main Web Page\Web Pages_old\proteomic_fractions_linear_files/Yang_linear_img/7106429.jpg","show blot")</f>
        <v>show blot</v>
      </c>
      <c r="G7358" t="s">
        <v>7121</v>
      </c>
      <c r="I7358" s="6">
        <v>5.4179668658756537</v>
      </c>
      <c r="K7358" s="8"/>
    </row>
    <row r="7359" spans="1:11" ht="15" x14ac:dyDescent="0.25">
      <c r="A7359" s="3" t="str">
        <f>HYPERLINK("proteomic_fractions_linear_files/Yang_linear_img/31560541.jpg", "31560541")</f>
        <v>31560541</v>
      </c>
      <c r="C7359" s="3" t="str">
        <f>HYPERLINK("http://www.ncbi.nlm.nih.gov/protein/31560541","Syngr3")</f>
        <v>Syngr3</v>
      </c>
      <c r="E7359" t="str">
        <f>HYPERLINK("J:\Depot - mpkCCD Fractions\Main Web Page\Web Pages_old\proteomic_fractions_linear_files/Yang_linear_img/31560541.jpg","show blot")</f>
        <v>show blot</v>
      </c>
      <c r="G7359" t="s">
        <v>7122</v>
      </c>
      <c r="I7359" s="6">
        <v>1.8765065042658811</v>
      </c>
      <c r="K7359" s="8"/>
    </row>
    <row r="7360" spans="1:11" ht="15" x14ac:dyDescent="0.25">
      <c r="A7360" s="3" t="str">
        <f>HYPERLINK("proteomic_fractions_linear_files/Yang_linear_img/256773218.jpg", "256773218")</f>
        <v>256773218</v>
      </c>
      <c r="C7360" s="3" t="str">
        <f>HYPERLINK("http://www.ncbi.nlm.nih.gov/protein/256773218","Synj1")</f>
        <v>Synj1</v>
      </c>
      <c r="E7360" t="str">
        <f>HYPERLINK("J:\Depot - mpkCCD Fractions\Main Web Page\Web Pages_old\proteomic_fractions_linear_files/Yang_linear_img/256773218.jpg","show blot")</f>
        <v>show blot</v>
      </c>
      <c r="G7360" t="s">
        <v>7123</v>
      </c>
      <c r="I7360" s="6">
        <v>3.188487181714454</v>
      </c>
      <c r="K7360" s="8"/>
    </row>
    <row r="7361" spans="1:11" ht="15" x14ac:dyDescent="0.25">
      <c r="A7361" s="3" t="str">
        <f>HYPERLINK("proteomic_fractions_linear_files/Yang_linear_img/256773220.jpg", "256773220")</f>
        <v>256773220</v>
      </c>
      <c r="C7361" s="3" t="str">
        <f>HYPERLINK("http://www.ncbi.nlm.nih.gov/protein/256773220","Synj1")</f>
        <v>Synj1</v>
      </c>
      <c r="E7361" t="str">
        <f>HYPERLINK("J:\Depot - mpkCCD Fractions\Main Web Page\Web Pages_old\proteomic_fractions_linear_files/Yang_linear_img/256773220.jpg","show blot")</f>
        <v>show blot</v>
      </c>
      <c r="G7361" t="s">
        <v>7124</v>
      </c>
      <c r="I7361" s="6">
        <v>3.188487181714454</v>
      </c>
      <c r="K7361" s="8"/>
    </row>
    <row r="7362" spans="1:11" ht="15" x14ac:dyDescent="0.25">
      <c r="A7362" s="3" t="str">
        <f>HYPERLINK("proteomic_fractions_linear_files/Yang_linear_img/13384642.jpg", "13384642")</f>
        <v>13384642</v>
      </c>
      <c r="C7362" s="3" t="str">
        <f>HYPERLINK("http://www.ncbi.nlm.nih.gov/protein/13384642","Synj2bp")</f>
        <v>Synj2bp</v>
      </c>
      <c r="E7362" t="str">
        <f>HYPERLINK("J:\Depot - mpkCCD Fractions\Main Web Page\Web Pages_old\proteomic_fractions_linear_files/Yang_linear_img/13384642.jpg","show blot")</f>
        <v>show blot</v>
      </c>
      <c r="G7362" t="s">
        <v>7125</v>
      </c>
      <c r="I7362" s="6">
        <v>5.2598046928760409</v>
      </c>
      <c r="K7362" s="8"/>
    </row>
    <row r="7363" spans="1:11" ht="15" x14ac:dyDescent="0.25">
      <c r="A7363" s="3" t="str">
        <f>HYPERLINK("proteomic_fractions_linear_files/Yang_linear_img/169234726.jpg", "169234726")</f>
        <v>169234726</v>
      </c>
      <c r="C7363" s="3" t="str">
        <f>HYPERLINK("http://www.ncbi.nlm.nih.gov/protein/169234726","Synrg")</f>
        <v>Synrg</v>
      </c>
      <c r="E7363" t="str">
        <f>HYPERLINK("J:\Depot - mpkCCD Fractions\Main Web Page\Web Pages_old\proteomic_fractions_linear_files/Yang_linear_img/169234726.jpg","show blot")</f>
        <v>show blot</v>
      </c>
      <c r="G7363" t="s">
        <v>7126</v>
      </c>
      <c r="I7363" s="6">
        <v>4.0881612382604589</v>
      </c>
      <c r="K7363" s="8"/>
    </row>
    <row r="7364" spans="1:11" ht="15" x14ac:dyDescent="0.25">
      <c r="A7364" s="3" t="str">
        <f>HYPERLINK("proteomic_fractions_linear_files/Yang_linear_img/34996507.jpg", "34996507")</f>
        <v>34996507</v>
      </c>
      <c r="C7364" s="3" t="str">
        <f>HYPERLINK("http://www.ncbi.nlm.nih.gov/protein/34996507","Synrg")</f>
        <v>Synrg</v>
      </c>
      <c r="E7364" t="str">
        <f>HYPERLINK("J:\Depot - mpkCCD Fractions\Main Web Page\Web Pages_old\proteomic_fractions_linear_files/Yang_linear_img/34996507.jpg","show blot")</f>
        <v>show blot</v>
      </c>
      <c r="G7364" t="s">
        <v>7127</v>
      </c>
      <c r="I7364" s="6">
        <v>4.0881612382604589</v>
      </c>
      <c r="K7364" s="8"/>
    </row>
    <row r="7365" spans="1:11" ht="15" x14ac:dyDescent="0.25">
      <c r="A7365" s="3" t="str">
        <f>HYPERLINK("proteomic_fractions_linear_files/Yang_linear_img/226958374.jpg", "226958374")</f>
        <v>226958374</v>
      </c>
      <c r="C7365" s="3" t="str">
        <f>HYPERLINK("http://www.ncbi.nlm.nih.gov/protein/226958374","Sypl")</f>
        <v>Sypl</v>
      </c>
      <c r="E7365" t="str">
        <f>HYPERLINK("J:\Depot - mpkCCD Fractions\Main Web Page\Web Pages_old\proteomic_fractions_linear_files/Yang_linear_img/226958374.jpg","show blot")</f>
        <v>show blot</v>
      </c>
      <c r="G7365" t="s">
        <v>7128</v>
      </c>
      <c r="I7365" s="6">
        <v>5.4417038689294257</v>
      </c>
      <c r="K7365" s="8"/>
    </row>
    <row r="7366" spans="1:11" ht="15" x14ac:dyDescent="0.25">
      <c r="A7366" s="3" t="str">
        <f>HYPERLINK("proteomic_fractions_linear_files/Yang_linear_img/41282044.jpg", "41282044")</f>
        <v>41282044</v>
      </c>
      <c r="C7366" s="3" t="str">
        <f>HYPERLINK("http://www.ncbi.nlm.nih.gov/protein/41282044","Sypl")</f>
        <v>Sypl</v>
      </c>
      <c r="E7366" t="str">
        <f>HYPERLINK("J:\Depot - mpkCCD Fractions\Main Web Page\Web Pages_old\proteomic_fractions_linear_files/Yang_linear_img/41282044.jpg","show blot")</f>
        <v>show blot</v>
      </c>
      <c r="G7366" t="s">
        <v>7129</v>
      </c>
      <c r="I7366" s="6">
        <v>5.4417038689294257</v>
      </c>
      <c r="K7366" s="8"/>
    </row>
    <row r="7367" spans="1:11" ht="15" x14ac:dyDescent="0.25">
      <c r="A7367" s="3" t="str">
        <f>HYPERLINK("proteomic_fractions_linear_files/Yang_linear_img/258547102.jpg", "258547102")</f>
        <v>258547102</v>
      </c>
      <c r="C7367" s="3" t="str">
        <f>HYPERLINK("http://www.ncbi.nlm.nih.gov/protein/258547102","Syvn1")</f>
        <v>Syvn1</v>
      </c>
      <c r="E7367" t="str">
        <f>HYPERLINK("J:\Depot - mpkCCD Fractions\Main Web Page\Web Pages_old\proteomic_fractions_linear_files/Yang_linear_img/258547102.jpg","show blot")</f>
        <v>show blot</v>
      </c>
      <c r="G7367" t="s">
        <v>7130</v>
      </c>
      <c r="I7367" s="6">
        <v>3.5909652304506374</v>
      </c>
      <c r="K7367" s="8"/>
    </row>
    <row r="7368" spans="1:11" ht="15" x14ac:dyDescent="0.25">
      <c r="A7368" s="3" t="str">
        <f>HYPERLINK("proteomic_fractions_linear_files/Yang_linear_img/33239391.jpg", "33239391")</f>
        <v>33239391</v>
      </c>
      <c r="C7368" s="3" t="str">
        <f>HYPERLINK("http://www.ncbi.nlm.nih.gov/protein/33239391","Szrd1")</f>
        <v>Szrd1</v>
      </c>
      <c r="E7368" t="str">
        <f>HYPERLINK("J:\Depot - mpkCCD Fractions\Main Web Page\Web Pages_old\proteomic_fractions_linear_files/Yang_linear_img/33239391.jpg","show blot")</f>
        <v>show blot</v>
      </c>
      <c r="G7368" t="s">
        <v>7131</v>
      </c>
      <c r="I7368" s="6">
        <v>3.658266979374821</v>
      </c>
      <c r="K7368" s="8"/>
    </row>
    <row r="7369" spans="1:11" ht="15" x14ac:dyDescent="0.25">
      <c r="A7369" s="3" t="str">
        <f>HYPERLINK("proteomic_fractions_linear_files/Yang_linear_img/71043934.jpg", "71043934")</f>
        <v>71043934</v>
      </c>
      <c r="C7369" s="3" t="str">
        <f>HYPERLINK("http://www.ncbi.nlm.nih.gov/protein/71043934","Szrd1")</f>
        <v>Szrd1</v>
      </c>
      <c r="E7369" t="str">
        <f>HYPERLINK("J:\Depot - mpkCCD Fractions\Main Web Page\Web Pages_old\proteomic_fractions_linear_files/Yang_linear_img/71043934.jpg","show blot")</f>
        <v>show blot</v>
      </c>
      <c r="G7369" t="s">
        <v>7132</v>
      </c>
      <c r="I7369" s="6">
        <v>3.658266979374821</v>
      </c>
      <c r="K7369" s="8"/>
    </row>
    <row r="7370" spans="1:11" ht="15" x14ac:dyDescent="0.25">
      <c r="A7370" s="3" t="str">
        <f>HYPERLINK("proteomic_fractions_linear_files/Yang_linear_img/34328268.jpg", "34328268")</f>
        <v>34328268</v>
      </c>
      <c r="C7370" s="3" t="str">
        <f>HYPERLINK("http://www.ncbi.nlm.nih.gov/protein/34328268","Tab1")</f>
        <v>Tab1</v>
      </c>
      <c r="E7370" t="str">
        <f>HYPERLINK("J:\Depot - mpkCCD Fractions\Main Web Page\Web Pages_old\proteomic_fractions_linear_files/Yang_linear_img/34328268.jpg","show blot")</f>
        <v>show blot</v>
      </c>
      <c r="G7370" t="s">
        <v>7133</v>
      </c>
      <c r="I7370" s="6">
        <v>4.3549581212352217</v>
      </c>
      <c r="K7370" s="8"/>
    </row>
    <row r="7371" spans="1:11" ht="15" x14ac:dyDescent="0.25">
      <c r="A7371" s="3" t="str">
        <f>HYPERLINK("proteomic_fractions_linear_files/Yang_linear_img/6678207.jpg", "6678207")</f>
        <v>6678207</v>
      </c>
      <c r="C7371" s="3" t="str">
        <f>HYPERLINK("http://www.ncbi.nlm.nih.gov/protein/6678207","Tac1")</f>
        <v>Tac1</v>
      </c>
      <c r="E7371" t="str">
        <f>HYPERLINK("J:\Depot - mpkCCD Fractions\Main Web Page\Web Pages_old\proteomic_fractions_linear_files/Yang_linear_img/6678207.jpg","show blot")</f>
        <v>show blot</v>
      </c>
      <c r="G7371" t="s">
        <v>7134</v>
      </c>
      <c r="I7371" s="6">
        <v>4.6687035248278574</v>
      </c>
      <c r="K7371" s="8"/>
    </row>
    <row r="7372" spans="1:11" ht="15" x14ac:dyDescent="0.25">
      <c r="A7372" s="3" t="str">
        <f>HYPERLINK("proteomic_fractions_linear_files/Yang_linear_img/52486864.jpg", "52486864")</f>
        <v>52486864</v>
      </c>
      <c r="C7372" s="3" t="str">
        <f>HYPERLINK("http://www.ncbi.nlm.nih.gov/protein/52486864","Tacc2")</f>
        <v>Tacc2</v>
      </c>
      <c r="E7372" t="str">
        <f>HYPERLINK("J:\Depot - mpkCCD Fractions\Main Web Page\Web Pages_old\proteomic_fractions_linear_files/Yang_linear_img/52486864.jpg","show blot")</f>
        <v>show blot</v>
      </c>
      <c r="G7372" t="s">
        <v>7135</v>
      </c>
      <c r="I7372" s="6">
        <v>3.7703405182603502</v>
      </c>
      <c r="K7372" s="8"/>
    </row>
    <row r="7373" spans="1:11" ht="15" x14ac:dyDescent="0.25">
      <c r="A7373" s="3" t="str">
        <f>HYPERLINK("proteomic_fractions_linear_files/Yang_linear_img/52486915.jpg", "52486915")</f>
        <v>52486915</v>
      </c>
      <c r="C7373" s="3" t="str">
        <f>HYPERLINK("http://www.ncbi.nlm.nih.gov/protein/52486915","Tacc2")</f>
        <v>Tacc2</v>
      </c>
      <c r="E7373" t="str">
        <f>HYPERLINK("J:\Depot - mpkCCD Fractions\Main Web Page\Web Pages_old\proteomic_fractions_linear_files/Yang_linear_img/52486915.jpg","show blot")</f>
        <v>show blot</v>
      </c>
      <c r="G7373" t="s">
        <v>7136</v>
      </c>
      <c r="I7373" s="6">
        <v>3.7703405182603502</v>
      </c>
      <c r="K7373" s="8"/>
    </row>
    <row r="7374" spans="1:11" ht="15" x14ac:dyDescent="0.25">
      <c r="A7374" s="3" t="str">
        <f>HYPERLINK("proteomic_fractions_linear_files/Yang_linear_img/52486843.jpg", "52486843")</f>
        <v>52486843</v>
      </c>
      <c r="C7374" s="3" t="str">
        <f>HYPERLINK("http://www.ncbi.nlm.nih.gov/protein/52486843","Tacc2")</f>
        <v>Tacc2</v>
      </c>
      <c r="E7374" t="str">
        <f>HYPERLINK("J:\Depot - mpkCCD Fractions\Main Web Page\Web Pages_old\proteomic_fractions_linear_files/Yang_linear_img/52486843.jpg","show blot")</f>
        <v>show blot</v>
      </c>
      <c r="G7374" t="s">
        <v>7137</v>
      </c>
      <c r="I7374" s="6">
        <v>3.7703405182603502</v>
      </c>
      <c r="K7374" s="8"/>
    </row>
    <row r="7375" spans="1:11" ht="15" x14ac:dyDescent="0.25">
      <c r="A7375" s="3" t="str">
        <f>HYPERLINK("proteomic_fractions_linear_files/Yang_linear_img/94681040.jpg", "94681040")</f>
        <v>94681040</v>
      </c>
      <c r="C7375" s="3" t="str">
        <f>HYPERLINK("http://www.ncbi.nlm.nih.gov/protein/94681040","Tacc3")</f>
        <v>Tacc3</v>
      </c>
      <c r="E7375" t="str">
        <f>HYPERLINK("J:\Depot - mpkCCD Fractions\Main Web Page\Web Pages_old\proteomic_fractions_linear_files/Yang_linear_img/94681040.jpg","show blot")</f>
        <v>show blot</v>
      </c>
      <c r="G7375" t="s">
        <v>7138</v>
      </c>
      <c r="I7375" s="6">
        <v>3.17913974195756</v>
      </c>
      <c r="K7375" s="8"/>
    </row>
    <row r="7376" spans="1:11" ht="15" x14ac:dyDescent="0.25">
      <c r="A7376" s="3" t="str">
        <f>HYPERLINK("proteomic_fractions_linear_files/Yang_linear_img/39930435.jpg", "39930435")</f>
        <v>39930435</v>
      </c>
      <c r="C7376" s="3" t="str">
        <f>HYPERLINK("http://www.ncbi.nlm.nih.gov/protein/39930435","Taco1")</f>
        <v>Taco1</v>
      </c>
      <c r="E7376" t="str">
        <f>HYPERLINK("J:\Depot - mpkCCD Fractions\Main Web Page\Web Pages_old\proteomic_fractions_linear_files/Yang_linear_img/39930435.jpg","show blot")</f>
        <v>show blot</v>
      </c>
      <c r="G7376" t="s">
        <v>7139</v>
      </c>
      <c r="I7376" s="6">
        <v>3.7426038217072848</v>
      </c>
      <c r="K7376" s="8"/>
    </row>
    <row r="7377" spans="1:11" ht="15" x14ac:dyDescent="0.25">
      <c r="A7377" s="3" t="str">
        <f>HYPERLINK("proteomic_fractions_linear_files/Yang_linear_img/31560359.jpg", "31560359")</f>
        <v>31560359</v>
      </c>
      <c r="C7377" s="3" t="str">
        <f>HYPERLINK("http://www.ncbi.nlm.nih.gov/protein/31560359","Tacstd2")</f>
        <v>Tacstd2</v>
      </c>
      <c r="E7377" t="str">
        <f>HYPERLINK("J:\Depot - mpkCCD Fractions\Main Web Page\Web Pages_old\proteomic_fractions_linear_files/Yang_linear_img/31560359.jpg","show blot")</f>
        <v>show blot</v>
      </c>
      <c r="G7377" t="s">
        <v>7140</v>
      </c>
      <c r="I7377" s="6">
        <v>5.195226047919741</v>
      </c>
      <c r="K7377" s="8"/>
    </row>
    <row r="7378" spans="1:11" ht="15" x14ac:dyDescent="0.25">
      <c r="A7378" s="3" t="str">
        <f>HYPERLINK("proteomic_fractions_linear_files/Yang_linear_img/30794436.jpg", "30794436")</f>
        <v>30794436</v>
      </c>
      <c r="C7378" s="3" t="str">
        <f>HYPERLINK("http://www.ncbi.nlm.nih.gov/protein/30794436","Taf11")</f>
        <v>Taf11</v>
      </c>
      <c r="E7378" t="str">
        <f>HYPERLINK("J:\Depot - mpkCCD Fractions\Main Web Page\Web Pages_old\proteomic_fractions_linear_files/Yang_linear_img/30794436.jpg","show blot")</f>
        <v>show blot</v>
      </c>
      <c r="G7378" t="s">
        <v>7141</v>
      </c>
      <c r="I7378" s="6">
        <v>3.0949968279645348</v>
      </c>
      <c r="K7378" s="8"/>
    </row>
    <row r="7379" spans="1:11" ht="15" x14ac:dyDescent="0.25">
      <c r="A7379" s="3" t="str">
        <f>HYPERLINK("proteomic_fractions_linear_files/Yang_linear_img/30794412.jpg", "30794412")</f>
        <v>30794412</v>
      </c>
      <c r="C7379" s="3" t="str">
        <f>HYPERLINK("http://www.ncbi.nlm.nih.gov/protein/30794412","Taf15")</f>
        <v>Taf15</v>
      </c>
      <c r="E7379" t="str">
        <f>HYPERLINK("J:\Depot - mpkCCD Fractions\Main Web Page\Web Pages_old\proteomic_fractions_linear_files/Yang_linear_img/30794412.jpg","show blot")</f>
        <v>show blot</v>
      </c>
      <c r="G7379" t="s">
        <v>7142</v>
      </c>
      <c r="I7379" s="6">
        <v>5.4006743410115803</v>
      </c>
      <c r="K7379" s="8"/>
    </row>
    <row r="7380" spans="1:11" ht="15" x14ac:dyDescent="0.25">
      <c r="A7380" s="3" t="str">
        <f>HYPERLINK("proteomic_fractions_linear_files/Yang_linear_img/295317363.jpg", "295317363")</f>
        <v>295317363</v>
      </c>
      <c r="C7380" s="3" t="str">
        <f>HYPERLINK("http://www.ncbi.nlm.nih.gov/protein/295317363","Taf6l")</f>
        <v>Taf6l</v>
      </c>
      <c r="E7380" t="str">
        <f>HYPERLINK("J:\Depot - mpkCCD Fractions\Main Web Page\Web Pages_old\proteomic_fractions_linear_files/Yang_linear_img/295317363.jpg","show blot")</f>
        <v>show blot</v>
      </c>
      <c r="G7380" t="s">
        <v>7143</v>
      </c>
      <c r="I7380" s="6">
        <v>3.5386163510973447</v>
      </c>
      <c r="K7380" s="8"/>
    </row>
    <row r="7381" spans="1:11" ht="15" x14ac:dyDescent="0.25">
      <c r="A7381" s="3" t="str">
        <f>HYPERLINK("proteomic_fractions_linear_files/Yang_linear_img/295317365.jpg", "295317365")</f>
        <v>295317365</v>
      </c>
      <c r="C7381" s="3" t="str">
        <f>HYPERLINK("http://www.ncbi.nlm.nih.gov/protein/295317365","Taf6l")</f>
        <v>Taf6l</v>
      </c>
      <c r="E7381" t="str">
        <f>HYPERLINK("J:\Depot - mpkCCD Fractions\Main Web Page\Web Pages_old\proteomic_fractions_linear_files/Yang_linear_img/295317365.jpg","show blot")</f>
        <v>show blot</v>
      </c>
      <c r="G7381" t="s">
        <v>7144</v>
      </c>
      <c r="I7381" s="6">
        <v>3.5386163510973447</v>
      </c>
      <c r="K7381" s="8"/>
    </row>
    <row r="7382" spans="1:11" ht="15" x14ac:dyDescent="0.25">
      <c r="A7382" s="3" t="str">
        <f>HYPERLINK("proteomic_fractions_linear_files/Yang_linear_img/283046765.jpg", "283046765")</f>
        <v>283046765</v>
      </c>
      <c r="C7382" s="3" t="str">
        <f>HYPERLINK("http://www.ncbi.nlm.nih.gov/protein/283046765","Taf7l")</f>
        <v>Taf7l</v>
      </c>
      <c r="E7382" t="str">
        <f>HYPERLINK("J:\Depot - mpkCCD Fractions\Main Web Page\Web Pages_old\proteomic_fractions_linear_files/Yang_linear_img/283046765.jpg","show blot")</f>
        <v>show blot</v>
      </c>
      <c r="G7382" t="s">
        <v>7145</v>
      </c>
      <c r="I7382" s="6">
        <v>4.113283778127192</v>
      </c>
      <c r="K7382" s="8"/>
    </row>
    <row r="7383" spans="1:11" ht="15" x14ac:dyDescent="0.25">
      <c r="A7383" s="3" t="str">
        <f>HYPERLINK("proteomic_fractions_linear_files/Yang_linear_img/30519911.jpg", "30519911")</f>
        <v>30519911</v>
      </c>
      <c r="C7383" s="3" t="str">
        <f>HYPERLINK("http://www.ncbi.nlm.nih.gov/protein/30519911","Tagln2")</f>
        <v>Tagln2</v>
      </c>
      <c r="E7383" t="str">
        <f>HYPERLINK("J:\Depot - mpkCCD Fractions\Main Web Page\Web Pages_old\proteomic_fractions_linear_files/Yang_linear_img/30519911.jpg","show blot")</f>
        <v>show blot</v>
      </c>
      <c r="G7383" t="s">
        <v>7146</v>
      </c>
      <c r="I7383" s="6">
        <v>6.5970354023080962</v>
      </c>
      <c r="K7383" s="8"/>
    </row>
    <row r="7384" spans="1:11" ht="15" x14ac:dyDescent="0.25">
      <c r="A7384" s="3" t="str">
        <f>HYPERLINK("proteomic_fractions_linear_files/Yang_linear_img/9790125.jpg", "9790125")</f>
        <v>9790125</v>
      </c>
      <c r="C7384" s="3" t="str">
        <f>HYPERLINK("http://www.ncbi.nlm.nih.gov/protein/9790125","Tagln3")</f>
        <v>Tagln3</v>
      </c>
      <c r="E7384" t="str">
        <f>HYPERLINK("J:\Depot - mpkCCD Fractions\Main Web Page\Web Pages_old\proteomic_fractions_linear_files/Yang_linear_img/9790125.jpg","show blot")</f>
        <v>show blot</v>
      </c>
      <c r="G7384" t="s">
        <v>7147</v>
      </c>
      <c r="I7384" s="6">
        <v>5.2897063542165732</v>
      </c>
      <c r="K7384" s="8"/>
    </row>
    <row r="7385" spans="1:11" ht="15" x14ac:dyDescent="0.25">
      <c r="A7385" s="3" t="str">
        <f>HYPERLINK("proteomic_fractions_linear_files/Yang_linear_img/33859640.jpg", "33859640")</f>
        <v>33859640</v>
      </c>
      <c r="C7385" s="3" t="str">
        <f>HYPERLINK("http://www.ncbi.nlm.nih.gov/protein/33859640","Taldo1")</f>
        <v>Taldo1</v>
      </c>
      <c r="E7385" t="str">
        <f>HYPERLINK("J:\Depot - mpkCCD Fractions\Main Web Page\Web Pages_old\proteomic_fractions_linear_files/Yang_linear_img/33859640.jpg","show blot")</f>
        <v>show blot</v>
      </c>
      <c r="G7385" t="s">
        <v>7148</v>
      </c>
      <c r="I7385" s="6">
        <v>6.6176973043323413</v>
      </c>
      <c r="K7385" s="8"/>
    </row>
    <row r="7386" spans="1:11" ht="15" x14ac:dyDescent="0.25">
      <c r="A7386" s="3" t="str">
        <f>HYPERLINK("proteomic_fractions_linear_files/Yang_linear_img/76559944.jpg", "76559944")</f>
        <v>76559944</v>
      </c>
      <c r="C7386" s="3" t="str">
        <f>HYPERLINK("http://www.ncbi.nlm.nih.gov/protein/76559944","Tamm41")</f>
        <v>Tamm41</v>
      </c>
      <c r="E7386" t="str">
        <f>HYPERLINK("J:\Depot - mpkCCD Fractions\Main Web Page\Web Pages_old\proteomic_fractions_linear_files/Yang_linear_img/76559944.jpg","show blot")</f>
        <v>show blot</v>
      </c>
      <c r="G7386" t="s">
        <v>7149</v>
      </c>
      <c r="I7386" s="6">
        <v>2.9638498030354805</v>
      </c>
      <c r="K7386" s="8"/>
    </row>
    <row r="7387" spans="1:11" ht="15" x14ac:dyDescent="0.25">
      <c r="A7387" s="3" t="str">
        <f>HYPERLINK("proteomic_fractions_linear_files/Yang_linear_img/57164407.jpg", "57164407")</f>
        <v>57164407</v>
      </c>
      <c r="C7387" s="3" t="str">
        <f>HYPERLINK("http://www.ncbi.nlm.nih.gov/protein/57164407","Tanc1")</f>
        <v>Tanc1</v>
      </c>
      <c r="E7387" t="str">
        <f>HYPERLINK("J:\Depot - mpkCCD Fractions\Main Web Page\Web Pages_old\proteomic_fractions_linear_files/Yang_linear_img/57164407.jpg","show blot")</f>
        <v>show blot</v>
      </c>
      <c r="G7387" t="s">
        <v>7150</v>
      </c>
      <c r="I7387" s="6">
        <v>2.5329102120867684</v>
      </c>
      <c r="K7387" s="8"/>
    </row>
    <row r="7388" spans="1:11" ht="15" x14ac:dyDescent="0.25">
      <c r="A7388" s="3" t="str">
        <f>HYPERLINK("proteomic_fractions_linear_files/Yang_linear_img/124378026.jpg", "124378026")</f>
        <v>124378026</v>
      </c>
      <c r="C7388" s="3" t="str">
        <f>HYPERLINK("http://www.ncbi.nlm.nih.gov/protein/124378026","Tanc2")</f>
        <v>Tanc2</v>
      </c>
      <c r="E7388" t="str">
        <f>HYPERLINK("J:\Depot - mpkCCD Fractions\Main Web Page\Web Pages_old\proteomic_fractions_linear_files/Yang_linear_img/124378026.jpg","show blot")</f>
        <v>show blot</v>
      </c>
      <c r="G7388" t="s">
        <v>7151</v>
      </c>
      <c r="I7388" s="6">
        <v>3.1498989567245608</v>
      </c>
      <c r="K7388" s="8"/>
    </row>
    <row r="7389" spans="1:11" ht="15" x14ac:dyDescent="0.25">
      <c r="A7389" s="3" t="str">
        <f>HYPERLINK("proteomic_fractions_linear_files/Yang_linear_img/255918143.jpg", "255918143")</f>
        <v>255918143</v>
      </c>
      <c r="C7389" s="3" t="str">
        <f>HYPERLINK("http://www.ncbi.nlm.nih.gov/protein/255918143","Tango2")</f>
        <v>Tango2</v>
      </c>
      <c r="E7389" t="str">
        <f>HYPERLINK("J:\Depot - mpkCCD Fractions\Main Web Page\Web Pages_old\proteomic_fractions_linear_files/Yang_linear_img/255918143.jpg","show blot")</f>
        <v>show blot</v>
      </c>
      <c r="G7389" t="s">
        <v>7152</v>
      </c>
      <c r="I7389" s="6">
        <v>3.7601198696406066</v>
      </c>
      <c r="K7389" s="8"/>
    </row>
    <row r="7390" spans="1:11" ht="15" x14ac:dyDescent="0.25">
      <c r="A7390" s="3" t="str">
        <f>HYPERLINK("proteomic_fractions_linear_files/Yang_linear_img/124358959.jpg", "124358959")</f>
        <v>124358959</v>
      </c>
      <c r="C7390" s="3" t="str">
        <f>HYPERLINK("http://www.ncbi.nlm.nih.gov/protein/124358959","Taok1")</f>
        <v>Taok1</v>
      </c>
      <c r="E7390" t="str">
        <f>HYPERLINK("J:\Depot - mpkCCD Fractions\Main Web Page\Web Pages_old\proteomic_fractions_linear_files/Yang_linear_img/124358959.jpg","show blot")</f>
        <v>show blot</v>
      </c>
      <c r="G7390" t="s">
        <v>7153</v>
      </c>
      <c r="I7390" s="6">
        <v>3.8293087070721694</v>
      </c>
      <c r="K7390" s="8"/>
    </row>
    <row r="7391" spans="1:11" ht="15" x14ac:dyDescent="0.25">
      <c r="A7391" s="3" t="str">
        <f>HYPERLINK("proteomic_fractions_linear_files/Yang_linear_img/255003682.jpg", "255003682")</f>
        <v>255003682</v>
      </c>
      <c r="C7391" s="3" t="str">
        <f>HYPERLINK("http://www.ncbi.nlm.nih.gov/protein/255003682","Taok2")</f>
        <v>Taok2</v>
      </c>
      <c r="E7391" t="str">
        <f>HYPERLINK("J:\Depot - mpkCCD Fractions\Main Web Page\Web Pages_old\proteomic_fractions_linear_files/Yang_linear_img/255003682.jpg","show blot")</f>
        <v>show blot</v>
      </c>
      <c r="G7391" t="s">
        <v>7154</v>
      </c>
      <c r="I7391" s="6">
        <v>4.0468681081103135</v>
      </c>
      <c r="K7391" s="8"/>
    </row>
    <row r="7392" spans="1:11" ht="15" x14ac:dyDescent="0.25">
      <c r="A7392" s="3" t="str">
        <f>HYPERLINK("proteomic_fractions_linear_files/Yang_linear_img/124486801.jpg", "124486801")</f>
        <v>124486801</v>
      </c>
      <c r="C7392" s="3" t="str">
        <f>HYPERLINK("http://www.ncbi.nlm.nih.gov/protein/124486801","Taok3")</f>
        <v>Taok3</v>
      </c>
      <c r="E7392" t="str">
        <f>HYPERLINK("J:\Depot - mpkCCD Fractions\Main Web Page\Web Pages_old\proteomic_fractions_linear_files/Yang_linear_img/124486801.jpg","show blot")</f>
        <v>show blot</v>
      </c>
      <c r="G7392" t="s">
        <v>7155</v>
      </c>
      <c r="I7392" s="6">
        <v>4.0489339782013518</v>
      </c>
      <c r="K7392" s="8"/>
    </row>
    <row r="7393" spans="1:11" ht="15" x14ac:dyDescent="0.25">
      <c r="A7393" s="3" t="str">
        <f>HYPERLINK("proteomic_fractions_linear_files/Yang_linear_img/6678219.jpg", "6678219")</f>
        <v>6678219</v>
      </c>
      <c r="C7393" s="3" t="str">
        <f>HYPERLINK("http://www.ncbi.nlm.nih.gov/protein/6678219","Tapbp")</f>
        <v>Tapbp</v>
      </c>
      <c r="E7393" t="str">
        <f>HYPERLINK("J:\Depot - mpkCCD Fractions\Main Web Page\Web Pages_old\proteomic_fractions_linear_files/Yang_linear_img/6678219.jpg","show blot")</f>
        <v>show blot</v>
      </c>
      <c r="G7393" t="s">
        <v>7156</v>
      </c>
      <c r="I7393" s="6">
        <v>3.9609056708721178</v>
      </c>
      <c r="K7393" s="8"/>
    </row>
    <row r="7394" spans="1:11" ht="15" x14ac:dyDescent="0.25">
      <c r="A7394" s="3" t="str">
        <f>HYPERLINK("proteomic_fractions_linear_files/Yang_linear_img/70778974.jpg", "70778974")</f>
        <v>70778974</v>
      </c>
      <c r="C7394" s="3" t="str">
        <f>HYPERLINK("http://www.ncbi.nlm.nih.gov/protein/70778974","Tapbp")</f>
        <v>Tapbp</v>
      </c>
      <c r="E7394" t="str">
        <f>HYPERLINK("J:\Depot - mpkCCD Fractions\Main Web Page\Web Pages_old\proteomic_fractions_linear_files/Yang_linear_img/70778974.jpg","show blot")</f>
        <v>show blot</v>
      </c>
      <c r="G7394" t="s">
        <v>7157</v>
      </c>
      <c r="I7394" s="6">
        <v>3.9609056708721178</v>
      </c>
      <c r="K7394" s="8"/>
    </row>
    <row r="7395" spans="1:11" ht="15" x14ac:dyDescent="0.25">
      <c r="A7395" s="3" t="str">
        <f>HYPERLINK("proteomic_fractions_linear_files/Yang_linear_img/71143116.jpg", "71143116")</f>
        <v>71143116</v>
      </c>
      <c r="C7395" s="3" t="str">
        <f>HYPERLINK("http://www.ncbi.nlm.nih.gov/protein/71143116","Tapt1")</f>
        <v>Tapt1</v>
      </c>
      <c r="E7395" t="str">
        <f>HYPERLINK("J:\Depot - mpkCCD Fractions\Main Web Page\Web Pages_old\proteomic_fractions_linear_files/Yang_linear_img/71143116.jpg","show blot")</f>
        <v>show blot</v>
      </c>
      <c r="G7395" t="s">
        <v>7158</v>
      </c>
      <c r="I7395" s="6">
        <v>1.6717746500244259</v>
      </c>
      <c r="K7395" s="8"/>
    </row>
    <row r="7396" spans="1:11" ht="15" x14ac:dyDescent="0.25">
      <c r="A7396" s="3" t="str">
        <f>HYPERLINK("proteomic_fractions_linear_files/Yang_linear_img/166295185.jpg", "166295185")</f>
        <v>166295185</v>
      </c>
      <c r="C7396" s="3" t="str">
        <f>HYPERLINK("http://www.ncbi.nlm.nih.gov/protein/166295185","Tarbp2")</f>
        <v>Tarbp2</v>
      </c>
      <c r="E7396" t="str">
        <f>HYPERLINK("J:\Depot - mpkCCD Fractions\Main Web Page\Web Pages_old\proteomic_fractions_linear_files/Yang_linear_img/166295185.jpg","show blot")</f>
        <v>show blot</v>
      </c>
      <c r="G7396" t="s">
        <v>7159</v>
      </c>
      <c r="I7396" s="6">
        <v>4.1303298385178682</v>
      </c>
      <c r="K7396" s="8"/>
    </row>
    <row r="7397" spans="1:11" ht="15" x14ac:dyDescent="0.25">
      <c r="A7397" s="3" t="str">
        <f>HYPERLINK("proteomic_fractions_linear_files/Yang_linear_img/21704096.jpg", "21704096")</f>
        <v>21704096</v>
      </c>
      <c r="C7397" s="3" t="str">
        <f>HYPERLINK("http://www.ncbi.nlm.nih.gov/protein/21704096","Tardbp")</f>
        <v>Tardbp</v>
      </c>
      <c r="E7397" t="str">
        <f>HYPERLINK("J:\Depot - mpkCCD Fractions\Main Web Page\Web Pages_old\proteomic_fractions_linear_files/Yang_linear_img/21704096.jpg","show blot")</f>
        <v>show blot</v>
      </c>
      <c r="G7397" t="s">
        <v>7160</v>
      </c>
      <c r="I7397" s="6">
        <v>6.3747139619411106</v>
      </c>
      <c r="K7397" s="8"/>
    </row>
    <row r="7398" spans="1:11" ht="15" x14ac:dyDescent="0.25">
      <c r="A7398" s="3" t="str">
        <f>HYPERLINK("proteomic_fractions_linear_files/Yang_linear_img/56682929.jpg", "56682929")</f>
        <v>56682929</v>
      </c>
      <c r="C7398" s="3" t="str">
        <f>HYPERLINK("http://www.ncbi.nlm.nih.gov/protein/56682929","Tardbp")</f>
        <v>Tardbp</v>
      </c>
      <c r="E7398" t="str">
        <f>HYPERLINK("J:\Depot - mpkCCD Fractions\Main Web Page\Web Pages_old\proteomic_fractions_linear_files/Yang_linear_img/56682929.jpg","show blot")</f>
        <v>show blot</v>
      </c>
      <c r="G7398" t="s">
        <v>7161</v>
      </c>
      <c r="I7398" s="6">
        <v>6.3747139619411106</v>
      </c>
      <c r="K7398" s="8"/>
    </row>
    <row r="7399" spans="1:11" ht="15" x14ac:dyDescent="0.25">
      <c r="A7399" s="3" t="str">
        <f>HYPERLINK("proteomic_fractions_linear_files/Yang_linear_img/56682931.jpg", "56682931")</f>
        <v>56682931</v>
      </c>
      <c r="C7399" s="3" t="str">
        <f>HYPERLINK("http://www.ncbi.nlm.nih.gov/protein/56682931","Tardbp")</f>
        <v>Tardbp</v>
      </c>
      <c r="E7399" t="str">
        <f>HYPERLINK("J:\Depot - mpkCCD Fractions\Main Web Page\Web Pages_old\proteomic_fractions_linear_files/Yang_linear_img/56682931.jpg","show blot")</f>
        <v>show blot</v>
      </c>
      <c r="G7399" t="s">
        <v>7162</v>
      </c>
      <c r="I7399" s="6">
        <v>6.3747139619411106</v>
      </c>
      <c r="K7399" s="8"/>
    </row>
    <row r="7400" spans="1:11" ht="15" x14ac:dyDescent="0.25">
      <c r="A7400" s="3" t="str">
        <f>HYPERLINK("proteomic_fractions_linear_files/Yang_linear_img/56682933.jpg", "56682933")</f>
        <v>56682933</v>
      </c>
      <c r="C7400" s="3" t="str">
        <f>HYPERLINK("http://www.ncbi.nlm.nih.gov/protein/56682933","Tardbp")</f>
        <v>Tardbp</v>
      </c>
      <c r="E7400" t="str">
        <f>HYPERLINK("J:\Depot - mpkCCD Fractions\Main Web Page\Web Pages_old\proteomic_fractions_linear_files/Yang_linear_img/56682933.jpg","show blot")</f>
        <v>show blot</v>
      </c>
      <c r="G7400" t="s">
        <v>7163</v>
      </c>
      <c r="I7400" s="6">
        <v>6.3747139619411106</v>
      </c>
      <c r="K7400" s="8"/>
    </row>
    <row r="7401" spans="1:11" ht="15" x14ac:dyDescent="0.25">
      <c r="A7401" s="3" t="str">
        <f>HYPERLINK("proteomic_fractions_linear_files/Yang_linear_img/56682935.jpg", "56682935")</f>
        <v>56682935</v>
      </c>
      <c r="C7401" s="3" t="str">
        <f>HYPERLINK("http://www.ncbi.nlm.nih.gov/protein/56682935","Tardbp")</f>
        <v>Tardbp</v>
      </c>
      <c r="E7401" t="str">
        <f>HYPERLINK("J:\Depot - mpkCCD Fractions\Main Web Page\Web Pages_old\proteomic_fractions_linear_files/Yang_linear_img/56682935.jpg","show blot")</f>
        <v>show blot</v>
      </c>
      <c r="G7401" t="s">
        <v>7164</v>
      </c>
      <c r="I7401" s="6">
        <v>6.3747139619411106</v>
      </c>
      <c r="K7401" s="8"/>
    </row>
    <row r="7402" spans="1:11" ht="15" x14ac:dyDescent="0.25">
      <c r="A7402" s="3" t="str">
        <f>HYPERLINK("proteomic_fractions_linear_files/Yang_linear_img/27229277.jpg", "27229277")</f>
        <v>27229277</v>
      </c>
      <c r="C7402" s="3" t="str">
        <f>HYPERLINK("http://www.ncbi.nlm.nih.gov/protein/27229277","Tars")</f>
        <v>Tars</v>
      </c>
      <c r="E7402" t="str">
        <f>HYPERLINK("J:\Depot - mpkCCD Fractions\Main Web Page\Web Pages_old\proteomic_fractions_linear_files/Yang_linear_img/27229277.jpg","show blot")</f>
        <v>show blot</v>
      </c>
      <c r="G7402" t="s">
        <v>7165</v>
      </c>
      <c r="I7402" s="6">
        <v>5.7544303299685504</v>
      </c>
      <c r="K7402" s="8"/>
    </row>
    <row r="7403" spans="1:11" ht="15" x14ac:dyDescent="0.25">
      <c r="A7403" s="3" t="str">
        <f>HYPERLINK("proteomic_fractions_linear_files/Yang_linear_img/254692865.jpg", "254692865")</f>
        <v>254692865</v>
      </c>
      <c r="C7403" s="3" t="str">
        <f>HYPERLINK("http://www.ncbi.nlm.nih.gov/protein/254692865","Tars2")</f>
        <v>Tars2</v>
      </c>
      <c r="E7403" t="str">
        <f>HYPERLINK("J:\Depot - mpkCCD Fractions\Main Web Page\Web Pages_old\proteomic_fractions_linear_files/Yang_linear_img/254692865.jpg","show blot")</f>
        <v>show blot</v>
      </c>
      <c r="G7403" t="s">
        <v>7166</v>
      </c>
      <c r="I7403" s="6">
        <v>4.5324102369013595</v>
      </c>
      <c r="K7403" s="8"/>
    </row>
    <row r="7404" spans="1:11" ht="15" x14ac:dyDescent="0.25">
      <c r="A7404" s="3" t="str">
        <f>HYPERLINK("proteomic_fractions_linear_files/Yang_linear_img/254692867.jpg", "254692867")</f>
        <v>254692867</v>
      </c>
      <c r="C7404" s="3" t="str">
        <f>HYPERLINK("http://www.ncbi.nlm.nih.gov/protein/254692867","Tars2")</f>
        <v>Tars2</v>
      </c>
      <c r="E7404" t="str">
        <f>HYPERLINK("J:\Depot - mpkCCD Fractions\Main Web Page\Web Pages_old\proteomic_fractions_linear_files/Yang_linear_img/254692867.jpg","show blot")</f>
        <v>show blot</v>
      </c>
      <c r="G7404" t="s">
        <v>7167</v>
      </c>
      <c r="I7404" s="6">
        <v>4.5324102369013595</v>
      </c>
      <c r="K7404" s="8"/>
    </row>
    <row r="7405" spans="1:11" ht="15" x14ac:dyDescent="0.25">
      <c r="A7405" s="3" t="str">
        <f>HYPERLINK("proteomic_fractions_linear_files/Yang_linear_img/254692871.jpg", "254692871")</f>
        <v>254692871</v>
      </c>
      <c r="C7405" s="3" t="str">
        <f>HYPERLINK("http://www.ncbi.nlm.nih.gov/protein/254692871","Tars2")</f>
        <v>Tars2</v>
      </c>
      <c r="E7405" t="str">
        <f>HYPERLINK("J:\Depot - mpkCCD Fractions\Main Web Page\Web Pages_old\proteomic_fractions_linear_files/Yang_linear_img/254692871.jpg","show blot")</f>
        <v>show blot</v>
      </c>
      <c r="G7405" t="s">
        <v>7168</v>
      </c>
      <c r="I7405" s="6">
        <v>4.5324102369013595</v>
      </c>
      <c r="K7405" s="8"/>
    </row>
    <row r="7406" spans="1:11" ht="15" x14ac:dyDescent="0.25">
      <c r="A7406" s="3" t="str">
        <f>HYPERLINK("proteomic_fractions_linear_files/Yang_linear_img/254692873.jpg", "254692873")</f>
        <v>254692873</v>
      </c>
      <c r="C7406" s="3" t="str">
        <f>HYPERLINK("http://www.ncbi.nlm.nih.gov/protein/254692873","Tars2")</f>
        <v>Tars2</v>
      </c>
      <c r="E7406" t="str">
        <f>HYPERLINK("J:\Depot - mpkCCD Fractions\Main Web Page\Web Pages_old\proteomic_fractions_linear_files/Yang_linear_img/254692873.jpg","show blot")</f>
        <v>show blot</v>
      </c>
      <c r="G7406" t="s">
        <v>7169</v>
      </c>
      <c r="I7406" s="6">
        <v>4.5324102369013595</v>
      </c>
      <c r="K7406" s="8"/>
    </row>
    <row r="7407" spans="1:11" ht="15" x14ac:dyDescent="0.25">
      <c r="A7407" s="3" t="str">
        <f>HYPERLINK("proteomic_fractions_linear_files/Yang_linear_img/227908819.jpg", "227908819")</f>
        <v>227908819</v>
      </c>
      <c r="C7407" s="3" t="str">
        <f>HYPERLINK("http://www.ncbi.nlm.nih.gov/protein/227908819","Tarsl2")</f>
        <v>Tarsl2</v>
      </c>
      <c r="E7407" t="str">
        <f>HYPERLINK("J:\Depot - mpkCCD Fractions\Main Web Page\Web Pages_old\proteomic_fractions_linear_files/Yang_linear_img/227908819.jpg","show blot")</f>
        <v>show blot</v>
      </c>
      <c r="G7407" t="s">
        <v>7170</v>
      </c>
      <c r="I7407" s="6">
        <v>4.5556130164174204</v>
      </c>
      <c r="K7407" s="8"/>
    </row>
    <row r="7408" spans="1:11" ht="15" x14ac:dyDescent="0.25">
      <c r="A7408" s="3" t="str">
        <f>HYPERLINK("proteomic_fractions_linear_files/Yang_linear_img/13994201.jpg", "13994201")</f>
        <v>13994201</v>
      </c>
      <c r="C7408" s="3" t="str">
        <f>HYPERLINK("http://www.ncbi.nlm.nih.gov/protein/13994201","Tas1r3")</f>
        <v>Tas1r3</v>
      </c>
      <c r="E7408" t="str">
        <f>HYPERLINK("J:\Depot - mpkCCD Fractions\Main Web Page\Web Pages_old\proteomic_fractions_linear_files/Yang_linear_img/13994201.jpg","show blot")</f>
        <v>show blot</v>
      </c>
      <c r="G7408" t="s">
        <v>7171</v>
      </c>
      <c r="I7408" s="6">
        <v>3.4039208297281567</v>
      </c>
      <c r="K7408" s="8"/>
    </row>
    <row r="7409" spans="1:11" ht="15" x14ac:dyDescent="0.25">
      <c r="A7409" s="3" t="str">
        <f>HYPERLINK("proteomic_fractions_linear_files/Yang_linear_img/30424744.jpg", "30424744")</f>
        <v>30424744</v>
      </c>
      <c r="C7409" s="3" t="str">
        <f>HYPERLINK("http://www.ncbi.nlm.nih.gov/protein/30424744","Tatdn1")</f>
        <v>Tatdn1</v>
      </c>
      <c r="E7409" t="str">
        <f>HYPERLINK("J:\Depot - mpkCCD Fractions\Main Web Page\Web Pages_old\proteomic_fractions_linear_files/Yang_linear_img/30424744.jpg","show blot")</f>
        <v>show blot</v>
      </c>
      <c r="G7409" t="s">
        <v>7172</v>
      </c>
      <c r="I7409" s="6">
        <v>4.5876859050891134</v>
      </c>
      <c r="K7409" s="8"/>
    </row>
    <row r="7410" spans="1:11" ht="15" x14ac:dyDescent="0.25">
      <c r="A7410" s="3" t="str">
        <f>HYPERLINK("proteomic_fractions_linear_files/Yang_linear_img/256773241.jpg", "256773241")</f>
        <v>256773241</v>
      </c>
      <c r="C7410" s="3" t="str">
        <f>HYPERLINK("http://www.ncbi.nlm.nih.gov/protein/256773241","Tax1bp1")</f>
        <v>Tax1bp1</v>
      </c>
      <c r="E7410" t="str">
        <f>HYPERLINK("J:\Depot - mpkCCD Fractions\Main Web Page\Web Pages_old\proteomic_fractions_linear_files/Yang_linear_img/256773241.jpg","show blot")</f>
        <v>show blot</v>
      </c>
      <c r="G7410" t="s">
        <v>7173</v>
      </c>
      <c r="I7410" s="6">
        <v>3.4406686098406181</v>
      </c>
      <c r="K7410" s="8"/>
    </row>
    <row r="7411" spans="1:11" ht="15" x14ac:dyDescent="0.25">
      <c r="A7411" s="3" t="str">
        <f>HYPERLINK("proteomic_fractions_linear_files/Yang_linear_img/21313140.jpg", "21313140")</f>
        <v>21313140</v>
      </c>
      <c r="C7411" s="3" t="str">
        <f>HYPERLINK("http://www.ncbi.nlm.nih.gov/protein/21313140","Tax1bp3")</f>
        <v>Tax1bp3</v>
      </c>
      <c r="E7411" t="str">
        <f>HYPERLINK("J:\Depot - mpkCCD Fractions\Main Web Page\Web Pages_old\proteomic_fractions_linear_files/Yang_linear_img/21313140.jpg","show blot")</f>
        <v>show blot</v>
      </c>
      <c r="G7411" t="s">
        <v>7174</v>
      </c>
      <c r="I7411" s="6">
        <v>5.3100469016698852</v>
      </c>
      <c r="K7411" s="8"/>
    </row>
    <row r="7412" spans="1:11" ht="15" x14ac:dyDescent="0.25">
      <c r="A7412" s="3" t="str">
        <f>HYPERLINK("proteomic_fractions_linear_files/Yang_linear_img/120587003.jpg", "120587003")</f>
        <v>120587003</v>
      </c>
      <c r="C7412" s="3" t="str">
        <f>HYPERLINK("http://www.ncbi.nlm.nih.gov/protein/120587003","Tbc1d1")</f>
        <v>Tbc1d1</v>
      </c>
      <c r="E7412" t="str">
        <f>HYPERLINK("J:\Depot - mpkCCD Fractions\Main Web Page\Web Pages_old\proteomic_fractions_linear_files/Yang_linear_img/120587003.jpg","show blot")</f>
        <v>show blot</v>
      </c>
      <c r="G7412" t="s">
        <v>7175</v>
      </c>
      <c r="I7412" s="6">
        <v>4.5675931624646422</v>
      </c>
      <c r="K7412" s="8"/>
    </row>
    <row r="7413" spans="1:11" ht="15" x14ac:dyDescent="0.25">
      <c r="A7413" s="3" t="str">
        <f>HYPERLINK("proteomic_fractions_linear_files/Yang_linear_img/19527240.jpg", "19527240")</f>
        <v>19527240</v>
      </c>
      <c r="C7413" s="3" t="str">
        <f>HYPERLINK("http://www.ncbi.nlm.nih.gov/protein/19527240","Tbc1d10a")</f>
        <v>Tbc1d10a</v>
      </c>
      <c r="E7413" t="str">
        <f>HYPERLINK("J:\Depot - mpkCCD Fractions\Main Web Page\Web Pages_old\proteomic_fractions_linear_files/Yang_linear_img/19527240.jpg","show blot")</f>
        <v>show blot</v>
      </c>
      <c r="G7413" t="s">
        <v>7176</v>
      </c>
      <c r="I7413" s="6">
        <v>4.8111143957618889</v>
      </c>
      <c r="K7413" s="8"/>
    </row>
    <row r="7414" spans="1:11" ht="15" x14ac:dyDescent="0.25">
      <c r="A7414" s="3" t="str">
        <f>HYPERLINK("proteomic_fractions_linear_files/Yang_linear_img/167614490.jpg", "167614490")</f>
        <v>167614490</v>
      </c>
      <c r="C7414" s="3" t="str">
        <f>HYPERLINK("http://www.ncbi.nlm.nih.gov/protein/167614490","Tbc1d10b")</f>
        <v>Tbc1d10b</v>
      </c>
      <c r="E7414" t="str">
        <f>HYPERLINK("J:\Depot - mpkCCD Fractions\Main Web Page\Web Pages_old\proteomic_fractions_linear_files/Yang_linear_img/167614490.jpg","show blot")</f>
        <v>show blot</v>
      </c>
      <c r="G7414" t="s">
        <v>7177</v>
      </c>
      <c r="I7414" s="6">
        <v>1.8814699237974311</v>
      </c>
      <c r="K7414" s="8"/>
    </row>
    <row r="7415" spans="1:11" ht="15" x14ac:dyDescent="0.25">
      <c r="A7415" s="3" t="str">
        <f>HYPERLINK("proteomic_fractions_linear_files/Yang_linear_img/22122839.jpg", "22122839")</f>
        <v>22122839</v>
      </c>
      <c r="C7415" s="3" t="str">
        <f>HYPERLINK("http://www.ncbi.nlm.nih.gov/protein/22122839","Tbc1d13")</f>
        <v>Tbc1d13</v>
      </c>
      <c r="E7415" t="str">
        <f>HYPERLINK("J:\Depot - mpkCCD Fractions\Main Web Page\Web Pages_old\proteomic_fractions_linear_files/Yang_linear_img/22122839.jpg","show blot")</f>
        <v>show blot</v>
      </c>
      <c r="G7415" t="s">
        <v>7178</v>
      </c>
      <c r="I7415" s="6">
        <v>3.95210830524011</v>
      </c>
      <c r="K7415" s="8"/>
    </row>
    <row r="7416" spans="1:11" ht="15" x14ac:dyDescent="0.25">
      <c r="A7416" s="3" t="str">
        <f>HYPERLINK("proteomic_fractions_linear_files/Yang_linear_img/255958202.jpg", "255958202")</f>
        <v>255958202</v>
      </c>
      <c r="C7416" s="3" t="str">
        <f>HYPERLINK("http://www.ncbi.nlm.nih.gov/protein/255958202","Tbc1d15")</f>
        <v>Tbc1d15</v>
      </c>
      <c r="E7416" t="str">
        <f>HYPERLINK("J:\Depot - mpkCCD Fractions\Main Web Page\Web Pages_old\proteomic_fractions_linear_files/Yang_linear_img/255958202.jpg","show blot")</f>
        <v>show blot</v>
      </c>
      <c r="G7416" t="s">
        <v>7179</v>
      </c>
      <c r="I7416" s="6">
        <v>5.0398775789129893</v>
      </c>
      <c r="K7416" s="8"/>
    </row>
    <row r="7417" spans="1:11" ht="15" x14ac:dyDescent="0.25">
      <c r="A7417" s="3" t="str">
        <f>HYPERLINK("proteomic_fractions_linear_files/Yang_linear_img/111120337.jpg", "111120337")</f>
        <v>111120337</v>
      </c>
      <c r="C7417" s="3" t="str">
        <f>HYPERLINK("http://www.ncbi.nlm.nih.gov/protein/111120337","Tbc1d17")</f>
        <v>Tbc1d17</v>
      </c>
      <c r="E7417" t="str">
        <f>HYPERLINK("J:\Depot - mpkCCD Fractions\Main Web Page\Web Pages_old\proteomic_fractions_linear_files/Yang_linear_img/111120337.jpg","show blot")</f>
        <v>show blot</v>
      </c>
      <c r="G7417" t="s">
        <v>7180</v>
      </c>
      <c r="I7417" s="6">
        <v>4.4882352004706663</v>
      </c>
      <c r="K7417" s="8"/>
    </row>
    <row r="7418" spans="1:11" ht="15" x14ac:dyDescent="0.25">
      <c r="A7418" s="3" t="str">
        <f>HYPERLINK("proteomic_fractions_linear_files/Yang_linear_img/111038126.jpg", "111038126")</f>
        <v>111038126</v>
      </c>
      <c r="C7418" s="3" t="str">
        <f>HYPERLINK("http://www.ncbi.nlm.nih.gov/protein/111038126","Tbc1d2")</f>
        <v>Tbc1d2</v>
      </c>
      <c r="E7418" t="str">
        <f>HYPERLINK("J:\Depot - mpkCCD Fractions\Main Web Page\Web Pages_old\proteomic_fractions_linear_files/Yang_linear_img/111038126.jpg","show blot")</f>
        <v>show blot</v>
      </c>
      <c r="G7418" t="s">
        <v>7181</v>
      </c>
      <c r="I7418" s="6">
        <v>4.3830159445731747</v>
      </c>
      <c r="K7418" s="8"/>
    </row>
    <row r="7419" spans="1:11" ht="15" x14ac:dyDescent="0.25">
      <c r="A7419" s="3" t="str">
        <f>HYPERLINK("proteomic_fractions_linear_files/Yang_linear_img/42734463.jpg", "42734463")</f>
        <v>42734463</v>
      </c>
      <c r="C7419" s="3" t="str">
        <f>HYPERLINK("http://www.ncbi.nlm.nih.gov/protein/42734463","Tbc1d22a")</f>
        <v>Tbc1d22a</v>
      </c>
      <c r="E7419" t="str">
        <f>HYPERLINK("J:\Depot - mpkCCD Fractions\Main Web Page\Web Pages_old\proteomic_fractions_linear_files/Yang_linear_img/42734463.jpg","show blot")</f>
        <v>show blot</v>
      </c>
      <c r="G7419" t="s">
        <v>7182</v>
      </c>
      <c r="I7419" s="6">
        <v>3.3787468274631096</v>
      </c>
      <c r="K7419" s="8"/>
    </row>
    <row r="7420" spans="1:11" ht="15" x14ac:dyDescent="0.25">
      <c r="A7420" s="3" t="str">
        <f>HYPERLINK("proteomic_fractions_linear_files/Yang_linear_img/38348532.jpg", "38348532")</f>
        <v>38348532</v>
      </c>
      <c r="C7420" s="3" t="str">
        <f>HYPERLINK("http://www.ncbi.nlm.nih.gov/protein/38348532","Tbc1d22b")</f>
        <v>Tbc1d22b</v>
      </c>
      <c r="E7420" t="str">
        <f>HYPERLINK("J:\Depot - mpkCCD Fractions\Main Web Page\Web Pages_old\proteomic_fractions_linear_files/Yang_linear_img/38348532.jpg","show blot")</f>
        <v>show blot</v>
      </c>
      <c r="G7420" t="s">
        <v>7183</v>
      </c>
      <c r="I7420" s="6">
        <v>2.251782528301975</v>
      </c>
      <c r="K7420" s="8"/>
    </row>
    <row r="7421" spans="1:11" ht="15" x14ac:dyDescent="0.25">
      <c r="A7421" s="3" t="str">
        <f>HYPERLINK("proteomic_fractions_linear_files/Yang_linear_img/27754079.jpg", "27754079")</f>
        <v>27754079</v>
      </c>
      <c r="C7421" s="3" t="str">
        <f>HYPERLINK("http://www.ncbi.nlm.nih.gov/protein/27754079","Tbc1d23")</f>
        <v>Tbc1d23</v>
      </c>
      <c r="E7421" t="str">
        <f>HYPERLINK("J:\Depot - mpkCCD Fractions\Main Web Page\Web Pages_old\proteomic_fractions_linear_files/Yang_linear_img/27754079.jpg","show blot")</f>
        <v>show blot</v>
      </c>
      <c r="G7421" t="s">
        <v>7184</v>
      </c>
      <c r="I7421" s="6">
        <v>4.5113261539485539</v>
      </c>
      <c r="K7421" s="8"/>
    </row>
    <row r="7422" spans="1:11" ht="15" x14ac:dyDescent="0.25">
      <c r="A7422" s="3" t="str">
        <f>HYPERLINK("proteomic_fractions_linear_files/Yang_linear_img/255522819.jpg", "255522819")</f>
        <v>255522819</v>
      </c>
      <c r="C7422" s="3" t="str">
        <f>HYPERLINK("http://www.ncbi.nlm.nih.gov/protein/255522819","Tbc1d24")</f>
        <v>Tbc1d24</v>
      </c>
      <c r="E7422" t="str">
        <f>HYPERLINK("J:\Depot - mpkCCD Fractions\Main Web Page\Web Pages_old\proteomic_fractions_linear_files/Yang_linear_img/255522819.jpg","show blot")</f>
        <v>show blot</v>
      </c>
      <c r="G7422" t="s">
        <v>7185</v>
      </c>
      <c r="I7422" s="6">
        <v>3.1118577192096426</v>
      </c>
      <c r="K7422" s="8"/>
    </row>
    <row r="7423" spans="1:11" ht="15" x14ac:dyDescent="0.25">
      <c r="A7423" s="3" t="str">
        <f>HYPERLINK("proteomic_fractions_linear_files/Yang_linear_img/255522825.jpg", "255522825")</f>
        <v>255522825</v>
      </c>
      <c r="C7423" s="3" t="str">
        <f>HYPERLINK("http://www.ncbi.nlm.nih.gov/protein/255522825","Tbc1d24")</f>
        <v>Tbc1d24</v>
      </c>
      <c r="E7423" t="str">
        <f>HYPERLINK("J:\Depot - mpkCCD Fractions\Main Web Page\Web Pages_old\proteomic_fractions_linear_files/Yang_linear_img/255522825.jpg","show blot")</f>
        <v>show blot</v>
      </c>
      <c r="G7423" t="s">
        <v>7186</v>
      </c>
      <c r="I7423" s="6">
        <v>3.1118577192096426</v>
      </c>
      <c r="K7423" s="8"/>
    </row>
    <row r="7424" spans="1:11" ht="15" x14ac:dyDescent="0.25">
      <c r="A7424" s="3" t="str">
        <f>HYPERLINK("proteomic_fractions_linear_files/Yang_linear_img/163644270.jpg", "163644270")</f>
        <v>163644270</v>
      </c>
      <c r="C7424" s="3" t="str">
        <f>HYPERLINK("http://www.ncbi.nlm.nih.gov/protein/163644270","Tbc1d4")</f>
        <v>Tbc1d4</v>
      </c>
      <c r="E7424" t="str">
        <f>HYPERLINK("J:\Depot - mpkCCD Fractions\Main Web Page\Web Pages_old\proteomic_fractions_linear_files/Yang_linear_img/163644270.jpg","show blot")</f>
        <v>show blot</v>
      </c>
      <c r="G7424" t="s">
        <v>7187</v>
      </c>
      <c r="I7424" s="6">
        <v>4.6855286980072695</v>
      </c>
      <c r="K7424" s="8"/>
    </row>
    <row r="7425" spans="1:11" ht="15" x14ac:dyDescent="0.25">
      <c r="A7425" s="3" t="str">
        <f>HYPERLINK("proteomic_fractions_linear_files/Yang_linear_img/164518898.jpg", "164518898")</f>
        <v>164518898</v>
      </c>
      <c r="C7425" s="3" t="str">
        <f>HYPERLINK("http://www.ncbi.nlm.nih.gov/protein/164518898","Tbc1d5")</f>
        <v>Tbc1d5</v>
      </c>
      <c r="E7425" t="str">
        <f>HYPERLINK("J:\Depot - mpkCCD Fractions\Main Web Page\Web Pages_old\proteomic_fractions_linear_files/Yang_linear_img/164518898.jpg","show blot")</f>
        <v>show blot</v>
      </c>
      <c r="G7425" t="s">
        <v>7188</v>
      </c>
      <c r="I7425" s="6">
        <v>4.0347041069148064</v>
      </c>
      <c r="K7425" s="8"/>
    </row>
    <row r="7426" spans="1:11" ht="15" x14ac:dyDescent="0.25">
      <c r="A7426" s="3" t="str">
        <f>HYPERLINK("proteomic_fractions_linear_files/Yang_linear_img/125630636.jpg", "125630636")</f>
        <v>125630636</v>
      </c>
      <c r="C7426" s="3" t="str">
        <f>HYPERLINK("http://www.ncbi.nlm.nih.gov/protein/125630636","Tbc1d8b")</f>
        <v>Tbc1d8b</v>
      </c>
      <c r="E7426" t="str">
        <f>HYPERLINK("J:\Depot - mpkCCD Fractions\Main Web Page\Web Pages_old\proteomic_fractions_linear_files/Yang_linear_img/125630636.jpg","show blot")</f>
        <v>show blot</v>
      </c>
      <c r="G7426" t="s">
        <v>7189</v>
      </c>
      <c r="I7426" s="6">
        <v>3.7659862731514431</v>
      </c>
      <c r="K7426" s="8"/>
    </row>
    <row r="7427" spans="1:11" ht="15" x14ac:dyDescent="0.25">
      <c r="A7427" s="3" t="str">
        <f>HYPERLINK("proteomic_fractions_linear_files/Yang_linear_img/162329599.jpg", "162329599")</f>
        <v>162329599</v>
      </c>
      <c r="C7427" s="3" t="str">
        <f>HYPERLINK("http://www.ncbi.nlm.nih.gov/protein/162329599","Tbc1d9")</f>
        <v>Tbc1d9</v>
      </c>
      <c r="E7427" t="str">
        <f>HYPERLINK("J:\Depot - mpkCCD Fractions\Main Web Page\Web Pages_old\proteomic_fractions_linear_files/Yang_linear_img/162329599.jpg","show blot")</f>
        <v>show blot</v>
      </c>
      <c r="G7427" t="s">
        <v>7190</v>
      </c>
      <c r="I7427" s="6">
        <v>1.4970499012878564</v>
      </c>
      <c r="K7427" s="8"/>
    </row>
    <row r="7428" spans="1:11" ht="15" x14ac:dyDescent="0.25">
      <c r="A7428" s="3" t="str">
        <f>HYPERLINK("proteomic_fractions_linear_files/Yang_linear_img/30794404.jpg", "30794404")</f>
        <v>30794404</v>
      </c>
      <c r="C7428" s="3" t="str">
        <f>HYPERLINK("http://www.ncbi.nlm.nih.gov/protein/30794404","Tbc1d9")</f>
        <v>Tbc1d9</v>
      </c>
      <c r="E7428" t="str">
        <f>HYPERLINK("J:\Depot - mpkCCD Fractions\Main Web Page\Web Pages_old\proteomic_fractions_linear_files/Yang_linear_img/30794404.jpg","show blot")</f>
        <v>show blot</v>
      </c>
      <c r="G7428" t="s">
        <v>7191</v>
      </c>
      <c r="I7428" s="6">
        <v>1.4970499012878564</v>
      </c>
      <c r="K7428" s="8"/>
    </row>
    <row r="7429" spans="1:11" ht="15" x14ac:dyDescent="0.25">
      <c r="A7429" s="3" t="str">
        <f>HYPERLINK("proteomic_fractions_linear_files/Yang_linear_img/124358940.jpg", "124358940")</f>
        <v>124358940</v>
      </c>
      <c r="C7429" s="3" t="str">
        <f>HYPERLINK("http://www.ncbi.nlm.nih.gov/protein/124358940","Tbc1d9b")</f>
        <v>Tbc1d9b</v>
      </c>
      <c r="E7429" t="str">
        <f>HYPERLINK("J:\Depot - mpkCCD Fractions\Main Web Page\Web Pages_old\proteomic_fractions_linear_files/Yang_linear_img/124358940.jpg","show blot")</f>
        <v>show blot</v>
      </c>
      <c r="G7429" t="s">
        <v>7192</v>
      </c>
      <c r="I7429" s="6">
        <v>4.2551236674950053</v>
      </c>
      <c r="K7429" s="8"/>
    </row>
    <row r="7430" spans="1:11" ht="15" x14ac:dyDescent="0.25">
      <c r="A7430" s="3" t="str">
        <f>HYPERLINK("proteomic_fractions_linear_files/Yang_linear_img/6678225.jpg", "6678225")</f>
        <v>6678225</v>
      </c>
      <c r="C7430" s="3" t="str">
        <f>HYPERLINK("http://www.ncbi.nlm.nih.gov/protein/6678225","Tbca")</f>
        <v>Tbca</v>
      </c>
      <c r="E7430" t="str">
        <f>HYPERLINK("J:\Depot - mpkCCD Fractions\Main Web Page\Web Pages_old\proteomic_fractions_linear_files/Yang_linear_img/6678225.jpg","show blot")</f>
        <v>show blot</v>
      </c>
      <c r="G7430" t="s">
        <v>7193</v>
      </c>
      <c r="I7430" s="6">
        <v>6.023371855560204</v>
      </c>
      <c r="K7430" s="8"/>
    </row>
    <row r="7431" spans="1:11" ht="15" x14ac:dyDescent="0.25">
      <c r="A7431" s="3" t="str">
        <f>HYPERLINK("proteomic_fractions_linear_files/Yang_linear_img/170650659.jpg", "170650659")</f>
        <v>170650659</v>
      </c>
      <c r="C7431" s="3" t="str">
        <f>HYPERLINK("http://www.ncbi.nlm.nih.gov/protein/170650659","Tbcb")</f>
        <v>Tbcb</v>
      </c>
      <c r="E7431" t="str">
        <f>HYPERLINK("J:\Depot - mpkCCD Fractions\Main Web Page\Web Pages_old\proteomic_fractions_linear_files/Yang_linear_img/170650659.jpg","show blot")</f>
        <v>show blot</v>
      </c>
      <c r="G7431" t="s">
        <v>7194</v>
      </c>
      <c r="I7431" s="6">
        <v>5.4585082933213993</v>
      </c>
      <c r="K7431" s="8"/>
    </row>
    <row r="7432" spans="1:11" ht="15" x14ac:dyDescent="0.25">
      <c r="A7432" s="3" t="str">
        <f>HYPERLINK("proteomic_fractions_linear_files/Yang_linear_img/87044901.jpg", "87044901")</f>
        <v>87044901</v>
      </c>
      <c r="C7432" s="3" t="str">
        <f>HYPERLINK("http://www.ncbi.nlm.nih.gov/protein/87044901","Tbcc")</f>
        <v>Tbcc</v>
      </c>
      <c r="E7432" t="str">
        <f>HYPERLINK("J:\Depot - mpkCCD Fractions\Main Web Page\Web Pages_old\proteomic_fractions_linear_files/Yang_linear_img/87044901.jpg","show blot")</f>
        <v>show blot</v>
      </c>
      <c r="G7432" t="s">
        <v>7195</v>
      </c>
      <c r="I7432" s="6">
        <v>5.4859392491580374</v>
      </c>
      <c r="K7432" s="8"/>
    </row>
    <row r="7433" spans="1:11" ht="15" x14ac:dyDescent="0.25">
      <c r="A7433" s="3" t="str">
        <f>HYPERLINK("proteomic_fractions_linear_files/Yang_linear_img/28077067.jpg", "28077067")</f>
        <v>28077067</v>
      </c>
      <c r="C7433" s="3" t="str">
        <f>HYPERLINK("http://www.ncbi.nlm.nih.gov/protein/28077067","Tbcd")</f>
        <v>Tbcd</v>
      </c>
      <c r="E7433" t="str">
        <f>HYPERLINK("J:\Depot - mpkCCD Fractions\Main Web Page\Web Pages_old\proteomic_fractions_linear_files/Yang_linear_img/28077067.jpg","show blot")</f>
        <v>show blot</v>
      </c>
      <c r="G7433" t="s">
        <v>7196</v>
      </c>
      <c r="I7433" s="6">
        <v>5.2185910559539934</v>
      </c>
      <c r="K7433" s="8"/>
    </row>
    <row r="7434" spans="1:11" ht="15" x14ac:dyDescent="0.25">
      <c r="A7434" s="3" t="str">
        <f>HYPERLINK("proteomic_fractions_linear_files/Yang_linear_img/31543843.jpg", "31543843")</f>
        <v>31543843</v>
      </c>
      <c r="C7434" s="3" t="str">
        <f>HYPERLINK("http://www.ncbi.nlm.nih.gov/protein/31543843","Tbce")</f>
        <v>Tbce</v>
      </c>
      <c r="E7434" t="str">
        <f>HYPERLINK("J:\Depot - mpkCCD Fractions\Main Web Page\Web Pages_old\proteomic_fractions_linear_files/Yang_linear_img/31543843.jpg","show blot")</f>
        <v>show blot</v>
      </c>
      <c r="G7434" t="s">
        <v>7197</v>
      </c>
      <c r="I7434" s="6">
        <v>4.55577082007862</v>
      </c>
      <c r="K7434" s="8"/>
    </row>
    <row r="7435" spans="1:11" ht="15" x14ac:dyDescent="0.25">
      <c r="A7435" s="3" t="str">
        <f>HYPERLINK("proteomic_fractions_linear_files/Yang_linear_img/27370562.jpg", "27370562")</f>
        <v>27370562</v>
      </c>
      <c r="C7435" s="3" t="str">
        <f>HYPERLINK("http://www.ncbi.nlm.nih.gov/protein/27370562","Tbcel")</f>
        <v>Tbcel</v>
      </c>
      <c r="E7435" t="str">
        <f>HYPERLINK("J:\Depot - mpkCCD Fractions\Main Web Page\Web Pages_old\proteomic_fractions_linear_files/Yang_linear_img/27370562.jpg","show blot")</f>
        <v>show blot</v>
      </c>
      <c r="G7435" t="s">
        <v>7198</v>
      </c>
      <c r="I7435" s="6">
        <v>4.0415654838584647</v>
      </c>
      <c r="K7435" s="8"/>
    </row>
    <row r="7436" spans="1:11" ht="15" x14ac:dyDescent="0.25">
      <c r="A7436" s="3" t="str">
        <f>HYPERLINK("proteomic_fractions_linear_files/Yang_linear_img/251823839.jpg", "251823839")</f>
        <v>251823839</v>
      </c>
      <c r="C7436" s="3" t="str">
        <f>HYPERLINK("http://www.ncbi.nlm.nih.gov/protein/251823839","Tbk1")</f>
        <v>Tbk1</v>
      </c>
      <c r="E7436" t="str">
        <f>HYPERLINK("J:\Depot - mpkCCD Fractions\Main Web Page\Web Pages_old\proteomic_fractions_linear_files/Yang_linear_img/251823839.jpg","show blot")</f>
        <v>show blot</v>
      </c>
      <c r="G7436" t="s">
        <v>7199</v>
      </c>
      <c r="I7436" s="6">
        <v>3.4803134062741141</v>
      </c>
      <c r="K7436" s="8"/>
    </row>
    <row r="7437" spans="1:11" ht="15" x14ac:dyDescent="0.25">
      <c r="A7437" s="3" t="str">
        <f>HYPERLINK("proteomic_fractions_linear_files/Yang_linear_img/33468969.jpg", "33468969")</f>
        <v>33468969</v>
      </c>
      <c r="C7437" s="3" t="str">
        <f>HYPERLINK("http://www.ncbi.nlm.nih.gov/protein/33468969","Tbl1x")</f>
        <v>Tbl1x</v>
      </c>
      <c r="E7437" t="str">
        <f>HYPERLINK("J:\Depot - mpkCCD Fractions\Main Web Page\Web Pages_old\proteomic_fractions_linear_files/Yang_linear_img/33468969.jpg","show blot")</f>
        <v>show blot</v>
      </c>
      <c r="G7437" t="s">
        <v>7200</v>
      </c>
      <c r="I7437" s="6">
        <v>4.8761869375959916</v>
      </c>
      <c r="K7437" s="8"/>
    </row>
    <row r="7438" spans="1:11" ht="15" x14ac:dyDescent="0.25">
      <c r="A7438" s="3" t="str">
        <f>HYPERLINK("proteomic_fractions_linear_files/Yang_linear_img/31543001.jpg", "31543001")</f>
        <v>31543001</v>
      </c>
      <c r="C7438" s="3" t="str">
        <f>HYPERLINK("http://www.ncbi.nlm.nih.gov/protein/31543001","Tbl1xr1")</f>
        <v>Tbl1xr1</v>
      </c>
      <c r="E7438" t="str">
        <f>HYPERLINK("J:\Depot - mpkCCD Fractions\Main Web Page\Web Pages_old\proteomic_fractions_linear_files/Yang_linear_img/31543001.jpg","show blot")</f>
        <v>show blot</v>
      </c>
      <c r="G7438" t="s">
        <v>7201</v>
      </c>
      <c r="I7438" s="6">
        <v>5.0205486272255762</v>
      </c>
      <c r="K7438" s="8"/>
    </row>
    <row r="7439" spans="1:11" ht="15" x14ac:dyDescent="0.25">
      <c r="A7439" s="3" t="str">
        <f>HYPERLINK("proteomic_fractions_linear_files/Yang_linear_img/31543845.jpg", "31543845")</f>
        <v>31543845</v>
      </c>
      <c r="C7439" s="3" t="str">
        <f>HYPERLINK("http://www.ncbi.nlm.nih.gov/protein/31543845","Tbl2")</f>
        <v>Tbl2</v>
      </c>
      <c r="E7439" t="str">
        <f>HYPERLINK("J:\Depot - mpkCCD Fractions\Main Web Page\Web Pages_old\proteomic_fractions_linear_files/Yang_linear_img/31543845.jpg","show blot")</f>
        <v>show blot</v>
      </c>
      <c r="G7439" t="s">
        <v>7202</v>
      </c>
      <c r="I7439" s="6">
        <v>4.8327148579782699</v>
      </c>
      <c r="K7439" s="8"/>
    </row>
    <row r="7440" spans="1:11" ht="15" x14ac:dyDescent="0.25">
      <c r="A7440" s="3" t="str">
        <f>HYPERLINK("proteomic_fractions_linear_files/Yang_linear_img/30102935.jpg", "30102935")</f>
        <v>30102935</v>
      </c>
      <c r="C7440" s="3" t="str">
        <f>HYPERLINK("http://www.ncbi.nlm.nih.gov/protein/30102935","Tbl3")</f>
        <v>Tbl3</v>
      </c>
      <c r="E7440" t="str">
        <f>HYPERLINK("J:\Depot - mpkCCD Fractions\Main Web Page\Web Pages_old\proteomic_fractions_linear_files/Yang_linear_img/30102935.jpg","show blot")</f>
        <v>show blot</v>
      </c>
      <c r="G7440" t="s">
        <v>7203</v>
      </c>
      <c r="I7440" s="6">
        <v>4.2720493073801267</v>
      </c>
      <c r="K7440" s="8"/>
    </row>
    <row r="7441" spans="1:11" ht="15" x14ac:dyDescent="0.25">
      <c r="A7441" s="3" t="str">
        <f>HYPERLINK("proteomic_fractions_linear_files/Yang_linear_img/172073171.jpg", "172073171")</f>
        <v>172073171</v>
      </c>
      <c r="C7441" s="3" t="str">
        <f>HYPERLINK("http://www.ncbi.nlm.nih.gov/protein/172073171","Tbp")</f>
        <v>Tbp</v>
      </c>
      <c r="E7441" t="str">
        <f>HYPERLINK("J:\Depot - mpkCCD Fractions\Main Web Page\Web Pages_old\proteomic_fractions_linear_files/Yang_linear_img/172073171.jpg","show blot")</f>
        <v>show blot</v>
      </c>
      <c r="G7441" t="s">
        <v>7204</v>
      </c>
      <c r="I7441" s="6">
        <v>2.3971934416794358</v>
      </c>
      <c r="K7441" s="8"/>
    </row>
    <row r="7442" spans="1:11" ht="15" x14ac:dyDescent="0.25">
      <c r="A7442" s="3" t="str">
        <f>HYPERLINK("proteomic_fractions_linear_files/Yang_linear_img/6755811.jpg", "6755811")</f>
        <v>6755811</v>
      </c>
      <c r="C7442" s="3" t="str">
        <f>HYPERLINK("http://www.ncbi.nlm.nih.gov/protein/6755811","Tbpl1")</f>
        <v>Tbpl1</v>
      </c>
      <c r="E7442" t="str">
        <f>HYPERLINK("J:\Depot - mpkCCD Fractions\Main Web Page\Web Pages_old\proteomic_fractions_linear_files/Yang_linear_img/6755811.jpg","show blot")</f>
        <v>show blot</v>
      </c>
      <c r="G7442" t="s">
        <v>7205</v>
      </c>
      <c r="I7442" s="6">
        <v>4.8956971287764484</v>
      </c>
      <c r="K7442" s="8"/>
    </row>
    <row r="7443" spans="1:11" ht="15" x14ac:dyDescent="0.25">
      <c r="A7443" s="3" t="str">
        <f>HYPERLINK("proteomic_fractions_linear_files/Yang_linear_img/39979630.jpg", "39979630")</f>
        <v>39979630</v>
      </c>
      <c r="C7443" s="3" t="str">
        <f>HYPERLINK("http://www.ncbi.nlm.nih.gov/protein/39979630","Tbpl2")</f>
        <v>Tbpl2</v>
      </c>
      <c r="E7443" t="str">
        <f>HYPERLINK("J:\Depot - mpkCCD Fractions\Main Web Page\Web Pages_old\proteomic_fractions_linear_files/Yang_linear_img/39979630.jpg","show blot")</f>
        <v>show blot</v>
      </c>
      <c r="G7443" t="s">
        <v>7206</v>
      </c>
      <c r="I7443" s="6">
        <v>1.4895618798953065</v>
      </c>
      <c r="K7443" s="8"/>
    </row>
    <row r="7444" spans="1:11" ht="15" x14ac:dyDescent="0.25">
      <c r="A7444" s="3" t="str">
        <f>HYPERLINK("proteomic_fractions_linear_files/Yang_linear_img/20589521.jpg", "20589521")</f>
        <v>20589521</v>
      </c>
      <c r="C7444" s="3" t="str">
        <f>HYPERLINK("http://www.ncbi.nlm.nih.gov/protein/20589521","Tbrg4")</f>
        <v>Tbrg4</v>
      </c>
      <c r="E7444" t="str">
        <f>HYPERLINK("J:\Depot - mpkCCD Fractions\Main Web Page\Web Pages_old\proteomic_fractions_linear_files/Yang_linear_img/20589521.jpg","show blot")</f>
        <v>show blot</v>
      </c>
      <c r="G7444" t="s">
        <v>7207</v>
      </c>
      <c r="I7444" s="6">
        <v>4.2496613776467909</v>
      </c>
      <c r="K7444" s="8"/>
    </row>
    <row r="7445" spans="1:11" ht="15" x14ac:dyDescent="0.25">
      <c r="A7445" s="3" t="str">
        <f>HYPERLINK("proteomic_fractions_linear_files/Yang_linear_img/229094709.jpg", "229094709")</f>
        <v>229094709</v>
      </c>
      <c r="C7445" s="3" t="str">
        <f>HYPERLINK("http://www.ncbi.nlm.nih.gov/protein/229094709","Tcea1")</f>
        <v>Tcea1</v>
      </c>
      <c r="E7445" t="str">
        <f>HYPERLINK("J:\Depot - mpkCCD Fractions\Main Web Page\Web Pages_old\proteomic_fractions_linear_files/Yang_linear_img/229094709.jpg","show blot")</f>
        <v>show blot</v>
      </c>
      <c r="G7445" t="s">
        <v>7208</v>
      </c>
      <c r="I7445" s="6">
        <v>6.0029744763993973</v>
      </c>
      <c r="K7445" s="8"/>
    </row>
    <row r="7446" spans="1:11" ht="15" x14ac:dyDescent="0.25">
      <c r="A7446" s="3" t="str">
        <f>HYPERLINK("proteomic_fractions_linear_files/Yang_linear_img/229094714.jpg", "229094714")</f>
        <v>229094714</v>
      </c>
      <c r="C7446" s="3" t="str">
        <f>HYPERLINK("http://www.ncbi.nlm.nih.gov/protein/229094714","Tcea1")</f>
        <v>Tcea1</v>
      </c>
      <c r="E7446" t="str">
        <f>HYPERLINK("J:\Depot - mpkCCD Fractions\Main Web Page\Web Pages_old\proteomic_fractions_linear_files/Yang_linear_img/229094714.jpg","show blot")</f>
        <v>show blot</v>
      </c>
      <c r="G7446" t="s">
        <v>7209</v>
      </c>
      <c r="I7446" s="6">
        <v>6.0029744763993973</v>
      </c>
      <c r="K7446" s="8"/>
    </row>
    <row r="7447" spans="1:11" ht="15" x14ac:dyDescent="0.25">
      <c r="A7447" s="3" t="str">
        <f>HYPERLINK("proteomic_fractions_linear_files/Yang_linear_img/6755728.jpg", "6755728")</f>
        <v>6755728</v>
      </c>
      <c r="C7447" s="3" t="str">
        <f>HYPERLINK("http://www.ncbi.nlm.nih.gov/protein/6755728","Tcea1")</f>
        <v>Tcea1</v>
      </c>
      <c r="E7447" t="str">
        <f>HYPERLINK("J:\Depot - mpkCCD Fractions\Main Web Page\Web Pages_old\proteomic_fractions_linear_files/Yang_linear_img/6755728.jpg","show blot")</f>
        <v>show blot</v>
      </c>
      <c r="G7447" t="s">
        <v>7210</v>
      </c>
      <c r="I7447" s="6">
        <v>6.0029744763993973</v>
      </c>
      <c r="K7447" s="8"/>
    </row>
    <row r="7448" spans="1:11" ht="15" x14ac:dyDescent="0.25">
      <c r="A7448" s="3" t="str">
        <f>HYPERLINK("proteomic_fractions_linear_files/Yang_linear_img/6678235.jpg", "6678235")</f>
        <v>6678235</v>
      </c>
      <c r="C7448" s="3" t="str">
        <f>HYPERLINK("http://www.ncbi.nlm.nih.gov/protein/6678235","Tcea2")</f>
        <v>Tcea2</v>
      </c>
      <c r="E7448" t="str">
        <f>HYPERLINK("J:\Depot - mpkCCD Fractions\Main Web Page\Web Pages_old\proteomic_fractions_linear_files/Yang_linear_img/6678235.jpg","show blot")</f>
        <v>show blot</v>
      </c>
      <c r="G7448" t="s">
        <v>7211</v>
      </c>
      <c r="I7448" s="6">
        <v>3.7862377590556346</v>
      </c>
      <c r="K7448" s="8"/>
    </row>
    <row r="7449" spans="1:11" ht="15" x14ac:dyDescent="0.25">
      <c r="A7449" s="3" t="str">
        <f>HYPERLINK("proteomic_fractions_linear_files/Yang_linear_img/13385800.jpg", "13385800")</f>
        <v>13385800</v>
      </c>
      <c r="C7449" s="3" t="str">
        <f>HYPERLINK("http://www.ncbi.nlm.nih.gov/protein/13385800","Tceb2")</f>
        <v>Tceb2</v>
      </c>
      <c r="E7449" t="str">
        <f>HYPERLINK("J:\Depot - mpkCCD Fractions\Main Web Page\Web Pages_old\proteomic_fractions_linear_files/Yang_linear_img/13385800.jpg","show blot")</f>
        <v>show blot</v>
      </c>
      <c r="G7449" t="s">
        <v>7212</v>
      </c>
      <c r="I7449" s="6">
        <v>6.07611545114968</v>
      </c>
      <c r="K7449" s="8"/>
    </row>
    <row r="7450" spans="1:11" ht="15" x14ac:dyDescent="0.25">
      <c r="A7450" s="3" t="str">
        <f>HYPERLINK("proteomic_fractions_linear_files/Yang_linear_img/87196334.jpg", "87196334")</f>
        <v>87196334</v>
      </c>
      <c r="C7450" s="3" t="str">
        <f>HYPERLINK("http://www.ncbi.nlm.nih.gov/protein/87196334","Tcerg1")</f>
        <v>Tcerg1</v>
      </c>
      <c r="E7450" t="str">
        <f>HYPERLINK("J:\Depot - mpkCCD Fractions\Main Web Page\Web Pages_old\proteomic_fractions_linear_files/Yang_linear_img/87196334.jpg","show blot")</f>
        <v>show blot</v>
      </c>
      <c r="G7450" t="s">
        <v>7213</v>
      </c>
      <c r="I7450" s="6">
        <v>3.4151174420161272</v>
      </c>
      <c r="K7450" s="8"/>
    </row>
    <row r="7451" spans="1:11" ht="15" x14ac:dyDescent="0.25">
      <c r="A7451" s="3" t="str">
        <f>HYPERLINK("proteomic_fractions_linear_files/Yang_linear_img/209863008.jpg", "209863008")</f>
        <v>209863008</v>
      </c>
      <c r="C7451" s="3" t="str">
        <f>HYPERLINK("http://www.ncbi.nlm.nih.gov/protein/209863008","Tcirg1")</f>
        <v>Tcirg1</v>
      </c>
      <c r="E7451" t="str">
        <f>HYPERLINK("J:\Depot - mpkCCD Fractions\Main Web Page\Web Pages_old\proteomic_fractions_linear_files/Yang_linear_img/209863008.jpg","show blot")</f>
        <v>show blot</v>
      </c>
      <c r="G7451" t="s">
        <v>7214</v>
      </c>
      <c r="I7451" s="6">
        <v>4.3236258758875659</v>
      </c>
      <c r="K7451" s="8"/>
    </row>
    <row r="7452" spans="1:11" ht="15" x14ac:dyDescent="0.25">
      <c r="A7452" s="3" t="str">
        <f>HYPERLINK("proteomic_fractions_linear_files/Yang_linear_img/312176443.jpg", "312176443")</f>
        <v>312176443</v>
      </c>
      <c r="C7452" s="3" t="str">
        <f>HYPERLINK("http://www.ncbi.nlm.nih.gov/protein/312176443","Tcof1")</f>
        <v>Tcof1</v>
      </c>
      <c r="E7452" t="str">
        <f>HYPERLINK("J:\Depot - mpkCCD Fractions\Main Web Page\Web Pages_old\proteomic_fractions_linear_files/Yang_linear_img/312176443.jpg","show blot")</f>
        <v>show blot</v>
      </c>
      <c r="G7452" t="s">
        <v>7215</v>
      </c>
      <c r="I7452" s="6">
        <v>3.6291226252164894</v>
      </c>
      <c r="K7452" s="8"/>
    </row>
    <row r="7453" spans="1:11" ht="15" x14ac:dyDescent="0.25">
      <c r="A7453" s="3" t="str">
        <f>HYPERLINK("proteomic_fractions_linear_files/Yang_linear_img/6755742.jpg", "6755742")</f>
        <v>6755742</v>
      </c>
      <c r="C7453" s="3" t="str">
        <f>HYPERLINK("http://www.ncbi.nlm.nih.gov/protein/6755742","Tcof1")</f>
        <v>Tcof1</v>
      </c>
      <c r="E7453" t="str">
        <f>HYPERLINK("J:\Depot - mpkCCD Fractions\Main Web Page\Web Pages_old\proteomic_fractions_linear_files/Yang_linear_img/6755742.jpg","show blot")</f>
        <v>show blot</v>
      </c>
      <c r="G7453" t="s">
        <v>7216</v>
      </c>
      <c r="I7453" s="6">
        <v>3.6291226252164894</v>
      </c>
      <c r="K7453" s="8"/>
    </row>
    <row r="7454" spans="1:11" ht="15" x14ac:dyDescent="0.25">
      <c r="A7454" s="3" t="str">
        <f>HYPERLINK("proteomic_fractions_linear_files/Yang_linear_img/110625624.jpg", "110625624")</f>
        <v>110625624</v>
      </c>
      <c r="C7454" s="3" t="str">
        <f>HYPERLINK("http://www.ncbi.nlm.nih.gov/protein/110625624","Tcp1")</f>
        <v>Tcp1</v>
      </c>
      <c r="E7454" t="str">
        <f>HYPERLINK("J:\Depot - mpkCCD Fractions\Main Web Page\Web Pages_old\proteomic_fractions_linear_files/Yang_linear_img/110625624.jpg","show blot")</f>
        <v>show blot</v>
      </c>
      <c r="G7454" t="s">
        <v>7217</v>
      </c>
      <c r="I7454" s="6">
        <v>6.7720975433122206</v>
      </c>
      <c r="K7454" s="8"/>
    </row>
    <row r="7455" spans="1:11" ht="15" x14ac:dyDescent="0.25">
      <c r="A7455" s="3" t="str">
        <f>HYPERLINK("proteomic_fractions_linear_files/Yang_linear_img/28893201.jpg", "28893201")</f>
        <v>28893201</v>
      </c>
      <c r="C7455" s="3" t="str">
        <f>HYPERLINK("http://www.ncbi.nlm.nih.gov/protein/28893201","Tcp11l1")</f>
        <v>Tcp11l1</v>
      </c>
      <c r="E7455" t="str">
        <f>HYPERLINK("J:\Depot - mpkCCD Fractions\Main Web Page\Web Pages_old\proteomic_fractions_linear_files/Yang_linear_img/28893201.jpg","show blot")</f>
        <v>show blot</v>
      </c>
      <c r="G7455" t="s">
        <v>7218</v>
      </c>
      <c r="I7455" s="6">
        <v>3.4176498373014508</v>
      </c>
      <c r="K7455" s="8"/>
    </row>
    <row r="7456" spans="1:11" ht="15" x14ac:dyDescent="0.25">
      <c r="A7456" s="3" t="str">
        <f>HYPERLINK("proteomic_fractions_linear_files/Yang_linear_img/166706899.jpg", "166706899")</f>
        <v>166706899</v>
      </c>
      <c r="C7456" s="3" t="str">
        <f>HYPERLINK("http://www.ncbi.nlm.nih.gov/protein/166706899","Tdg")</f>
        <v>Tdg</v>
      </c>
      <c r="E7456" t="str">
        <f>HYPERLINK("J:\Depot - mpkCCD Fractions\Main Web Page\Web Pages_old\proteomic_fractions_linear_files/Yang_linear_img/166706899.jpg","show blot")</f>
        <v>show blot</v>
      </c>
      <c r="G7456" t="s">
        <v>7219</v>
      </c>
      <c r="I7456" s="6">
        <v>3.1317790093691871</v>
      </c>
      <c r="K7456" s="8"/>
    </row>
    <row r="7457" spans="1:11" ht="15" x14ac:dyDescent="0.25">
      <c r="A7457" s="3" t="str">
        <f>HYPERLINK("proteomic_fractions_linear_files/Yang_linear_img/166706901.jpg", "166706901")</f>
        <v>166706901</v>
      </c>
      <c r="C7457" s="3" t="str">
        <f>HYPERLINK("http://www.ncbi.nlm.nih.gov/protein/166706901","Tdg")</f>
        <v>Tdg</v>
      </c>
      <c r="E7457" t="str">
        <f>HYPERLINK("J:\Depot - mpkCCD Fractions\Main Web Page\Web Pages_old\proteomic_fractions_linear_files/Yang_linear_img/166706901.jpg","show blot")</f>
        <v>show blot</v>
      </c>
      <c r="G7457" t="s">
        <v>7220</v>
      </c>
      <c r="I7457" s="6">
        <v>3.1317790093691871</v>
      </c>
      <c r="K7457" s="8"/>
    </row>
    <row r="7458" spans="1:11" ht="15" x14ac:dyDescent="0.25">
      <c r="A7458" s="3" t="str">
        <f>HYPERLINK("proteomic_fractions_linear_files/Yang_linear_img/162417986.jpg", "162417986")</f>
        <v>162417986</v>
      </c>
      <c r="C7458" s="3" t="str">
        <f>HYPERLINK("http://www.ncbi.nlm.nih.gov/protein/162417986","Tdp1")</f>
        <v>Tdp1</v>
      </c>
      <c r="E7458" t="str">
        <f>HYPERLINK("J:\Depot - mpkCCD Fractions\Main Web Page\Web Pages_old\proteomic_fractions_linear_files/Yang_linear_img/162417986.jpg","show blot")</f>
        <v>show blot</v>
      </c>
      <c r="G7458" t="s">
        <v>7221</v>
      </c>
      <c r="I7458" s="6">
        <v>3.3254060208376224</v>
      </c>
      <c r="K7458" s="8"/>
    </row>
    <row r="7459" spans="1:11" ht="15" x14ac:dyDescent="0.25">
      <c r="A7459" s="3" t="str">
        <f>HYPERLINK("proteomic_fractions_linear_files/Yang_linear_img/9507213.jpg", "9507213")</f>
        <v>9507213</v>
      </c>
      <c r="C7459" s="3" t="str">
        <f>HYPERLINK("http://www.ncbi.nlm.nih.gov/protein/9507213","Tdp2")</f>
        <v>Tdp2</v>
      </c>
      <c r="E7459" t="str">
        <f>HYPERLINK("J:\Depot - mpkCCD Fractions\Main Web Page\Web Pages_old\proteomic_fractions_linear_files/Yang_linear_img/9507213.jpg","show blot")</f>
        <v>show blot</v>
      </c>
      <c r="G7459" t="s">
        <v>7222</v>
      </c>
      <c r="I7459" s="6">
        <v>2.8988893210253668</v>
      </c>
      <c r="K7459" s="8"/>
    </row>
    <row r="7460" spans="1:11" ht="15" x14ac:dyDescent="0.25">
      <c r="A7460" s="3" t="str">
        <f>HYPERLINK("proteomic_fractions_linear_files/Yang_linear_img/225703112.jpg", "225703112")</f>
        <v>225703112</v>
      </c>
      <c r="C7460" s="3" t="str">
        <f>HYPERLINK("http://www.ncbi.nlm.nih.gov/protein/225703112","Tdrd3")</f>
        <v>Tdrd3</v>
      </c>
      <c r="E7460" t="str">
        <f>HYPERLINK("J:\Depot - mpkCCD Fractions\Main Web Page\Web Pages_old\proteomic_fractions_linear_files/Yang_linear_img/225703112.jpg","show blot")</f>
        <v>show blot</v>
      </c>
      <c r="G7460" t="s">
        <v>7223</v>
      </c>
      <c r="I7460" s="6">
        <v>4.1441831054438003</v>
      </c>
      <c r="K7460" s="8"/>
    </row>
    <row r="7461" spans="1:11" ht="15" x14ac:dyDescent="0.25">
      <c r="A7461" s="3" t="str">
        <f>HYPERLINK("proteomic_fractions_linear_files/Yang_linear_img/359279950.jpg", "359279950")</f>
        <v>359279950</v>
      </c>
      <c r="C7461" s="3" t="str">
        <f>HYPERLINK("http://www.ncbi.nlm.nih.gov/protein/359279950","Tdrd3")</f>
        <v>Tdrd3</v>
      </c>
      <c r="E7461" t="str">
        <f>HYPERLINK("J:\Depot - mpkCCD Fractions\Main Web Page\Web Pages_old\proteomic_fractions_linear_files/Yang_linear_img/359279950.jpg","show blot")</f>
        <v>show blot</v>
      </c>
      <c r="G7461" t="s">
        <v>7224</v>
      </c>
      <c r="I7461" s="6">
        <v>4.1441831054438003</v>
      </c>
      <c r="K7461" s="8"/>
    </row>
    <row r="7462" spans="1:11" ht="15" x14ac:dyDescent="0.25">
      <c r="A7462" s="3" t="str">
        <f>HYPERLINK("proteomic_fractions_linear_files/Yang_linear_img/124249058.jpg", "124249058")</f>
        <v>124249058</v>
      </c>
      <c r="C7462" s="3" t="str">
        <f>HYPERLINK("http://www.ncbi.nlm.nih.gov/protein/124249058","Tecpr1")</f>
        <v>Tecpr1</v>
      </c>
      <c r="E7462" t="str">
        <f>HYPERLINK("J:\Depot - mpkCCD Fractions\Main Web Page\Web Pages_old\proteomic_fractions_linear_files/Yang_linear_img/124249058.jpg","show blot")</f>
        <v>show blot</v>
      </c>
      <c r="G7462" t="s">
        <v>7225</v>
      </c>
      <c r="I7462" s="6">
        <v>3.20909007105318</v>
      </c>
      <c r="K7462" s="8"/>
    </row>
    <row r="7463" spans="1:11" ht="15" x14ac:dyDescent="0.25">
      <c r="A7463" s="3" t="str">
        <f>HYPERLINK("proteomic_fractions_linear_files/Yang_linear_img/19923070.jpg", "19923070")</f>
        <v>19923070</v>
      </c>
      <c r="C7463" s="3" t="str">
        <f>HYPERLINK("http://www.ncbi.nlm.nih.gov/protein/19923070","Tecr")</f>
        <v>Tecr</v>
      </c>
      <c r="E7463" t="str">
        <f>HYPERLINK("J:\Depot - mpkCCD Fractions\Main Web Page\Web Pages_old\proteomic_fractions_linear_files/Yang_linear_img/19923070.jpg","show blot")</f>
        <v>show blot</v>
      </c>
      <c r="G7463" t="s">
        <v>7226</v>
      </c>
      <c r="I7463" s="6">
        <v>5.3605551931143323</v>
      </c>
      <c r="K7463" s="8"/>
    </row>
    <row r="7464" spans="1:11" ht="15" x14ac:dyDescent="0.25">
      <c r="A7464" s="3" t="str">
        <f>HYPERLINK("proteomic_fractions_linear_files/Yang_linear_img/226342960.jpg", "226342960")</f>
        <v>226342960</v>
      </c>
      <c r="C7464" s="3" t="str">
        <f>HYPERLINK("http://www.ncbi.nlm.nih.gov/protein/226342960","Tecr")</f>
        <v>Tecr</v>
      </c>
      <c r="E7464" t="str">
        <f>HYPERLINK("J:\Depot - mpkCCD Fractions\Main Web Page\Web Pages_old\proteomic_fractions_linear_files/Yang_linear_img/226342960.jpg","show blot")</f>
        <v>show blot</v>
      </c>
      <c r="G7464" t="s">
        <v>7227</v>
      </c>
      <c r="I7464" s="6">
        <v>5.3605551931143323</v>
      </c>
      <c r="K7464" s="8"/>
    </row>
    <row r="7465" spans="1:11" ht="15" x14ac:dyDescent="0.25">
      <c r="A7465" s="3" t="str">
        <f>HYPERLINK("proteomic_fractions_linear_files/Yang_linear_img/134053922.jpg", "134053922")</f>
        <v>134053922</v>
      </c>
      <c r="C7465" s="3" t="str">
        <f>HYPERLINK("http://www.ncbi.nlm.nih.gov/protein/134053922","Tefm")</f>
        <v>Tefm</v>
      </c>
      <c r="E7465" t="str">
        <f>HYPERLINK("J:\Depot - mpkCCD Fractions\Main Web Page\Web Pages_old\proteomic_fractions_linear_files/Yang_linear_img/134053922.jpg","show blot")</f>
        <v>show blot</v>
      </c>
      <c r="G7465" t="s">
        <v>7228</v>
      </c>
      <c r="I7465" s="6">
        <v>4.2166372553845353</v>
      </c>
      <c r="K7465" s="8"/>
    </row>
    <row r="7466" spans="1:11" ht="15" x14ac:dyDescent="0.25">
      <c r="A7466" s="3" t="str">
        <f>HYPERLINK("proteomic_fractions_linear_files/Yang_linear_img/117956379.jpg", "117956379")</f>
        <v>117956379</v>
      </c>
      <c r="C7466" s="3" t="str">
        <f>HYPERLINK("http://www.ncbi.nlm.nih.gov/protein/117956379","Tekt1")</f>
        <v>Tekt1</v>
      </c>
      <c r="E7466" t="str">
        <f>HYPERLINK("J:\Depot - mpkCCD Fractions\Main Web Page\Web Pages_old\proteomic_fractions_linear_files/Yang_linear_img/117956379.jpg","show blot")</f>
        <v>show blot</v>
      </c>
      <c r="G7466" t="s">
        <v>7229</v>
      </c>
      <c r="I7466" s="6">
        <v>4.4863374188841263</v>
      </c>
      <c r="K7466" s="8"/>
    </row>
    <row r="7467" spans="1:11" ht="15" x14ac:dyDescent="0.25">
      <c r="A7467" s="3" t="str">
        <f>HYPERLINK("proteomic_fractions_linear_files/Yang_linear_img/255683437.jpg", "255683437")</f>
        <v>255683437</v>
      </c>
      <c r="C7467" s="3" t="str">
        <f>HYPERLINK("http://www.ncbi.nlm.nih.gov/protein/255683437","Telo2")</f>
        <v>Telo2</v>
      </c>
      <c r="E7467" t="str">
        <f>HYPERLINK("J:\Depot - mpkCCD Fractions\Main Web Page\Web Pages_old\proteomic_fractions_linear_files/Yang_linear_img/255683437.jpg","show blot")</f>
        <v>show blot</v>
      </c>
      <c r="G7467" t="s">
        <v>7230</v>
      </c>
      <c r="I7467" s="6">
        <v>4.2377961656336653</v>
      </c>
      <c r="K7467" s="8"/>
    </row>
    <row r="7468" spans="1:11" ht="15" x14ac:dyDescent="0.25">
      <c r="A7468" s="3" t="str">
        <f>HYPERLINK("proteomic_fractions_linear_files/Yang_linear_img/254675210.jpg", "254675210")</f>
        <v>254675210</v>
      </c>
      <c r="C7468" s="3" t="str">
        <f>HYPERLINK("http://www.ncbi.nlm.nih.gov/protein/254675210","Ten1")</f>
        <v>Ten1</v>
      </c>
      <c r="E7468" t="str">
        <f>HYPERLINK("J:\Depot - mpkCCD Fractions\Main Web Page\Web Pages_old\proteomic_fractions_linear_files/Yang_linear_img/254675210.jpg","show blot")</f>
        <v>show blot</v>
      </c>
      <c r="G7468" t="s">
        <v>7231</v>
      </c>
      <c r="I7468" s="6">
        <v>4.7885503555217381</v>
      </c>
      <c r="K7468" s="8"/>
    </row>
    <row r="7469" spans="1:11" ht="15" x14ac:dyDescent="0.25">
      <c r="A7469" s="3" t="str">
        <f>HYPERLINK("proteomic_fractions_linear_files/Yang_linear_img/119372288.jpg", "119372288")</f>
        <v>119372288</v>
      </c>
      <c r="C7469" s="3" t="str">
        <f>HYPERLINK("http://www.ncbi.nlm.nih.gov/protein/119372288","Tenc1")</f>
        <v>Tenc1</v>
      </c>
      <c r="E7469" t="str">
        <f>HYPERLINK("J:\Depot - mpkCCD Fractions\Main Web Page\Web Pages_old\proteomic_fractions_linear_files/Yang_linear_img/119372288.jpg","show blot")</f>
        <v>show blot</v>
      </c>
      <c r="G7469" t="s">
        <v>7232</v>
      </c>
      <c r="I7469" s="6">
        <v>4.0128732107926632</v>
      </c>
      <c r="K7469" s="8"/>
    </row>
    <row r="7470" spans="1:11" ht="15" x14ac:dyDescent="0.25">
      <c r="A7470" s="3" t="str">
        <f>HYPERLINK("proteomic_fractions_linear_files/Yang_linear_img/7657413.jpg", "7657413")</f>
        <v>7657413</v>
      </c>
      <c r="C7470" s="3" t="str">
        <f>HYPERLINK("http://www.ncbi.nlm.nih.gov/protein/7657413","Tenm1")</f>
        <v>Tenm1</v>
      </c>
      <c r="E7470" t="str">
        <f>HYPERLINK("J:\Depot - mpkCCD Fractions\Main Web Page\Web Pages_old\proteomic_fractions_linear_files/Yang_linear_img/7657413.jpg","show blot")</f>
        <v>show blot</v>
      </c>
      <c r="G7470" t="s">
        <v>7233</v>
      </c>
      <c r="I7470" s="6">
        <v>1.9971664428949061</v>
      </c>
      <c r="K7470" s="8"/>
    </row>
    <row r="7471" spans="1:11" ht="15" x14ac:dyDescent="0.25">
      <c r="A7471" s="3" t="str">
        <f>HYPERLINK("proteomic_fractions_linear_files/Yang_linear_img/6678285.jpg", "6678285")</f>
        <v>6678285</v>
      </c>
      <c r="C7471" s="3" t="str">
        <f>HYPERLINK("http://www.ncbi.nlm.nih.gov/protein/6678285","Tep1")</f>
        <v>Tep1</v>
      </c>
      <c r="E7471" t="str">
        <f>HYPERLINK("J:\Depot - mpkCCD Fractions\Main Web Page\Web Pages_old\proteomic_fractions_linear_files/Yang_linear_img/6678285.jpg","show blot")</f>
        <v>show blot</v>
      </c>
      <c r="G7471" t="s">
        <v>7234</v>
      </c>
      <c r="I7471" s="6">
        <v>1.6074807936322033</v>
      </c>
      <c r="K7471" s="8"/>
    </row>
    <row r="7472" spans="1:11" ht="15" x14ac:dyDescent="0.25">
      <c r="A7472" s="3" t="str">
        <f>HYPERLINK("proteomic_fractions_linear_files/Yang_linear_img/133904140.jpg", "133904140")</f>
        <v>133904140</v>
      </c>
      <c r="C7472" s="3" t="str">
        <f>HYPERLINK("http://www.ncbi.nlm.nih.gov/protein/133904140","Terf2")</f>
        <v>Terf2</v>
      </c>
      <c r="E7472" t="str">
        <f>HYPERLINK("J:\Depot - mpkCCD Fractions\Main Web Page\Web Pages_old\proteomic_fractions_linear_files/Yang_linear_img/133904140.jpg","show blot")</f>
        <v>show blot</v>
      </c>
      <c r="G7472" t="s">
        <v>7235</v>
      </c>
      <c r="I7472" s="6">
        <v>3.1150901625713514</v>
      </c>
      <c r="K7472" s="8"/>
    </row>
    <row r="7473" spans="1:11" ht="15" x14ac:dyDescent="0.25">
      <c r="A7473" s="3" t="str">
        <f>HYPERLINK("proteomic_fractions_linear_files/Yang_linear_img/133904142.jpg", "133904142")</f>
        <v>133904142</v>
      </c>
      <c r="C7473" s="3" t="str">
        <f>HYPERLINK("http://www.ncbi.nlm.nih.gov/protein/133904142","Terf2")</f>
        <v>Terf2</v>
      </c>
      <c r="E7473" t="str">
        <f>HYPERLINK("J:\Depot - mpkCCD Fractions\Main Web Page\Web Pages_old\proteomic_fractions_linear_files/Yang_linear_img/133904142.jpg","show blot")</f>
        <v>show blot</v>
      </c>
      <c r="G7473" t="s">
        <v>7236</v>
      </c>
      <c r="I7473" s="6">
        <v>3.1150901625713514</v>
      </c>
      <c r="K7473" s="8"/>
    </row>
    <row r="7474" spans="1:11" ht="15" x14ac:dyDescent="0.25">
      <c r="A7474" s="3" t="str">
        <f>HYPERLINK("proteomic_fractions_linear_files/Yang_linear_img/6678291.jpg", "6678291")</f>
        <v>6678291</v>
      </c>
      <c r="C7474" s="3" t="str">
        <f>HYPERLINK("http://www.ncbi.nlm.nih.gov/protein/6678291","Tert")</f>
        <v>Tert</v>
      </c>
      <c r="E7474" t="str">
        <f>HYPERLINK("J:\Depot - mpkCCD Fractions\Main Web Page\Web Pages_old\proteomic_fractions_linear_files/Yang_linear_img/6678291.jpg","show blot")</f>
        <v>show blot</v>
      </c>
      <c r="G7474" t="s">
        <v>7237</v>
      </c>
      <c r="I7474" s="6">
        <v>3.6647346161641203</v>
      </c>
      <c r="K7474" s="8"/>
    </row>
    <row r="7475" spans="1:11" ht="15" x14ac:dyDescent="0.25">
      <c r="A7475" s="3" t="str">
        <f>HYPERLINK("proteomic_fractions_linear_files/Yang_linear_img/46395466.jpg", "46395466")</f>
        <v>46395466</v>
      </c>
      <c r="C7475" s="3" t="str">
        <f>HYPERLINK("http://www.ncbi.nlm.nih.gov/protein/46395466","Tes")</f>
        <v>Tes</v>
      </c>
      <c r="E7475" t="str">
        <f>HYPERLINK("J:\Depot - mpkCCD Fractions\Main Web Page\Web Pages_old\proteomic_fractions_linear_files/Yang_linear_img/46395466.jpg","show blot")</f>
        <v>show blot</v>
      </c>
      <c r="G7475" t="s">
        <v>7238</v>
      </c>
      <c r="I7475" s="6">
        <v>5.365787621168816</v>
      </c>
      <c r="K7475" s="8"/>
    </row>
    <row r="7476" spans="1:11" ht="15" x14ac:dyDescent="0.25">
      <c r="A7476" s="3" t="str">
        <f>HYPERLINK("proteomic_fractions_linear_files/Yang_linear_img/124249335.jpg", "124249335")</f>
        <v>124249335</v>
      </c>
      <c r="C7476" s="3" t="str">
        <f>HYPERLINK("http://www.ncbi.nlm.nih.gov/protein/124249335","Tex10")</f>
        <v>Tex10</v>
      </c>
      <c r="E7476" t="str">
        <f>HYPERLINK("J:\Depot - mpkCCD Fractions\Main Web Page\Web Pages_old\proteomic_fractions_linear_files/Yang_linear_img/124249335.jpg","show blot")</f>
        <v>show blot</v>
      </c>
      <c r="G7476" t="s">
        <v>7239</v>
      </c>
      <c r="I7476" s="6">
        <v>3.6578856806909137</v>
      </c>
      <c r="K7476" s="8"/>
    </row>
    <row r="7477" spans="1:11" ht="15" x14ac:dyDescent="0.25">
      <c r="A7477" s="3" t="str">
        <f>HYPERLINK("proteomic_fractions_linear_files/Yang_linear_img/125347370.jpg", "125347370")</f>
        <v>125347370</v>
      </c>
      <c r="C7477" s="3" t="str">
        <f>HYPERLINK("http://www.ncbi.nlm.nih.gov/protein/125347370","Tex13a")</f>
        <v>Tex13a</v>
      </c>
      <c r="E7477" t="str">
        <f>HYPERLINK("J:\Depot - mpkCCD Fractions\Main Web Page\Web Pages_old\proteomic_fractions_linear_files/Yang_linear_img/125347370.jpg","show blot")</f>
        <v>show blot</v>
      </c>
      <c r="G7477" t="s">
        <v>7240</v>
      </c>
      <c r="I7477" s="6">
        <v>2.8825245379548807</v>
      </c>
      <c r="K7477" s="8"/>
    </row>
    <row r="7478" spans="1:11" ht="15" x14ac:dyDescent="0.25">
      <c r="A7478" s="3" t="str">
        <f>HYPERLINK("proteomic_fractions_linear_files/Yang_linear_img/126090850.jpg", "126090850")</f>
        <v>126090850</v>
      </c>
      <c r="C7478" s="3" t="str">
        <f>HYPERLINK("http://www.ncbi.nlm.nih.gov/protein/126090850","Tex264")</f>
        <v>Tex264</v>
      </c>
      <c r="E7478" t="str">
        <f>HYPERLINK("J:\Depot - mpkCCD Fractions\Main Web Page\Web Pages_old\proteomic_fractions_linear_files/Yang_linear_img/126090850.jpg","show blot")</f>
        <v>show blot</v>
      </c>
      <c r="G7478" t="s">
        <v>7241</v>
      </c>
      <c r="I7478" s="6">
        <v>2.4224505536149121</v>
      </c>
      <c r="K7478" s="8"/>
    </row>
    <row r="7479" spans="1:11" ht="15" x14ac:dyDescent="0.25">
      <c r="A7479" s="3" t="str">
        <f>HYPERLINK("proteomic_fractions_linear_files/Yang_linear_img/198278417.jpg", "198278417")</f>
        <v>198278417</v>
      </c>
      <c r="C7479" s="3" t="str">
        <f>HYPERLINK("http://www.ncbi.nlm.nih.gov/protein/198278417","Tex30")</f>
        <v>Tex30</v>
      </c>
      <c r="E7479" t="str">
        <f>HYPERLINK("J:\Depot - mpkCCD Fractions\Main Web Page\Web Pages_old\proteomic_fractions_linear_files/Yang_linear_img/198278417.jpg","show blot")</f>
        <v>show blot</v>
      </c>
      <c r="G7479" t="s">
        <v>7242</v>
      </c>
      <c r="I7479" s="6">
        <v>3.861979378024972</v>
      </c>
      <c r="K7479" s="8"/>
    </row>
    <row r="7480" spans="1:11" ht="15" x14ac:dyDescent="0.25">
      <c r="A7480" s="3" t="str">
        <f>HYPERLINK("proteomic_fractions_linear_files/Yang_linear_img/6678303.jpg", "6678303")</f>
        <v>6678303</v>
      </c>
      <c r="C7480" s="3" t="str">
        <f>HYPERLINK("http://www.ncbi.nlm.nih.gov/protein/6678303","Tfam")</f>
        <v>Tfam</v>
      </c>
      <c r="E7480" t="str">
        <f>HYPERLINK("J:\Depot - mpkCCD Fractions\Main Web Page\Web Pages_old\proteomic_fractions_linear_files/Yang_linear_img/6678303.jpg","show blot")</f>
        <v>show blot</v>
      </c>
      <c r="G7480" t="s">
        <v>7243</v>
      </c>
      <c r="I7480" s="6">
        <v>4.7150447167122218</v>
      </c>
      <c r="K7480" s="8"/>
    </row>
    <row r="7481" spans="1:11" ht="15" x14ac:dyDescent="0.25">
      <c r="A7481" s="3" t="str">
        <f>HYPERLINK("proteomic_fractions_linear_files/Yang_linear_img/22122569.jpg", "22122569")</f>
        <v>22122569</v>
      </c>
      <c r="C7481" s="3" t="str">
        <f>HYPERLINK("http://www.ncbi.nlm.nih.gov/protein/22122569","Tfb1m")</f>
        <v>Tfb1m</v>
      </c>
      <c r="E7481" t="str">
        <f>HYPERLINK("J:\Depot - mpkCCD Fractions\Main Web Page\Web Pages_old\proteomic_fractions_linear_files/Yang_linear_img/22122569.jpg","show blot")</f>
        <v>show blot</v>
      </c>
      <c r="G7481" t="s">
        <v>7244</v>
      </c>
      <c r="I7481" s="6">
        <v>3.0721892778243189</v>
      </c>
      <c r="K7481" s="8"/>
    </row>
    <row r="7482" spans="1:11" ht="15" x14ac:dyDescent="0.25">
      <c r="A7482" s="3" t="str">
        <f>HYPERLINK("proteomic_fractions_linear_files/Yang_linear_img/15628025.jpg", "15628025")</f>
        <v>15628025</v>
      </c>
      <c r="C7482" s="3" t="str">
        <f>HYPERLINK("http://www.ncbi.nlm.nih.gov/protein/15628025","Tfcp2")</f>
        <v>Tfcp2</v>
      </c>
      <c r="E7482" t="str">
        <f>HYPERLINK("J:\Depot - mpkCCD Fractions\Main Web Page\Web Pages_old\proteomic_fractions_linear_files/Yang_linear_img/15628025.jpg","show blot")</f>
        <v>show blot</v>
      </c>
      <c r="G7482" t="s">
        <v>7245</v>
      </c>
      <c r="I7482" s="6">
        <v>4.0346632045906654</v>
      </c>
      <c r="K7482" s="8"/>
    </row>
    <row r="7483" spans="1:11" ht="15" x14ac:dyDescent="0.25">
      <c r="A7483" s="3" t="str">
        <f>HYPERLINK("proteomic_fractions_linear_files/Yang_linear_img/239835744.jpg", "239835744")</f>
        <v>239835744</v>
      </c>
      <c r="C7483" s="3" t="str">
        <f>HYPERLINK("http://www.ncbi.nlm.nih.gov/protein/239835744","Tfeb")</f>
        <v>Tfeb</v>
      </c>
      <c r="E7483" t="str">
        <f>HYPERLINK("J:\Depot - mpkCCD Fractions\Main Web Page\Web Pages_old\proteomic_fractions_linear_files/Yang_linear_img/239835744.jpg","show blot")</f>
        <v>show blot</v>
      </c>
      <c r="G7483" t="s">
        <v>7246</v>
      </c>
      <c r="I7483" s="6">
        <v>3.697063592151181</v>
      </c>
      <c r="K7483" s="8"/>
    </row>
    <row r="7484" spans="1:11" ht="15" x14ac:dyDescent="0.25">
      <c r="A7484" s="3" t="str">
        <f>HYPERLINK("proteomic_fractions_linear_files/Yang_linear_img/239835746.jpg", "239835746")</f>
        <v>239835746</v>
      </c>
      <c r="C7484" s="3" t="str">
        <f>HYPERLINK("http://www.ncbi.nlm.nih.gov/protein/239835746","Tfeb")</f>
        <v>Tfeb</v>
      </c>
      <c r="E7484" t="str">
        <f>HYPERLINK("J:\Depot - mpkCCD Fractions\Main Web Page\Web Pages_old\proteomic_fractions_linear_files/Yang_linear_img/239835746.jpg","show blot")</f>
        <v>show blot</v>
      </c>
      <c r="G7484" t="s">
        <v>7247</v>
      </c>
      <c r="I7484" s="6">
        <v>3.697063592151181</v>
      </c>
      <c r="K7484" s="8"/>
    </row>
    <row r="7485" spans="1:11" ht="15" x14ac:dyDescent="0.25">
      <c r="A7485" s="3" t="str">
        <f>HYPERLINK("proteomic_fractions_linear_files/Yang_linear_img/356995942.jpg", "356995942")</f>
        <v>356995942</v>
      </c>
      <c r="C7485" s="3" t="str">
        <f>HYPERLINK("http://www.ncbi.nlm.nih.gov/protein/356995942","Tfg")</f>
        <v>Tfg</v>
      </c>
      <c r="E7485" t="str">
        <f>HYPERLINK("J:\Depot - mpkCCD Fractions\Main Web Page\Web Pages_old\proteomic_fractions_linear_files/Yang_linear_img/356995942.jpg","show blot")</f>
        <v>show blot</v>
      </c>
      <c r="G7485" t="s">
        <v>7248</v>
      </c>
      <c r="I7485" s="6">
        <v>5.5587354403748259</v>
      </c>
      <c r="K7485" s="8"/>
    </row>
    <row r="7486" spans="1:11" ht="15" x14ac:dyDescent="0.25">
      <c r="A7486" s="3" t="str">
        <f>HYPERLINK("proteomic_fractions_linear_files/Yang_linear_img/9790261.jpg", "9790261")</f>
        <v>9790261</v>
      </c>
      <c r="C7486" s="3" t="str">
        <f>HYPERLINK("http://www.ncbi.nlm.nih.gov/protein/9790261","Tfg")</f>
        <v>Tfg</v>
      </c>
      <c r="E7486" t="str">
        <f>HYPERLINK("J:\Depot - mpkCCD Fractions\Main Web Page\Web Pages_old\proteomic_fractions_linear_files/Yang_linear_img/9790261.jpg","show blot")</f>
        <v>show blot</v>
      </c>
      <c r="G7486" t="s">
        <v>7249</v>
      </c>
      <c r="I7486" s="6">
        <v>5.5587354403748259</v>
      </c>
      <c r="K7486" s="8"/>
    </row>
    <row r="7487" spans="1:11" ht="15" x14ac:dyDescent="0.25">
      <c r="A7487" s="3" t="str">
        <f>HYPERLINK("proteomic_fractions_linear_files/Yang_linear_img/10190660.jpg", "10190660")</f>
        <v>10190660</v>
      </c>
      <c r="C7487" s="3" t="str">
        <f>HYPERLINK("http://www.ncbi.nlm.nih.gov/protein/10190660","Tfip11")</f>
        <v>Tfip11</v>
      </c>
      <c r="E7487" t="str">
        <f>HYPERLINK("J:\Depot - mpkCCD Fractions\Main Web Page\Web Pages_old\proteomic_fractions_linear_files/Yang_linear_img/10190660.jpg","show blot")</f>
        <v>show blot</v>
      </c>
      <c r="G7487" t="s">
        <v>7250</v>
      </c>
      <c r="I7487" s="6">
        <v>3.4683337519918651</v>
      </c>
      <c r="K7487" s="8"/>
    </row>
    <row r="7488" spans="1:11" ht="15" x14ac:dyDescent="0.25">
      <c r="A7488" s="3" t="str">
        <f>HYPERLINK("proteomic_fractions_linear_files/Yang_linear_img/11596855.jpg", "11596855")</f>
        <v>11596855</v>
      </c>
      <c r="C7488" s="3" t="str">
        <f>HYPERLINK("http://www.ncbi.nlm.nih.gov/protein/11596855","Tfrc")</f>
        <v>Tfrc</v>
      </c>
      <c r="E7488" t="str">
        <f>HYPERLINK("J:\Depot - mpkCCD Fractions\Main Web Page\Web Pages_old\proteomic_fractions_linear_files/Yang_linear_img/11596855.jpg","show blot")</f>
        <v>show blot</v>
      </c>
      <c r="G7488" t="s">
        <v>7251</v>
      </c>
      <c r="I7488" s="6">
        <v>5.0691414992555615</v>
      </c>
      <c r="K7488" s="8"/>
    </row>
    <row r="7489" spans="1:11" ht="15" x14ac:dyDescent="0.25">
      <c r="A7489" s="3" t="str">
        <f>HYPERLINK("proteomic_fractions_linear_files/Yang_linear_img/6678329.jpg", "6678329")</f>
        <v>6678329</v>
      </c>
      <c r="C7489" s="3" t="str">
        <f>HYPERLINK("http://www.ncbi.nlm.nih.gov/protein/6678329","Tgm2")</f>
        <v>Tgm2</v>
      </c>
      <c r="E7489" t="str">
        <f>HYPERLINK("J:\Depot - mpkCCD Fractions\Main Web Page\Web Pages_old\proteomic_fractions_linear_files/Yang_linear_img/6678329.jpg","show blot")</f>
        <v>show blot</v>
      </c>
      <c r="G7489" t="s">
        <v>7252</v>
      </c>
      <c r="I7489" s="6">
        <v>5.1340673279889755</v>
      </c>
      <c r="K7489" s="8"/>
    </row>
    <row r="7490" spans="1:11" ht="15" x14ac:dyDescent="0.25">
      <c r="A7490" s="3" t="str">
        <f>HYPERLINK("proteomic_fractions_linear_files/Yang_linear_img/227496324.jpg", "227496324")</f>
        <v>227496324</v>
      </c>
      <c r="C7490" s="3" t="str">
        <f>HYPERLINK("http://www.ncbi.nlm.nih.gov/protein/227496324","Tgs1")</f>
        <v>Tgs1</v>
      </c>
      <c r="E7490" t="str">
        <f>HYPERLINK("J:\Depot - mpkCCD Fractions\Main Web Page\Web Pages_old\proteomic_fractions_linear_files/Yang_linear_img/227496324.jpg","show blot")</f>
        <v>show blot</v>
      </c>
      <c r="G7490" t="s">
        <v>7253</v>
      </c>
      <c r="I7490" s="6">
        <v>2.6114973154332906</v>
      </c>
      <c r="K7490" s="8"/>
    </row>
    <row r="7491" spans="1:11" ht="15" x14ac:dyDescent="0.25">
      <c r="A7491" s="3" t="str">
        <f>HYPERLINK("proteomic_fractions_linear_files/Yang_linear_img/241982820.jpg", "241982820")</f>
        <v>241982820</v>
      </c>
      <c r="C7491" s="3" t="str">
        <f>HYPERLINK("http://www.ncbi.nlm.nih.gov/protein/241982820","Thada")</f>
        <v>Thada</v>
      </c>
      <c r="E7491" t="str">
        <f>HYPERLINK("J:\Depot - mpkCCD Fractions\Main Web Page\Web Pages_old\proteomic_fractions_linear_files/Yang_linear_img/241982820.jpg","show blot")</f>
        <v>show blot</v>
      </c>
      <c r="G7491" t="s">
        <v>7254</v>
      </c>
      <c r="I7491" s="6">
        <v>3.3153200482957765</v>
      </c>
      <c r="K7491" s="8"/>
    </row>
    <row r="7492" spans="1:11" ht="15" x14ac:dyDescent="0.25">
      <c r="A7492" s="3" t="str">
        <f>HYPERLINK("proteomic_fractions_linear_files/Yang_linear_img/47059073.jpg", "47059073")</f>
        <v>47059073</v>
      </c>
      <c r="C7492" s="3" t="str">
        <f>HYPERLINK("http://www.ncbi.nlm.nih.gov/protein/47059073","Thbs1")</f>
        <v>Thbs1</v>
      </c>
      <c r="E7492" t="str">
        <f>HYPERLINK("J:\Depot - mpkCCD Fractions\Main Web Page\Web Pages_old\proteomic_fractions_linear_files/Yang_linear_img/47059073.jpg","show blot")</f>
        <v>show blot</v>
      </c>
      <c r="G7492" t="s">
        <v>7255</v>
      </c>
      <c r="I7492" s="6">
        <v>3.6929326980830894</v>
      </c>
      <c r="K7492" s="8"/>
    </row>
    <row r="7493" spans="1:11" ht="15" x14ac:dyDescent="0.25">
      <c r="A7493" s="3" t="str">
        <f>HYPERLINK("proteomic_fractions_linear_files/Yang_linear_img/29243946.jpg", "29243946")</f>
        <v>29243946</v>
      </c>
      <c r="C7493" s="3" t="str">
        <f>HYPERLINK("http://www.ncbi.nlm.nih.gov/protein/29243946","Thnsl1")</f>
        <v>Thnsl1</v>
      </c>
      <c r="E7493" t="str">
        <f>HYPERLINK("J:\Depot - mpkCCD Fractions\Main Web Page\Web Pages_old\proteomic_fractions_linear_files/Yang_linear_img/29243946.jpg","show blot")</f>
        <v>show blot</v>
      </c>
      <c r="G7493" t="s">
        <v>7256</v>
      </c>
      <c r="I7493" s="6">
        <v>3.2515975866912563</v>
      </c>
      <c r="K7493" s="8"/>
    </row>
    <row r="7494" spans="1:11" ht="15" x14ac:dyDescent="0.25">
      <c r="A7494" s="3" t="str">
        <f>HYPERLINK("proteomic_fractions_linear_files/Yang_linear_img/47604972.jpg", "47604972")</f>
        <v>47604972</v>
      </c>
      <c r="C7494" s="3" t="str">
        <f>HYPERLINK("http://www.ncbi.nlm.nih.gov/protein/47604972","Thnsl1")</f>
        <v>Thnsl1</v>
      </c>
      <c r="E7494" t="str">
        <f>HYPERLINK("J:\Depot - mpkCCD Fractions\Main Web Page\Web Pages_old\proteomic_fractions_linear_files/Yang_linear_img/47604972.jpg","show blot")</f>
        <v>show blot</v>
      </c>
      <c r="G7494" t="s">
        <v>7257</v>
      </c>
      <c r="I7494" s="6">
        <v>3.2515975866912563</v>
      </c>
      <c r="K7494" s="8"/>
    </row>
    <row r="7495" spans="1:11" ht="15" x14ac:dyDescent="0.25">
      <c r="A7495" s="3" t="str">
        <f>HYPERLINK("proteomic_fractions_linear_files/Yang_linear_img/23956332.jpg", "23956332")</f>
        <v>23956332</v>
      </c>
      <c r="C7495" s="3" t="str">
        <f>HYPERLINK("http://www.ncbi.nlm.nih.gov/protein/23956332","Thoc1")</f>
        <v>Thoc1</v>
      </c>
      <c r="E7495" t="str">
        <f>HYPERLINK("J:\Depot - mpkCCD Fractions\Main Web Page\Web Pages_old\proteomic_fractions_linear_files/Yang_linear_img/23956332.jpg","show blot")</f>
        <v>show blot</v>
      </c>
      <c r="G7495" t="s">
        <v>7258</v>
      </c>
      <c r="I7495" s="6">
        <v>2.9556877503135057</v>
      </c>
      <c r="K7495" s="8"/>
    </row>
    <row r="7496" spans="1:11" ht="15" x14ac:dyDescent="0.25">
      <c r="A7496" s="3" t="str">
        <f>HYPERLINK("proteomic_fractions_linear_files/Yang_linear_img/125656163.jpg", "125656163")</f>
        <v>125656163</v>
      </c>
      <c r="C7496" s="3" t="str">
        <f>HYPERLINK("http://www.ncbi.nlm.nih.gov/protein/125656163","Thoc2")</f>
        <v>Thoc2</v>
      </c>
      <c r="E7496" t="str">
        <f>HYPERLINK("J:\Depot - mpkCCD Fractions\Main Web Page\Web Pages_old\proteomic_fractions_linear_files/Yang_linear_img/125656163.jpg","show blot")</f>
        <v>show blot</v>
      </c>
      <c r="G7496" t="s">
        <v>7259</v>
      </c>
      <c r="I7496" s="6">
        <v>3.7328621030826103</v>
      </c>
      <c r="K7496" s="8"/>
    </row>
    <row r="7497" spans="1:11" ht="15" x14ac:dyDescent="0.25">
      <c r="A7497" s="3" t="str">
        <f>HYPERLINK("proteomic_fractions_linear_files/Yang_linear_img/254553424.jpg", "254553424")</f>
        <v>254553424</v>
      </c>
      <c r="C7497" s="3" t="str">
        <f>HYPERLINK("http://www.ncbi.nlm.nih.gov/protein/254553424","Thoc3")</f>
        <v>Thoc3</v>
      </c>
      <c r="E7497" t="str">
        <f>HYPERLINK("J:\Depot - mpkCCD Fractions\Main Web Page\Web Pages_old\proteomic_fractions_linear_files/Yang_linear_img/254553424.jpg","show blot")</f>
        <v>show blot</v>
      </c>
      <c r="G7497" t="s">
        <v>7260</v>
      </c>
      <c r="I7497" s="6">
        <v>3.5171217069523362</v>
      </c>
      <c r="K7497" s="8"/>
    </row>
    <row r="7498" spans="1:11" ht="15" x14ac:dyDescent="0.25">
      <c r="A7498" s="3" t="str">
        <f>HYPERLINK("proteomic_fractions_linear_files/Yang_linear_img/56605680.jpg", "56605680")</f>
        <v>56605680</v>
      </c>
      <c r="C7498" s="3" t="str">
        <f>HYPERLINK("http://www.ncbi.nlm.nih.gov/protein/56605680","Thoc6")</f>
        <v>Thoc6</v>
      </c>
      <c r="E7498" t="str">
        <f>HYPERLINK("J:\Depot - mpkCCD Fractions\Main Web Page\Web Pages_old\proteomic_fractions_linear_files/Yang_linear_img/56605680.jpg","show blot")</f>
        <v>show blot</v>
      </c>
      <c r="G7498" t="s">
        <v>7261</v>
      </c>
      <c r="I7498" s="6">
        <v>4.0219222809279875</v>
      </c>
      <c r="K7498" s="8"/>
    </row>
    <row r="7499" spans="1:11" ht="15" x14ac:dyDescent="0.25">
      <c r="A7499" s="3" t="str">
        <f>HYPERLINK("proteomic_fractions_linear_files/Yang_linear_img/239916005.jpg", "239916005")</f>
        <v>239916005</v>
      </c>
      <c r="C7499" s="3" t="str">
        <f>HYPERLINK("http://www.ncbi.nlm.nih.gov/protein/239916005","Thop1")</f>
        <v>Thop1</v>
      </c>
      <c r="E7499" t="str">
        <f>HYPERLINK("J:\Depot - mpkCCD Fractions\Main Web Page\Web Pages_old\proteomic_fractions_linear_files/Yang_linear_img/239916005.jpg","show blot")</f>
        <v>show blot</v>
      </c>
      <c r="G7499" t="s">
        <v>7262</v>
      </c>
      <c r="I7499" s="6">
        <v>5.5801613124835008</v>
      </c>
      <c r="K7499" s="8"/>
    </row>
    <row r="7500" spans="1:11" ht="15" x14ac:dyDescent="0.25">
      <c r="A7500" s="3" t="str">
        <f>HYPERLINK("proteomic_fractions_linear_files/Yang_linear_img/68533246.jpg", "68533246")</f>
        <v>68533246</v>
      </c>
      <c r="C7500" s="3" t="str">
        <f>HYPERLINK("http://www.ncbi.nlm.nih.gov/protein/68533246","Thrap3")</f>
        <v>Thrap3</v>
      </c>
      <c r="E7500" t="str">
        <f>HYPERLINK("J:\Depot - mpkCCD Fractions\Main Web Page\Web Pages_old\proteomic_fractions_linear_files/Yang_linear_img/68533246.jpg","show blot")</f>
        <v>show blot</v>
      </c>
      <c r="G7500" t="s">
        <v>7263</v>
      </c>
      <c r="I7500" s="6">
        <v>4.788490579942251</v>
      </c>
      <c r="K7500" s="8"/>
    </row>
    <row r="7501" spans="1:11" ht="15" x14ac:dyDescent="0.25">
      <c r="A7501" s="3" t="str">
        <f>HYPERLINK("proteomic_fractions_linear_files/Yang_linear_img/23346499.jpg", "23346499")</f>
        <v>23346499</v>
      </c>
      <c r="C7501" s="3" t="str">
        <f>HYPERLINK("http://www.ncbi.nlm.nih.gov/protein/23346499","Thtpa")</f>
        <v>Thtpa</v>
      </c>
      <c r="E7501" t="str">
        <f>HYPERLINK("J:\Depot - mpkCCD Fractions\Main Web Page\Web Pages_old\proteomic_fractions_linear_files/Yang_linear_img/23346499.jpg","show blot")</f>
        <v>show blot</v>
      </c>
      <c r="G7501" t="s">
        <v>7264</v>
      </c>
      <c r="I7501" s="6">
        <v>5.1330470182795809</v>
      </c>
      <c r="K7501" s="8"/>
    </row>
    <row r="7502" spans="1:11" ht="15" x14ac:dyDescent="0.25">
      <c r="A7502" s="3" t="str">
        <f>HYPERLINK("proteomic_fractions_linear_files/Yang_linear_img/21704176.jpg", "21704176")</f>
        <v>21704176</v>
      </c>
      <c r="C7502" s="3" t="str">
        <f>HYPERLINK("http://www.ncbi.nlm.nih.gov/protein/21704176","Thumpd1")</f>
        <v>Thumpd1</v>
      </c>
      <c r="E7502" t="str">
        <f>HYPERLINK("J:\Depot - mpkCCD Fractions\Main Web Page\Web Pages_old\proteomic_fractions_linear_files/Yang_linear_img/21704176.jpg","show blot")</f>
        <v>show blot</v>
      </c>
      <c r="G7502" t="s">
        <v>7265</v>
      </c>
      <c r="I7502" s="6">
        <v>5.246978047689896</v>
      </c>
      <c r="K7502" s="8"/>
    </row>
    <row r="7503" spans="1:11" ht="15" x14ac:dyDescent="0.25">
      <c r="A7503" s="3" t="str">
        <f>HYPERLINK("proteomic_fractions_linear_files/Yang_linear_img/6680129.jpg", "6680129")</f>
        <v>6680129</v>
      </c>
      <c r="C7503" s="3" t="str">
        <f>HYPERLINK("http://www.ncbi.nlm.nih.gov/protein/6680129","Thumpd3")</f>
        <v>Thumpd3</v>
      </c>
      <c r="E7503" t="str">
        <f>HYPERLINK("J:\Depot - mpkCCD Fractions\Main Web Page\Web Pages_old\proteomic_fractions_linear_files/Yang_linear_img/6680129.jpg","show blot")</f>
        <v>show blot</v>
      </c>
      <c r="G7503" t="s">
        <v>7266</v>
      </c>
      <c r="I7503" s="6">
        <v>4.6872820379756472</v>
      </c>
      <c r="K7503" s="8"/>
    </row>
    <row r="7504" spans="1:11" ht="15" x14ac:dyDescent="0.25">
      <c r="A7504" s="3" t="str">
        <f>HYPERLINK("proteomic_fractions_linear_files/Yang_linear_img/21362343.jpg", "21362343")</f>
        <v>21362343</v>
      </c>
      <c r="C7504" s="3" t="str">
        <f>HYPERLINK("http://www.ncbi.nlm.nih.gov/protein/21362343","Thyn1")</f>
        <v>Thyn1</v>
      </c>
      <c r="E7504" t="str">
        <f>HYPERLINK("J:\Depot - mpkCCD Fractions\Main Web Page\Web Pages_old\proteomic_fractions_linear_files/Yang_linear_img/21362343.jpg","show blot")</f>
        <v>show blot</v>
      </c>
      <c r="G7504" t="s">
        <v>7267</v>
      </c>
      <c r="I7504" s="6">
        <v>3.9491723262549123</v>
      </c>
      <c r="K7504" s="8"/>
    </row>
    <row r="7505" spans="1:11" ht="15" x14ac:dyDescent="0.25">
      <c r="A7505" s="3" t="str">
        <f>HYPERLINK("proteomic_fractions_linear_files/Yang_linear_img/255760009.jpg", "255760009")</f>
        <v>255760009</v>
      </c>
      <c r="C7505" s="3" t="str">
        <f>HYPERLINK("http://www.ncbi.nlm.nih.gov/protein/255760009","Tia1")</f>
        <v>Tia1</v>
      </c>
      <c r="E7505" t="str">
        <f>HYPERLINK("J:\Depot - mpkCCD Fractions\Main Web Page\Web Pages_old\proteomic_fractions_linear_files/Yang_linear_img/255760009.jpg","show blot")</f>
        <v>show blot</v>
      </c>
      <c r="G7505" t="s">
        <v>7268</v>
      </c>
      <c r="I7505" s="6">
        <v>4.7735057865449759</v>
      </c>
      <c r="K7505" s="8"/>
    </row>
    <row r="7506" spans="1:11" ht="15" x14ac:dyDescent="0.25">
      <c r="A7506" s="3" t="str">
        <f>HYPERLINK("proteomic_fractions_linear_files/Yang_linear_img/255760011.jpg", "255760011")</f>
        <v>255760011</v>
      </c>
      <c r="C7506" s="3" t="str">
        <f>HYPERLINK("http://www.ncbi.nlm.nih.gov/protein/255760011","Tia1")</f>
        <v>Tia1</v>
      </c>
      <c r="E7506" t="str">
        <f>HYPERLINK("J:\Depot - mpkCCD Fractions\Main Web Page\Web Pages_old\proteomic_fractions_linear_files/Yang_linear_img/255760011.jpg","show blot")</f>
        <v>show blot</v>
      </c>
      <c r="G7506" t="s">
        <v>7269</v>
      </c>
      <c r="I7506" s="6">
        <v>4.7735057865449759</v>
      </c>
      <c r="K7506" s="8"/>
    </row>
    <row r="7507" spans="1:11" ht="15" x14ac:dyDescent="0.25">
      <c r="A7507" s="3" t="str">
        <f>HYPERLINK("proteomic_fractions_linear_files/Yang_linear_img/6755783.jpg", "6755783")</f>
        <v>6755783</v>
      </c>
      <c r="C7507" s="3" t="str">
        <f>HYPERLINK("http://www.ncbi.nlm.nih.gov/protein/6755783","Tia1")</f>
        <v>Tia1</v>
      </c>
      <c r="E7507" t="str">
        <f>HYPERLINK("J:\Depot - mpkCCD Fractions\Main Web Page\Web Pages_old\proteomic_fractions_linear_files/Yang_linear_img/6755783.jpg","show blot")</f>
        <v>show blot</v>
      </c>
      <c r="G7507" t="s">
        <v>7270</v>
      </c>
      <c r="I7507" s="6">
        <v>4.7735057865449759</v>
      </c>
      <c r="K7507" s="8"/>
    </row>
    <row r="7508" spans="1:11" ht="15" x14ac:dyDescent="0.25">
      <c r="A7508" s="3" t="str">
        <f>HYPERLINK("proteomic_fractions_linear_files/Yang_linear_img/6678349.jpg", "6678349")</f>
        <v>6678349</v>
      </c>
      <c r="C7508" s="3" t="str">
        <f>HYPERLINK("http://www.ncbi.nlm.nih.gov/protein/6678349","Tial1")</f>
        <v>Tial1</v>
      </c>
      <c r="E7508" t="str">
        <f>HYPERLINK("J:\Depot - mpkCCD Fractions\Main Web Page\Web Pages_old\proteomic_fractions_linear_files/Yang_linear_img/6678349.jpg","show blot")</f>
        <v>show blot</v>
      </c>
      <c r="G7508" t="s">
        <v>7271</v>
      </c>
      <c r="I7508" s="6">
        <v>4.8606812505176844</v>
      </c>
      <c r="K7508" s="8"/>
    </row>
    <row r="7509" spans="1:11" ht="15" x14ac:dyDescent="0.25">
      <c r="A7509" s="3" t="str">
        <f>HYPERLINK("proteomic_fractions_linear_files/Yang_linear_img/21553067.jpg", "21553067")</f>
        <v>21553067</v>
      </c>
      <c r="C7509" s="3" t="str">
        <f>HYPERLINK("http://www.ncbi.nlm.nih.gov/protein/21553067","Tifa")</f>
        <v>Tifa</v>
      </c>
      <c r="E7509" t="str">
        <f>HYPERLINK("J:\Depot - mpkCCD Fractions\Main Web Page\Web Pages_old\proteomic_fractions_linear_files/Yang_linear_img/21553067.jpg","show blot")</f>
        <v>show blot</v>
      </c>
      <c r="G7509" t="s">
        <v>7272</v>
      </c>
      <c r="I7509" s="6">
        <v>3.0621699350205351</v>
      </c>
      <c r="K7509" s="8"/>
    </row>
    <row r="7510" spans="1:11" ht="15" x14ac:dyDescent="0.25">
      <c r="A7510" s="3" t="str">
        <f>HYPERLINK("proteomic_fractions_linear_files/Yang_linear_img/209862977.jpg", "209862977")</f>
        <v>209862977</v>
      </c>
      <c r="C7510" s="3" t="str">
        <f>HYPERLINK("http://www.ncbi.nlm.nih.gov/protein/209862977","Timeless")</f>
        <v>Timeless</v>
      </c>
      <c r="E7510" t="str">
        <f>HYPERLINK("J:\Depot - mpkCCD Fractions\Main Web Page\Web Pages_old\proteomic_fractions_linear_files/Yang_linear_img/209862977.jpg","show blot")</f>
        <v>show blot</v>
      </c>
      <c r="G7510" t="s">
        <v>7273</v>
      </c>
      <c r="I7510" s="6">
        <v>4.9978869608362206</v>
      </c>
      <c r="K7510" s="8"/>
    </row>
    <row r="7511" spans="1:11" ht="15" x14ac:dyDescent="0.25">
      <c r="A7511" s="3" t="str">
        <f>HYPERLINK("proteomic_fractions_linear_files/Yang_linear_img/255760015.jpg", "255760015")</f>
        <v>255760015</v>
      </c>
      <c r="C7511" s="3" t="str">
        <f>HYPERLINK("http://www.ncbi.nlm.nih.gov/protein/255760015","Timeless")</f>
        <v>Timeless</v>
      </c>
      <c r="E7511" t="str">
        <f>HYPERLINK("J:\Depot - mpkCCD Fractions\Main Web Page\Web Pages_old\proteomic_fractions_linear_files/Yang_linear_img/255760015.jpg","show blot")</f>
        <v>show blot</v>
      </c>
      <c r="G7511" t="s">
        <v>7274</v>
      </c>
      <c r="I7511" s="6">
        <v>4.9978869608362206</v>
      </c>
      <c r="K7511" s="8"/>
    </row>
    <row r="7512" spans="1:11" ht="15" x14ac:dyDescent="0.25">
      <c r="A7512" s="3" t="str">
        <f>HYPERLINK("proteomic_fractions_linear_files/Yang_linear_img/6755789.jpg", "6755789")</f>
        <v>6755789</v>
      </c>
      <c r="C7512" s="3" t="str">
        <f>HYPERLINK("http://www.ncbi.nlm.nih.gov/protein/6755789","Timeless")</f>
        <v>Timeless</v>
      </c>
      <c r="E7512" t="str">
        <f>HYPERLINK("J:\Depot - mpkCCD Fractions\Main Web Page\Web Pages_old\proteomic_fractions_linear_files/Yang_linear_img/6755789.jpg","show blot")</f>
        <v>show blot</v>
      </c>
      <c r="G7512" t="s">
        <v>7275</v>
      </c>
      <c r="I7512" s="6">
        <v>4.9978869608362206</v>
      </c>
      <c r="K7512" s="8"/>
    </row>
    <row r="7513" spans="1:11" ht="15" x14ac:dyDescent="0.25">
      <c r="A7513" s="3" t="str">
        <f>HYPERLINK("proteomic_fractions_linear_files/Yang_linear_img/158937240.jpg", "158937240")</f>
        <v>158937240</v>
      </c>
      <c r="C7513" s="3" t="str">
        <f>HYPERLINK("http://www.ncbi.nlm.nih.gov/protein/158937240","Timm10")</f>
        <v>Timm10</v>
      </c>
      <c r="E7513" t="str">
        <f>HYPERLINK("J:\Depot - mpkCCD Fractions\Main Web Page\Web Pages_old\proteomic_fractions_linear_files/Yang_linear_img/158937240.jpg","show blot")</f>
        <v>show blot</v>
      </c>
      <c r="G7513" t="s">
        <v>7276</v>
      </c>
      <c r="I7513" s="6">
        <v>3.8396824600259061</v>
      </c>
      <c r="K7513" s="8"/>
    </row>
    <row r="7514" spans="1:11" ht="15" x14ac:dyDescent="0.25">
      <c r="A7514" s="3" t="str">
        <f>HYPERLINK("proteomic_fractions_linear_files/Yang_linear_img/9507187.jpg", "9507187")</f>
        <v>9507187</v>
      </c>
      <c r="C7514" s="3" t="str">
        <f>HYPERLINK("http://www.ncbi.nlm.nih.gov/protein/9507187","Timm10b")</f>
        <v>Timm10b</v>
      </c>
      <c r="E7514" t="str">
        <f>HYPERLINK("J:\Depot - mpkCCD Fractions\Main Web Page\Web Pages_old\proteomic_fractions_linear_files/Yang_linear_img/9507187.jpg","show blot")</f>
        <v>show blot</v>
      </c>
      <c r="G7514" t="s">
        <v>7277</v>
      </c>
      <c r="I7514" s="6">
        <v>4.2427419128339752</v>
      </c>
      <c r="K7514" s="8"/>
    </row>
    <row r="7515" spans="1:11" ht="15" x14ac:dyDescent="0.25">
      <c r="A7515" s="3" t="str">
        <f>HYPERLINK("proteomic_fractions_linear_files/Yang_linear_img/7305581.jpg", "7305581")</f>
        <v>7305581</v>
      </c>
      <c r="C7515" s="3" t="str">
        <f>HYPERLINK("http://www.ncbi.nlm.nih.gov/protein/7305581","Timm13")</f>
        <v>Timm13</v>
      </c>
      <c r="E7515" t="str">
        <f>HYPERLINK("J:\Depot - mpkCCD Fractions\Main Web Page\Web Pages_old\proteomic_fractions_linear_files/Yang_linear_img/7305581.jpg","show blot")</f>
        <v>show blot</v>
      </c>
      <c r="G7515" t="s">
        <v>7278</v>
      </c>
      <c r="I7515" s="6">
        <v>4.9627650601571851</v>
      </c>
      <c r="K7515" s="8"/>
    </row>
    <row r="7516" spans="1:11" ht="15" x14ac:dyDescent="0.25">
      <c r="A7516" s="3" t="str">
        <f>HYPERLINK("proteomic_fractions_linear_files/Yang_linear_img/33468937.jpg", "33468937")</f>
        <v>33468937</v>
      </c>
      <c r="C7516" s="3" t="str">
        <f>HYPERLINK("http://www.ncbi.nlm.nih.gov/protein/33468937","Timm17b")</f>
        <v>Timm17b</v>
      </c>
      <c r="E7516" t="str">
        <f>HYPERLINK("J:\Depot - mpkCCD Fractions\Main Web Page\Web Pages_old\proteomic_fractions_linear_files/Yang_linear_img/33468937.jpg","show blot")</f>
        <v>show blot</v>
      </c>
      <c r="G7516" t="s">
        <v>7279</v>
      </c>
      <c r="I7516" s="6">
        <v>4.2543817057777122</v>
      </c>
      <c r="K7516" s="8"/>
    </row>
    <row r="7517" spans="1:11" ht="15" x14ac:dyDescent="0.25">
      <c r="A7517" s="3" t="str">
        <f>HYPERLINK("proteomic_fractions_linear_files/Yang_linear_img/21313128.jpg", "21313128")</f>
        <v>21313128</v>
      </c>
      <c r="C7517" s="3" t="str">
        <f>HYPERLINK("http://www.ncbi.nlm.nih.gov/protein/21313128","Timm21")</f>
        <v>Timm21</v>
      </c>
      <c r="E7517" t="str">
        <f>HYPERLINK("J:\Depot - mpkCCD Fractions\Main Web Page\Web Pages_old\proteomic_fractions_linear_files/Yang_linear_img/21313128.jpg","show blot")</f>
        <v>show blot</v>
      </c>
      <c r="G7517" t="s">
        <v>7280</v>
      </c>
      <c r="I7517" s="6">
        <v>3.2632062148098959</v>
      </c>
      <c r="K7517" s="8"/>
    </row>
    <row r="7518" spans="1:11" ht="15" x14ac:dyDescent="0.25">
      <c r="A7518" s="3" t="str">
        <f>HYPERLINK("proteomic_fractions_linear_files/Yang_linear_img/296785067.jpg", "296785067")</f>
        <v>296785067</v>
      </c>
      <c r="C7518" s="3" t="str">
        <f>HYPERLINK("http://www.ncbi.nlm.nih.gov/protein/296785067","Timm22")</f>
        <v>Timm22</v>
      </c>
      <c r="E7518" t="str">
        <f>HYPERLINK("J:\Depot - mpkCCD Fractions\Main Web Page\Web Pages_old\proteomic_fractions_linear_files/Yang_linear_img/296785067.jpg","show blot")</f>
        <v>show blot</v>
      </c>
      <c r="G7518" t="s">
        <v>7281</v>
      </c>
      <c r="I7518" s="6">
        <v>3.8786433411085017</v>
      </c>
      <c r="K7518" s="8"/>
    </row>
    <row r="7519" spans="1:11" ht="15" x14ac:dyDescent="0.25">
      <c r="A7519" s="3" t="str">
        <f>HYPERLINK("proteomic_fractions_linear_files/Yang_linear_img/31543865.jpg", "31543865")</f>
        <v>31543865</v>
      </c>
      <c r="C7519" s="3" t="str">
        <f>HYPERLINK("http://www.ncbi.nlm.nih.gov/protein/31543865","Timm22")</f>
        <v>Timm22</v>
      </c>
      <c r="E7519" t="str">
        <f>HYPERLINK("J:\Depot - mpkCCD Fractions\Main Web Page\Web Pages_old\proteomic_fractions_linear_files/Yang_linear_img/31543865.jpg","show blot")</f>
        <v>show blot</v>
      </c>
      <c r="G7519" t="s">
        <v>7282</v>
      </c>
      <c r="I7519" s="6">
        <v>3.8786433411085017</v>
      </c>
      <c r="K7519" s="8"/>
    </row>
    <row r="7520" spans="1:11" ht="15" x14ac:dyDescent="0.25">
      <c r="A7520" s="3" t="str">
        <f>HYPERLINK("proteomic_fractions_linear_files/Yang_linear_img/254675168.jpg", "254675168")</f>
        <v>254675168</v>
      </c>
      <c r="C7520" s="3" t="str">
        <f>HYPERLINK("http://www.ncbi.nlm.nih.gov/protein/254675168","Timm23")</f>
        <v>Timm23</v>
      </c>
      <c r="E7520" t="str">
        <f>HYPERLINK("J:\Depot - mpkCCD Fractions\Main Web Page\Web Pages_old\proteomic_fractions_linear_files/Yang_linear_img/254675168.jpg","show blot")</f>
        <v>show blot</v>
      </c>
      <c r="G7520" t="s">
        <v>7283</v>
      </c>
      <c r="I7520" s="6">
        <v>4.5982967013574285</v>
      </c>
      <c r="K7520" s="8"/>
    </row>
    <row r="7521" spans="1:11" ht="15" x14ac:dyDescent="0.25">
      <c r="A7521" s="3" t="str">
        <f>HYPERLINK("proteomic_fractions_linear_files/Yang_linear_img/170763467.jpg", "170763467")</f>
        <v>170763467</v>
      </c>
      <c r="C7521" s="3" t="str">
        <f>HYPERLINK("http://www.ncbi.nlm.nih.gov/protein/170763467","Timm44")</f>
        <v>Timm44</v>
      </c>
      <c r="E7521" t="str">
        <f>HYPERLINK("J:\Depot - mpkCCD Fractions\Main Web Page\Web Pages_old\proteomic_fractions_linear_files/Yang_linear_img/170763467.jpg","show blot")</f>
        <v>show blot</v>
      </c>
      <c r="G7521" t="s">
        <v>7284</v>
      </c>
      <c r="I7521" s="6">
        <v>5.2236886077678992</v>
      </c>
      <c r="K7521" s="8"/>
    </row>
    <row r="7522" spans="1:11" ht="15" x14ac:dyDescent="0.25">
      <c r="A7522" s="3" t="str">
        <f>HYPERLINK("proteomic_fractions_linear_files/Yang_linear_img/22094989.jpg", "22094989")</f>
        <v>22094989</v>
      </c>
      <c r="C7522" s="3" t="str">
        <f>HYPERLINK("http://www.ncbi.nlm.nih.gov/protein/22094989","Timm50")</f>
        <v>Timm50</v>
      </c>
      <c r="E7522" t="str">
        <f>HYPERLINK("J:\Depot - mpkCCD Fractions\Main Web Page\Web Pages_old\proteomic_fractions_linear_files/Yang_linear_img/22094989.jpg","show blot")</f>
        <v>show blot</v>
      </c>
      <c r="G7522" t="s">
        <v>7285</v>
      </c>
      <c r="I7522" s="6">
        <v>5.4600970721308064</v>
      </c>
      <c r="K7522" s="8"/>
    </row>
    <row r="7523" spans="1:11" ht="15" x14ac:dyDescent="0.25">
      <c r="A7523" s="3" t="str">
        <f>HYPERLINK("proteomic_fractions_linear_files/Yang_linear_img/7305577.jpg", "7305577")</f>
        <v>7305577</v>
      </c>
      <c r="C7523" s="3" t="str">
        <f>HYPERLINK("http://www.ncbi.nlm.nih.gov/protein/7305577","Timm8a1")</f>
        <v>Timm8a1</v>
      </c>
      <c r="E7523" t="str">
        <f>HYPERLINK("J:\Depot - mpkCCD Fractions\Main Web Page\Web Pages_old\proteomic_fractions_linear_files/Yang_linear_img/7305577.jpg","show blot")</f>
        <v>show blot</v>
      </c>
      <c r="G7523" t="s">
        <v>7286</v>
      </c>
      <c r="I7523" s="6">
        <v>4.7272524537900926</v>
      </c>
      <c r="K7523" s="8"/>
    </row>
    <row r="7524" spans="1:11" ht="15" x14ac:dyDescent="0.25">
      <c r="A7524" s="3" t="str">
        <f>HYPERLINK("proteomic_fractions_linear_files/Yang_linear_img/83627687.jpg", "83627687")</f>
        <v>83627687</v>
      </c>
      <c r="C7524" s="3" t="str">
        <f>HYPERLINK("http://www.ncbi.nlm.nih.gov/protein/83627687","Timm8a2")</f>
        <v>Timm8a2</v>
      </c>
      <c r="E7524" t="str">
        <f>HYPERLINK("J:\Depot - mpkCCD Fractions\Main Web Page\Web Pages_old\proteomic_fractions_linear_files/Yang_linear_img/83627687.jpg","show blot")</f>
        <v>show blot</v>
      </c>
      <c r="G7524" t="s">
        <v>7287</v>
      </c>
      <c r="I7524" s="6">
        <v>4.4744276291902843</v>
      </c>
      <c r="K7524" s="8"/>
    </row>
    <row r="7525" spans="1:11" ht="15" x14ac:dyDescent="0.25">
      <c r="A7525" s="3" t="str">
        <f>HYPERLINK("proteomic_fractions_linear_files/Yang_linear_img/7305579.jpg", "7305579")</f>
        <v>7305579</v>
      </c>
      <c r="C7525" s="3" t="str">
        <f>HYPERLINK("http://www.ncbi.nlm.nih.gov/protein/7305579","Timm8b")</f>
        <v>Timm8b</v>
      </c>
      <c r="E7525" t="str">
        <f>HYPERLINK("J:\Depot - mpkCCD Fractions\Main Web Page\Web Pages_old\proteomic_fractions_linear_files/Yang_linear_img/7305579.jpg","show blot")</f>
        <v>show blot</v>
      </c>
      <c r="G7525" t="s">
        <v>7288</v>
      </c>
      <c r="I7525" s="6">
        <v>5.5032001047827563</v>
      </c>
      <c r="K7525" s="8"/>
    </row>
    <row r="7526" spans="1:11" ht="15" x14ac:dyDescent="0.25">
      <c r="A7526" s="3" t="str">
        <f>HYPERLINK("proteomic_fractions_linear_files/Yang_linear_img/67846099;7305573.jpg", "67846099;7305573")</f>
        <v>67846099;7305573</v>
      </c>
      <c r="C7526" s="3" t="str">
        <f>HYPERLINK("http://www.ncbi.nlm.nih.gov/protein/67846099;7305573","Timm9")</f>
        <v>Timm9</v>
      </c>
      <c r="E7526" t="str">
        <f>HYPERLINK("J:\Depot - mpkCCD Fractions\Main Web Page\Web Pages_old\proteomic_fractions_linear_files/Yang_linear_img/67846099;7305573.jpg","show blot")</f>
        <v>show blot</v>
      </c>
      <c r="G7526" t="s">
        <v>7289</v>
      </c>
      <c r="I7526" s="6">
        <v>5.242338981657725</v>
      </c>
      <c r="K7526" s="8"/>
    </row>
    <row r="7527" spans="1:11" ht="15" x14ac:dyDescent="0.25">
      <c r="A7527" s="3" t="str">
        <f>HYPERLINK("proteomic_fractions_linear_files/Yang_linear_img/7305573.jpg", "7305573")</f>
        <v>7305573</v>
      </c>
      <c r="C7527" s="3" t="str">
        <f>HYPERLINK("http://www.ncbi.nlm.nih.gov/protein/7305573","Timm9")</f>
        <v>Timm9</v>
      </c>
      <c r="E7527" t="str">
        <f>HYPERLINK("J:\Depot - mpkCCD Fractions\Main Web Page\Web Pages_old\proteomic_fractions_linear_files/Yang_linear_img/7305573.jpg","show blot")</f>
        <v>show blot</v>
      </c>
      <c r="G7527" t="s">
        <v>7289</v>
      </c>
      <c r="I7527" s="6">
        <v>5.242338981657725</v>
      </c>
      <c r="K7527" s="8"/>
    </row>
    <row r="7528" spans="1:11" ht="15" x14ac:dyDescent="0.25">
      <c r="A7528" s="3" t="str">
        <f>HYPERLINK("proteomic_fractions_linear_files/Yang_linear_img/225543444.jpg", "225543444")</f>
        <v>225543444</v>
      </c>
      <c r="C7528" s="3" t="str">
        <f>HYPERLINK("http://www.ncbi.nlm.nih.gov/protein/225543444","Timmdc1")</f>
        <v>Timmdc1</v>
      </c>
      <c r="E7528" t="str">
        <f>HYPERLINK("J:\Depot - mpkCCD Fractions\Main Web Page\Web Pages_old\proteomic_fractions_linear_files/Yang_linear_img/225543444.jpg","show blot")</f>
        <v>show blot</v>
      </c>
      <c r="G7528" t="s">
        <v>7290</v>
      </c>
      <c r="I7528" s="6">
        <v>4.1290075386945686</v>
      </c>
      <c r="K7528" s="8"/>
    </row>
    <row r="7529" spans="1:11" ht="15" x14ac:dyDescent="0.25">
      <c r="A7529" s="3" t="str">
        <f>HYPERLINK("proteomic_fractions_linear_files/Yang_linear_img/31542102.jpg", "31542102")</f>
        <v>31542102</v>
      </c>
      <c r="C7529" s="3" t="str">
        <f>HYPERLINK("http://www.ncbi.nlm.nih.gov/protein/31542102","Tiparp")</f>
        <v>Tiparp</v>
      </c>
      <c r="E7529" t="str">
        <f>HYPERLINK("J:\Depot - mpkCCD Fractions\Main Web Page\Web Pages_old\proteomic_fractions_linear_files/Yang_linear_img/31542102.jpg","show blot")</f>
        <v>show blot</v>
      </c>
      <c r="G7529" t="s">
        <v>7291</v>
      </c>
      <c r="I7529" s="6">
        <v>4.6698522617676153</v>
      </c>
      <c r="K7529" s="8"/>
    </row>
    <row r="7530" spans="1:11" ht="15" x14ac:dyDescent="0.25">
      <c r="A7530" s="3" t="str">
        <f>HYPERLINK("proteomic_fractions_linear_files/Yang_linear_img/21313608.jpg", "21313608")</f>
        <v>21313608</v>
      </c>
      <c r="C7530" s="3" t="str">
        <f>HYPERLINK("http://www.ncbi.nlm.nih.gov/protein/21313608","Tipin")</f>
        <v>Tipin</v>
      </c>
      <c r="E7530" t="str">
        <f>HYPERLINK("J:\Depot - mpkCCD Fractions\Main Web Page\Web Pages_old\proteomic_fractions_linear_files/Yang_linear_img/21313608.jpg","show blot")</f>
        <v>show blot</v>
      </c>
      <c r="G7530" t="s">
        <v>7292</v>
      </c>
      <c r="I7530" s="6">
        <v>4.7481610682515116</v>
      </c>
      <c r="K7530" s="8"/>
    </row>
    <row r="7531" spans="1:11" ht="15" x14ac:dyDescent="0.25">
      <c r="A7531" s="3" t="str">
        <f>HYPERLINK("proteomic_fractions_linear_files/Yang_linear_img/21704010.jpg", "21704010")</f>
        <v>21704010</v>
      </c>
      <c r="C7531" s="3" t="str">
        <f>HYPERLINK("http://www.ncbi.nlm.nih.gov/protein/21704010","Tiprl")</f>
        <v>Tiprl</v>
      </c>
      <c r="E7531" t="str">
        <f>HYPERLINK("J:\Depot - mpkCCD Fractions\Main Web Page\Web Pages_old\proteomic_fractions_linear_files/Yang_linear_img/21704010.jpg","show blot")</f>
        <v>show blot</v>
      </c>
      <c r="G7531" t="s">
        <v>7293</v>
      </c>
      <c r="I7531" s="6">
        <v>4.5442798335171579</v>
      </c>
      <c r="K7531" s="8"/>
    </row>
    <row r="7532" spans="1:11" ht="15" x14ac:dyDescent="0.25">
      <c r="A7532" s="3" t="str">
        <f>HYPERLINK("proteomic_fractions_linear_files/Yang_linear_img/21311861.jpg", "21311861")</f>
        <v>21311861</v>
      </c>
      <c r="C7532" s="3" t="str">
        <f>HYPERLINK("http://www.ncbi.nlm.nih.gov/protein/21311861","Tjap1")</f>
        <v>Tjap1</v>
      </c>
      <c r="E7532" t="str">
        <f>HYPERLINK("J:\Depot - mpkCCD Fractions\Main Web Page\Web Pages_old\proteomic_fractions_linear_files/Yang_linear_img/21311861.jpg","show blot")</f>
        <v>show blot</v>
      </c>
      <c r="G7532" t="s">
        <v>7294</v>
      </c>
      <c r="I7532" s="6">
        <v>4.1473323778817459</v>
      </c>
      <c r="K7532" s="8"/>
    </row>
    <row r="7533" spans="1:11" ht="15" x14ac:dyDescent="0.25">
      <c r="A7533" s="3" t="str">
        <f>HYPERLINK("proteomic_fractions_linear_files/Yang_linear_img/254675277.jpg", "254675277")</f>
        <v>254675277</v>
      </c>
      <c r="C7533" s="3" t="str">
        <f>HYPERLINK("http://www.ncbi.nlm.nih.gov/protein/254675277","Tjp1")</f>
        <v>Tjp1</v>
      </c>
      <c r="E7533" t="str">
        <f>HYPERLINK("J:\Depot - mpkCCD Fractions\Main Web Page\Web Pages_old\proteomic_fractions_linear_files/Yang_linear_img/254675277.jpg","show blot")</f>
        <v>show blot</v>
      </c>
      <c r="G7533" t="s">
        <v>7295</v>
      </c>
      <c r="I7533" s="6">
        <v>4.6184000576449877</v>
      </c>
      <c r="K7533" s="8"/>
    </row>
    <row r="7534" spans="1:11" ht="15" x14ac:dyDescent="0.25">
      <c r="A7534" s="3" t="str">
        <f>HYPERLINK("proteomic_fractions_linear_files/Yang_linear_img/254675279.jpg", "254675279")</f>
        <v>254675279</v>
      </c>
      <c r="C7534" s="3" t="str">
        <f>HYPERLINK("http://www.ncbi.nlm.nih.gov/protein/254675279","Tjp1")</f>
        <v>Tjp1</v>
      </c>
      <c r="E7534" t="str">
        <f>HYPERLINK("J:\Depot - mpkCCD Fractions\Main Web Page\Web Pages_old\proteomic_fractions_linear_files/Yang_linear_img/254675279.jpg","show blot")</f>
        <v>show blot</v>
      </c>
      <c r="G7534" t="s">
        <v>7296</v>
      </c>
      <c r="I7534" s="6">
        <v>4.6184000576449877</v>
      </c>
      <c r="K7534" s="8"/>
    </row>
    <row r="7535" spans="1:11" ht="15" x14ac:dyDescent="0.25">
      <c r="A7535" s="3" t="str">
        <f>HYPERLINK("proteomic_fractions_linear_files/Yang_linear_img/160333863.jpg", "160333863")</f>
        <v>160333863</v>
      </c>
      <c r="C7535" s="3" t="str">
        <f>HYPERLINK("http://www.ncbi.nlm.nih.gov/protein/160333863","Tjp2")</f>
        <v>Tjp2</v>
      </c>
      <c r="E7535" t="str">
        <f>HYPERLINK("J:\Depot - mpkCCD Fractions\Main Web Page\Web Pages_old\proteomic_fractions_linear_files/Yang_linear_img/160333863.jpg","show blot")</f>
        <v>show blot</v>
      </c>
      <c r="G7535" t="s">
        <v>7297</v>
      </c>
      <c r="I7535" s="6">
        <v>5.7078945452445362</v>
      </c>
      <c r="K7535" s="8"/>
    </row>
    <row r="7536" spans="1:11" ht="15" x14ac:dyDescent="0.25">
      <c r="A7536" s="3" t="str">
        <f>HYPERLINK("proteomic_fractions_linear_files/Yang_linear_img/312222765.jpg", "312222765")</f>
        <v>312222765</v>
      </c>
      <c r="C7536" s="3" t="str">
        <f>HYPERLINK("http://www.ncbi.nlm.nih.gov/protein/312222765","Tjp2")</f>
        <v>Tjp2</v>
      </c>
      <c r="E7536" t="str">
        <f>HYPERLINK("J:\Depot - mpkCCD Fractions\Main Web Page\Web Pages_old\proteomic_fractions_linear_files/Yang_linear_img/312222765.jpg","show blot")</f>
        <v>show blot</v>
      </c>
      <c r="G7536" t="s">
        <v>7298</v>
      </c>
      <c r="I7536" s="6">
        <v>5.7078945452445362</v>
      </c>
      <c r="K7536" s="8"/>
    </row>
    <row r="7537" spans="1:11" ht="15" x14ac:dyDescent="0.25">
      <c r="A7537" s="3" t="str">
        <f>HYPERLINK("proteomic_fractions_linear_files/Yang_linear_img/530788242.jpg", "530788242")</f>
        <v>530788242</v>
      </c>
      <c r="C7537" s="3" t="str">
        <f>HYPERLINK("http://www.ncbi.nlm.nih.gov/protein/530788242","Tjp3")</f>
        <v>Tjp3</v>
      </c>
      <c r="E7537" t="str">
        <f>HYPERLINK("J:\Depot - mpkCCD Fractions\Main Web Page\Web Pages_old\proteomic_fractions_linear_files/Yang_linear_img/530788242.jpg","show blot")</f>
        <v>show blot</v>
      </c>
      <c r="G7537" t="s">
        <v>7299</v>
      </c>
      <c r="I7537" s="6">
        <v>4.8506670269170122</v>
      </c>
      <c r="K7537" s="8"/>
    </row>
    <row r="7538" spans="1:11" ht="15" x14ac:dyDescent="0.25">
      <c r="A7538" s="3" t="str">
        <f>HYPERLINK("proteomic_fractions_linear_files/Yang_linear_img/114052811.jpg", "114052811")</f>
        <v>114052811</v>
      </c>
      <c r="C7538" s="3" t="str">
        <f>HYPERLINK("http://www.ncbi.nlm.nih.gov/protein/114052811","Tjp3")</f>
        <v>Tjp3</v>
      </c>
      <c r="E7538" t="str">
        <f>HYPERLINK("J:\Depot - mpkCCD Fractions\Main Web Page\Web Pages_old\proteomic_fractions_linear_files/Yang_linear_img/114052811.jpg","show blot")</f>
        <v>show blot</v>
      </c>
      <c r="G7538" t="s">
        <v>7300</v>
      </c>
      <c r="I7538" s="6">
        <v>4.8506670269170122</v>
      </c>
      <c r="K7538" s="8"/>
    </row>
    <row r="7539" spans="1:11" ht="15" x14ac:dyDescent="0.25">
      <c r="A7539" s="3" t="str">
        <f>HYPERLINK("proteomic_fractions_linear_files/Yang_linear_img/6678359.jpg", "6678359")</f>
        <v>6678359</v>
      </c>
      <c r="C7539" s="3" t="str">
        <f>HYPERLINK("http://www.ncbi.nlm.nih.gov/protein/6678359","Tkt")</f>
        <v>Tkt</v>
      </c>
      <c r="E7539" t="str">
        <f>HYPERLINK("J:\Depot - mpkCCD Fractions\Main Web Page\Web Pages_old\proteomic_fractions_linear_files/Yang_linear_img/6678359.jpg","show blot")</f>
        <v>show blot</v>
      </c>
      <c r="G7539" t="s">
        <v>7301</v>
      </c>
      <c r="I7539" s="6">
        <v>6.708575646124415</v>
      </c>
      <c r="K7539" s="8"/>
    </row>
    <row r="7540" spans="1:11" ht="15" x14ac:dyDescent="0.25">
      <c r="A7540" s="3" t="str">
        <f>HYPERLINK("proteomic_fractions_linear_files/Yang_linear_img/148287022.jpg", "148287022")</f>
        <v>148287022</v>
      </c>
      <c r="C7540" s="3" t="str">
        <f>HYPERLINK("http://www.ncbi.nlm.nih.gov/protein/148287022","Tktl2")</f>
        <v>Tktl2</v>
      </c>
      <c r="E7540" t="str">
        <f>HYPERLINK("J:\Depot - mpkCCD Fractions\Main Web Page\Web Pages_old\proteomic_fractions_linear_files/Yang_linear_img/148287022.jpg","show blot")</f>
        <v>show blot</v>
      </c>
      <c r="G7540" t="s">
        <v>7302</v>
      </c>
      <c r="I7540" s="6">
        <v>4.708686885890037</v>
      </c>
      <c r="K7540" s="8"/>
    </row>
    <row r="7541" spans="1:11" ht="15" x14ac:dyDescent="0.25">
      <c r="A7541" s="3" t="str">
        <f>HYPERLINK("proteomic_fractions_linear_files/Yang_linear_img/409191601;148287022.jpg", "409191601;148287022")</f>
        <v>409191601;148287022</v>
      </c>
      <c r="C7541" s="3" t="str">
        <f>HYPERLINK("http://www.ncbi.nlm.nih.gov/protein/409191601;148287022","Tktl2")</f>
        <v>Tktl2</v>
      </c>
      <c r="E7541" t="str">
        <f>HYPERLINK("J:\Depot - mpkCCD Fractions\Main Web Page\Web Pages_old\proteomic_fractions_linear_files/Yang_linear_img/409191601;148287022.jpg","show blot")</f>
        <v>show blot</v>
      </c>
      <c r="G7541" t="s">
        <v>7302</v>
      </c>
      <c r="I7541" s="6">
        <v>4.708686885890037</v>
      </c>
      <c r="K7541" s="8"/>
    </row>
    <row r="7542" spans="1:11" ht="15" x14ac:dyDescent="0.25">
      <c r="A7542" s="3" t="str">
        <f>HYPERLINK("proteomic_fractions_linear_files/Yang_linear_img/21539617.jpg", "21539617")</f>
        <v>21539617</v>
      </c>
      <c r="C7542" s="3" t="str">
        <f>HYPERLINK("http://www.ncbi.nlm.nih.gov/protein/21539617","Tlcd1")</f>
        <v>Tlcd1</v>
      </c>
      <c r="E7542" t="str">
        <f>HYPERLINK("J:\Depot - mpkCCD Fractions\Main Web Page\Web Pages_old\proteomic_fractions_linear_files/Yang_linear_img/21539617.jpg","show blot")</f>
        <v>show blot</v>
      </c>
      <c r="G7542" t="s">
        <v>7303</v>
      </c>
      <c r="I7542" s="6">
        <v>3.637403141017697</v>
      </c>
      <c r="K7542" s="8"/>
    </row>
    <row r="7543" spans="1:11" ht="15" x14ac:dyDescent="0.25">
      <c r="A7543" s="3" t="str">
        <f>HYPERLINK("proteomic_fractions_linear_files/Yang_linear_img/145207950.jpg", "145207950")</f>
        <v>145207950</v>
      </c>
      <c r="C7543" s="3" t="str">
        <f>HYPERLINK("http://www.ncbi.nlm.nih.gov/protein/145207950","Tle3")</f>
        <v>Tle3</v>
      </c>
      <c r="E7543" t="str">
        <f>HYPERLINK("J:\Depot - mpkCCD Fractions\Main Web Page\Web Pages_old\proteomic_fractions_linear_files/Yang_linear_img/145207950.jpg","show blot")</f>
        <v>show blot</v>
      </c>
      <c r="G7543" t="s">
        <v>7304</v>
      </c>
      <c r="I7543" s="6">
        <v>3.5792544896852174</v>
      </c>
      <c r="K7543" s="8"/>
    </row>
    <row r="7544" spans="1:11" ht="15" x14ac:dyDescent="0.25">
      <c r="A7544" s="3" t="str">
        <f>HYPERLINK("proteomic_fractions_linear_files/Yang_linear_img/145207972.jpg", "145207972")</f>
        <v>145207972</v>
      </c>
      <c r="C7544" s="3" t="str">
        <f>HYPERLINK("http://www.ncbi.nlm.nih.gov/protein/145207972","Tle3")</f>
        <v>Tle3</v>
      </c>
      <c r="E7544" t="str">
        <f>HYPERLINK("J:\Depot - mpkCCD Fractions\Main Web Page\Web Pages_old\proteomic_fractions_linear_files/Yang_linear_img/145207972.jpg","show blot")</f>
        <v>show blot</v>
      </c>
      <c r="G7544" t="s">
        <v>7305</v>
      </c>
      <c r="I7544" s="6">
        <v>3.5792544896852174</v>
      </c>
      <c r="K7544" s="8"/>
    </row>
    <row r="7545" spans="1:11" ht="15" x14ac:dyDescent="0.25">
      <c r="A7545" s="3" t="str">
        <f>HYPERLINK("proteomic_fractions_linear_files/Yang_linear_img/145207988.jpg", "145207988")</f>
        <v>145207988</v>
      </c>
      <c r="C7545" s="3" t="str">
        <f>HYPERLINK("http://www.ncbi.nlm.nih.gov/protein/145207988","Tle3")</f>
        <v>Tle3</v>
      </c>
      <c r="E7545" t="str">
        <f>HYPERLINK("J:\Depot - mpkCCD Fractions\Main Web Page\Web Pages_old\proteomic_fractions_linear_files/Yang_linear_img/145207988.jpg","show blot")</f>
        <v>show blot</v>
      </c>
      <c r="G7545" t="s">
        <v>7306</v>
      </c>
      <c r="I7545" s="6">
        <v>3.5792544896852174</v>
      </c>
      <c r="K7545" s="8"/>
    </row>
    <row r="7546" spans="1:11" ht="15" x14ac:dyDescent="0.25">
      <c r="A7546" s="3" t="str">
        <f>HYPERLINK("proteomic_fractions_linear_files/Yang_linear_img/227116327.jpg", "227116327")</f>
        <v>227116327</v>
      </c>
      <c r="C7546" s="3" t="str">
        <f>HYPERLINK("http://www.ncbi.nlm.nih.gov/protein/227116327","Tln1")</f>
        <v>Tln1</v>
      </c>
      <c r="E7546" t="str">
        <f>HYPERLINK("J:\Depot - mpkCCD Fractions\Main Web Page\Web Pages_old\proteomic_fractions_linear_files/Yang_linear_img/227116327.jpg","show blot")</f>
        <v>show blot</v>
      </c>
      <c r="G7546" t="s">
        <v>7307</v>
      </c>
      <c r="I7546" s="6">
        <v>5.5996251746507992</v>
      </c>
      <c r="K7546" s="8"/>
    </row>
    <row r="7547" spans="1:11" ht="15" x14ac:dyDescent="0.25">
      <c r="A7547" s="3" t="str">
        <f>HYPERLINK("proteomic_fractions_linear_files/Yang_linear_img/163310736.jpg", "163310736")</f>
        <v>163310736</v>
      </c>
      <c r="C7547" s="3" t="str">
        <f>HYPERLINK("http://www.ncbi.nlm.nih.gov/protein/163310736","Tln2")</f>
        <v>Tln2</v>
      </c>
      <c r="E7547" t="str">
        <f>HYPERLINK("J:\Depot - mpkCCD Fractions\Main Web Page\Web Pages_old\proteomic_fractions_linear_files/Yang_linear_img/163310736.jpg","show blot")</f>
        <v>show blot</v>
      </c>
      <c r="G7547" t="s">
        <v>7308</v>
      </c>
      <c r="I7547" s="6">
        <v>4.7459793844577334</v>
      </c>
      <c r="K7547" s="8"/>
    </row>
    <row r="7548" spans="1:11" ht="15" x14ac:dyDescent="0.25">
      <c r="A7548" s="3" t="str">
        <f>HYPERLINK("proteomic_fractions_linear_files/Yang_linear_img/45429999.jpg", "45429999")</f>
        <v>45429999</v>
      </c>
      <c r="C7548" s="3" t="str">
        <f>HYPERLINK("http://www.ncbi.nlm.nih.gov/protein/45429999","Tlr13")</f>
        <v>Tlr13</v>
      </c>
      <c r="E7548" t="str">
        <f>HYPERLINK("J:\Depot - mpkCCD Fractions\Main Web Page\Web Pages_old\proteomic_fractions_linear_files/Yang_linear_img/45429999.jpg","show blot")</f>
        <v>show blot</v>
      </c>
      <c r="G7548" t="s">
        <v>7309</v>
      </c>
      <c r="I7548" s="6">
        <v>1.7714020126425529</v>
      </c>
      <c r="K7548" s="8"/>
    </row>
    <row r="7549" spans="1:11" ht="15" x14ac:dyDescent="0.25">
      <c r="A7549" s="3" t="str">
        <f>HYPERLINK("proteomic_fractions_linear_files/Yang_linear_img/18875360.jpg", "18875360")</f>
        <v>18875360</v>
      </c>
      <c r="C7549" s="3" t="str">
        <f>HYPERLINK("http://www.ncbi.nlm.nih.gov/protein/18875360","Tlr7")</f>
        <v>Tlr7</v>
      </c>
      <c r="E7549" t="str">
        <f>HYPERLINK("J:\Depot - mpkCCD Fractions\Main Web Page\Web Pages_old\proteomic_fractions_linear_files/Yang_linear_img/18875360.jpg","show blot")</f>
        <v>show blot</v>
      </c>
      <c r="G7549" t="s">
        <v>7310</v>
      </c>
      <c r="I7549" s="6">
        <v>4.7666836925400542</v>
      </c>
      <c r="K7549" s="8"/>
    </row>
    <row r="7550" spans="1:11" ht="15" x14ac:dyDescent="0.25">
      <c r="A7550" s="3" t="str">
        <f>HYPERLINK("proteomic_fractions_linear_files/Yang_linear_img/229324850.jpg", "229324850")</f>
        <v>229324850</v>
      </c>
      <c r="C7550" s="3" t="str">
        <f>HYPERLINK("http://www.ncbi.nlm.nih.gov/protein/229324850","Tm2d2")</f>
        <v>Tm2d2</v>
      </c>
      <c r="E7550" t="str">
        <f>HYPERLINK("J:\Depot - mpkCCD Fractions\Main Web Page\Web Pages_old\proteomic_fractions_linear_files/Yang_linear_img/229324850.jpg","show blot")</f>
        <v>show blot</v>
      </c>
      <c r="G7550" t="s">
        <v>7311</v>
      </c>
      <c r="I7550" s="6">
        <v>2.9338865796580373</v>
      </c>
      <c r="K7550" s="8"/>
    </row>
    <row r="7551" spans="1:11" ht="15" x14ac:dyDescent="0.25">
      <c r="A7551" s="3" t="str">
        <f>HYPERLINK("proteomic_fractions_linear_files/Yang_linear_img/119964708.jpg", "119964708")</f>
        <v>119964708</v>
      </c>
      <c r="C7551" s="3" t="str">
        <f>HYPERLINK("http://www.ncbi.nlm.nih.gov/protein/119964708","Tm7sf3")</f>
        <v>Tm7sf3</v>
      </c>
      <c r="E7551" t="str">
        <f>HYPERLINK("J:\Depot - mpkCCD Fractions\Main Web Page\Web Pages_old\proteomic_fractions_linear_files/Yang_linear_img/119964708.jpg","show blot")</f>
        <v>show blot</v>
      </c>
      <c r="G7551" t="s">
        <v>7312</v>
      </c>
      <c r="I7551" s="6">
        <v>2.6975580343657191</v>
      </c>
      <c r="K7551" s="8"/>
    </row>
    <row r="7552" spans="1:11" ht="15" x14ac:dyDescent="0.25">
      <c r="A7552" s="3" t="str">
        <f>HYPERLINK("proteomic_fractions_linear_files/Yang_linear_img/27229185.jpg", "27229185")</f>
        <v>27229185</v>
      </c>
      <c r="C7552" s="3" t="str">
        <f>HYPERLINK("http://www.ncbi.nlm.nih.gov/protein/27229185","Tm9sf1")</f>
        <v>Tm9sf1</v>
      </c>
      <c r="E7552" t="str">
        <f>HYPERLINK("J:\Depot - mpkCCD Fractions\Main Web Page\Web Pages_old\proteomic_fractions_linear_files/Yang_linear_img/27229185.jpg","show blot")</f>
        <v>show blot</v>
      </c>
      <c r="G7552" t="s">
        <v>7313</v>
      </c>
      <c r="I7552" s="6">
        <v>4.1817987737100122</v>
      </c>
      <c r="K7552" s="8"/>
    </row>
    <row r="7553" spans="1:11" ht="15" x14ac:dyDescent="0.25">
      <c r="A7553" s="3" t="str">
        <f>HYPERLINK("proteomic_fractions_linear_files/Yang_linear_img/188528894.jpg", "188528894")</f>
        <v>188528894</v>
      </c>
      <c r="C7553" s="3" t="str">
        <f>HYPERLINK("http://www.ncbi.nlm.nih.gov/protein/188528894","Tm9sf2")</f>
        <v>Tm9sf2</v>
      </c>
      <c r="E7553" t="str">
        <f>HYPERLINK("J:\Depot - mpkCCD Fractions\Main Web Page\Web Pages_old\proteomic_fractions_linear_files/Yang_linear_img/188528894.jpg","show blot")</f>
        <v>show blot</v>
      </c>
      <c r="G7553" t="s">
        <v>7314</v>
      </c>
      <c r="I7553" s="6">
        <v>4.7824428144811115</v>
      </c>
      <c r="K7553" s="8"/>
    </row>
    <row r="7554" spans="1:11" ht="15" x14ac:dyDescent="0.25">
      <c r="A7554" s="3" t="str">
        <f>HYPERLINK("proteomic_fractions_linear_files/Yang_linear_img/19111162.jpg", "19111162")</f>
        <v>19111162</v>
      </c>
      <c r="C7554" s="3" t="str">
        <f>HYPERLINK("http://www.ncbi.nlm.nih.gov/protein/19111162","Tm9sf3")</f>
        <v>Tm9sf3</v>
      </c>
      <c r="E7554" t="str">
        <f>HYPERLINK("J:\Depot - mpkCCD Fractions\Main Web Page\Web Pages_old\proteomic_fractions_linear_files/Yang_linear_img/19111162.jpg","show blot")</f>
        <v>show blot</v>
      </c>
      <c r="G7554" t="s">
        <v>7315</v>
      </c>
      <c r="I7554" s="6">
        <v>4.1394641189259103</v>
      </c>
      <c r="K7554" s="8"/>
    </row>
    <row r="7555" spans="1:11" ht="15" x14ac:dyDescent="0.25">
      <c r="A7555" s="3" t="str">
        <f>HYPERLINK("proteomic_fractions_linear_files/Yang_linear_img/31542095.jpg", "31542095")</f>
        <v>31542095</v>
      </c>
      <c r="C7555" s="3" t="str">
        <f>HYPERLINK("http://www.ncbi.nlm.nih.gov/protein/31542095","Tm9sf4")</f>
        <v>Tm9sf4</v>
      </c>
      <c r="E7555" t="str">
        <f>HYPERLINK("J:\Depot - mpkCCD Fractions\Main Web Page\Web Pages_old\proteomic_fractions_linear_files/Yang_linear_img/31542095.jpg","show blot")</f>
        <v>show blot</v>
      </c>
      <c r="G7555" t="s">
        <v>7316</v>
      </c>
      <c r="I7555" s="6">
        <v>3.9978694924048659</v>
      </c>
      <c r="K7555" s="8"/>
    </row>
    <row r="7556" spans="1:11" ht="15" x14ac:dyDescent="0.25">
      <c r="A7556" s="3" t="str">
        <f>HYPERLINK("proteomic_fractions_linear_files/Yang_linear_img/309264231.jpg", "309264231")</f>
        <v>309264231</v>
      </c>
      <c r="C7556" s="3" t="str">
        <f>HYPERLINK("http://www.ncbi.nlm.nih.gov/protein/309264231","Tma7-ps")</f>
        <v>Tma7-ps</v>
      </c>
      <c r="E7556" t="str">
        <f>HYPERLINK("J:\Depot - mpkCCD Fractions\Main Web Page\Web Pages_old\proteomic_fractions_linear_files/Yang_linear_img/309264231.jpg","show blot")</f>
        <v>show blot</v>
      </c>
      <c r="G7556" t="s">
        <v>3830</v>
      </c>
      <c r="I7556" s="6">
        <v>5.3550821872878887</v>
      </c>
      <c r="K7556" s="8"/>
    </row>
    <row r="7557" spans="1:11" ht="15" x14ac:dyDescent="0.25">
      <c r="A7557" s="3" t="str">
        <f>HYPERLINK("proteomic_fractions_linear_files/Yang_linear_img/283945625.jpg", "283945625")</f>
        <v>283945625</v>
      </c>
      <c r="C7557" s="3" t="str">
        <f>HYPERLINK("http://www.ncbi.nlm.nih.gov/protein/283945625","Tmbim6")</f>
        <v>Tmbim6</v>
      </c>
      <c r="E7557" t="str">
        <f>HYPERLINK("J:\Depot - mpkCCD Fractions\Main Web Page\Web Pages_old\proteomic_fractions_linear_files/Yang_linear_img/283945625.jpg","show blot")</f>
        <v>show blot</v>
      </c>
      <c r="G7557" t="s">
        <v>7317</v>
      </c>
      <c r="I7557" s="6">
        <v>4.4220811957511437</v>
      </c>
      <c r="K7557" s="8"/>
    </row>
    <row r="7558" spans="1:11" ht="15" x14ac:dyDescent="0.25">
      <c r="A7558" s="3" t="str">
        <f>HYPERLINK("proteomic_fractions_linear_files/Yang_linear_img/283945625;283945630.jpg", "283945625;283945630")</f>
        <v>283945625;283945630</v>
      </c>
      <c r="C7558" s="3" t="str">
        <f>HYPERLINK("http://www.ncbi.nlm.nih.gov/protein/283945625;283945630","Tmbim6")</f>
        <v>Tmbim6</v>
      </c>
      <c r="E7558" t="str">
        <f>HYPERLINK("J:\Depot - mpkCCD Fractions\Main Web Page\Web Pages_old\proteomic_fractions_linear_files/Yang_linear_img/283945625;283945630.jpg","show blot")</f>
        <v>show blot</v>
      </c>
      <c r="G7558" t="s">
        <v>7317</v>
      </c>
      <c r="I7558" s="6">
        <v>4.4220811957511437</v>
      </c>
      <c r="K7558" s="8"/>
    </row>
    <row r="7559" spans="1:11" ht="15" x14ac:dyDescent="0.25">
      <c r="A7559" s="3" t="str">
        <f>HYPERLINK("proteomic_fractions_linear_files/Yang_linear_img/283945630.jpg", "283945630")</f>
        <v>283945630</v>
      </c>
      <c r="C7559" s="3" t="str">
        <f>HYPERLINK("http://www.ncbi.nlm.nih.gov/protein/283945630","Tmbim6")</f>
        <v>Tmbim6</v>
      </c>
      <c r="E7559" t="str">
        <f>HYPERLINK("J:\Depot - mpkCCD Fractions\Main Web Page\Web Pages_old\proteomic_fractions_linear_files/Yang_linear_img/283945630.jpg","show blot")</f>
        <v>show blot</v>
      </c>
      <c r="G7559" t="s">
        <v>7317</v>
      </c>
      <c r="I7559" s="6">
        <v>4.4220811957511437</v>
      </c>
      <c r="K7559" s="8"/>
    </row>
    <row r="7560" spans="1:11" ht="15" x14ac:dyDescent="0.25">
      <c r="A7560" s="3" t="str">
        <f>HYPERLINK("proteomic_fractions_linear_files/Yang_linear_img/31542282.jpg", "31542282")</f>
        <v>31542282</v>
      </c>
      <c r="C7560" s="3" t="str">
        <f>HYPERLINK("http://www.ncbi.nlm.nih.gov/protein/31542282","Tmc7")</f>
        <v>Tmc7</v>
      </c>
      <c r="E7560" t="str">
        <f>HYPERLINK("J:\Depot - mpkCCD Fractions\Main Web Page\Web Pages_old\proteomic_fractions_linear_files/Yang_linear_img/31542282.jpg","show blot")</f>
        <v>show blot</v>
      </c>
      <c r="G7560" t="s">
        <v>7318</v>
      </c>
      <c r="I7560" s="6">
        <v>2.5185297955388632</v>
      </c>
      <c r="K7560" s="8"/>
    </row>
    <row r="7561" spans="1:11" ht="15" x14ac:dyDescent="0.25">
      <c r="A7561" s="3" t="str">
        <f>HYPERLINK("proteomic_fractions_linear_files/Yang_linear_img/87116677.jpg", "87116677")</f>
        <v>87116677</v>
      </c>
      <c r="C7561" s="3" t="str">
        <f>HYPERLINK("http://www.ncbi.nlm.nih.gov/protein/87116677","Tmco1")</f>
        <v>Tmco1</v>
      </c>
      <c r="E7561" t="str">
        <f>HYPERLINK("J:\Depot - mpkCCD Fractions\Main Web Page\Web Pages_old\proteomic_fractions_linear_files/Yang_linear_img/87116677.jpg","show blot")</f>
        <v>show blot</v>
      </c>
      <c r="G7561" t="s">
        <v>7319</v>
      </c>
      <c r="I7561" s="6">
        <v>4.9832124879740913</v>
      </c>
      <c r="K7561" s="8"/>
    </row>
    <row r="7562" spans="1:11" ht="15" x14ac:dyDescent="0.25">
      <c r="A7562" s="3" t="str">
        <f>HYPERLINK("proteomic_fractions_linear_files/Yang_linear_img/21313340.jpg", "21313340")</f>
        <v>21313340</v>
      </c>
      <c r="C7562" s="3" t="str">
        <f>HYPERLINK("http://www.ncbi.nlm.nih.gov/protein/21313340","Tmco4")</f>
        <v>Tmco4</v>
      </c>
      <c r="E7562" t="str">
        <f>HYPERLINK("J:\Depot - mpkCCD Fractions\Main Web Page\Web Pages_old\proteomic_fractions_linear_files/Yang_linear_img/21313340.jpg","show blot")</f>
        <v>show blot</v>
      </c>
      <c r="G7562" t="s">
        <v>7320</v>
      </c>
      <c r="I7562" s="6">
        <v>2.9679144469154495</v>
      </c>
      <c r="K7562" s="8"/>
    </row>
    <row r="7563" spans="1:11" ht="15" x14ac:dyDescent="0.25">
      <c r="A7563" s="3" t="str">
        <f>HYPERLINK("proteomic_fractions_linear_files/Yang_linear_img/112181164.jpg", "112181164")</f>
        <v>112181164</v>
      </c>
      <c r="C7563" s="3" t="str">
        <f>HYPERLINK("http://www.ncbi.nlm.nih.gov/protein/112181164","Tmco6")</f>
        <v>Tmco6</v>
      </c>
      <c r="E7563" t="str">
        <f>HYPERLINK("J:\Depot - mpkCCD Fractions\Main Web Page\Web Pages_old\proteomic_fractions_linear_files/Yang_linear_img/112181164.jpg","show blot")</f>
        <v>show blot</v>
      </c>
      <c r="G7563" t="s">
        <v>7321</v>
      </c>
      <c r="I7563" s="6">
        <v>4.1169771297887721</v>
      </c>
      <c r="K7563" s="8"/>
    </row>
    <row r="7564" spans="1:11" ht="15" x14ac:dyDescent="0.25">
      <c r="A7564" s="3" t="str">
        <f>HYPERLINK("proteomic_fractions_linear_files/Yang_linear_img/85362703.jpg", "85362703")</f>
        <v>85362703</v>
      </c>
      <c r="C7564" s="3" t="str">
        <f>HYPERLINK("http://www.ncbi.nlm.nih.gov/protein/85362703","Tmed1")</f>
        <v>Tmed1</v>
      </c>
      <c r="E7564" t="str">
        <f>HYPERLINK("J:\Depot - mpkCCD Fractions\Main Web Page\Web Pages_old\proteomic_fractions_linear_files/Yang_linear_img/85362703.jpg","show blot")</f>
        <v>show blot</v>
      </c>
      <c r="G7564" t="s">
        <v>7322</v>
      </c>
      <c r="I7564" s="6">
        <v>4.2771250015128404</v>
      </c>
      <c r="K7564" s="8"/>
    </row>
    <row r="7565" spans="1:11" ht="15" x14ac:dyDescent="0.25">
      <c r="A7565" s="3" t="str">
        <f>HYPERLINK("proteomic_fractions_linear_files/Yang_linear_img/21312062.jpg", "21312062")</f>
        <v>21312062</v>
      </c>
      <c r="C7565" s="3" t="str">
        <f>HYPERLINK("http://www.ncbi.nlm.nih.gov/protein/21312062","Tmed10")</f>
        <v>Tmed10</v>
      </c>
      <c r="E7565" t="str">
        <f>HYPERLINK("J:\Depot - mpkCCD Fractions\Main Web Page\Web Pages_old\proteomic_fractions_linear_files/Yang_linear_img/21312062.jpg","show blot")</f>
        <v>show blot</v>
      </c>
      <c r="G7565" t="s">
        <v>7323</v>
      </c>
      <c r="I7565" s="6">
        <v>6.3791140336979897</v>
      </c>
      <c r="K7565" s="8"/>
    </row>
    <row r="7566" spans="1:11" ht="15" x14ac:dyDescent="0.25">
      <c r="A7566" s="3" t="str">
        <f>HYPERLINK("proteomic_fractions_linear_files/Yang_linear_img/281427153.jpg", "281427153")</f>
        <v>281427153</v>
      </c>
      <c r="C7566" s="3" t="str">
        <f>HYPERLINK("http://www.ncbi.nlm.nih.gov/protein/281427153","Tmed3")</f>
        <v>Tmed3</v>
      </c>
      <c r="E7566" t="str">
        <f>HYPERLINK("J:\Depot - mpkCCD Fractions\Main Web Page\Web Pages_old\proteomic_fractions_linear_files/Yang_linear_img/281427153.jpg","show blot")</f>
        <v>show blot</v>
      </c>
      <c r="G7566" t="s">
        <v>7324</v>
      </c>
      <c r="I7566" s="6">
        <v>4.4095327660594243</v>
      </c>
      <c r="K7566" s="8"/>
    </row>
    <row r="7567" spans="1:11" ht="15" x14ac:dyDescent="0.25">
      <c r="A7567" s="3" t="str">
        <f>HYPERLINK("proteomic_fractions_linear_files/Yang_linear_img/19527236.jpg", "19527236")</f>
        <v>19527236</v>
      </c>
      <c r="C7567" s="3" t="str">
        <f>HYPERLINK("http://www.ncbi.nlm.nih.gov/protein/19527236","Tmed4")</f>
        <v>Tmed4</v>
      </c>
      <c r="E7567" t="str">
        <f>HYPERLINK("J:\Depot - mpkCCD Fractions\Main Web Page\Web Pages_old\proteomic_fractions_linear_files/Yang_linear_img/19527236.jpg","show blot")</f>
        <v>show blot</v>
      </c>
      <c r="G7567" t="s">
        <v>7325</v>
      </c>
      <c r="I7567" s="6">
        <v>5.8105325560828058</v>
      </c>
      <c r="K7567" s="8"/>
    </row>
    <row r="7568" spans="1:11" ht="15" x14ac:dyDescent="0.25">
      <c r="A7568" s="3" t="str">
        <f>HYPERLINK("proteomic_fractions_linear_files/Yang_linear_img/21746165.jpg", "21746165")</f>
        <v>21746165</v>
      </c>
      <c r="C7568" s="3" t="str">
        <f>HYPERLINK("http://www.ncbi.nlm.nih.gov/protein/21746165","Tmed5")</f>
        <v>Tmed5</v>
      </c>
      <c r="E7568" t="str">
        <f>HYPERLINK("J:\Depot - mpkCCD Fractions\Main Web Page\Web Pages_old\proteomic_fractions_linear_files/Yang_linear_img/21746165.jpg","show blot")</f>
        <v>show blot</v>
      </c>
      <c r="G7568" t="s">
        <v>7326</v>
      </c>
      <c r="I7568" s="6">
        <v>4.9201545523554975</v>
      </c>
      <c r="K7568" s="8"/>
    </row>
    <row r="7569" spans="1:11" ht="15" x14ac:dyDescent="0.25">
      <c r="A7569" s="3" t="str">
        <f>HYPERLINK("proteomic_fractions_linear_files/Yang_linear_img/255003819.jpg", "255003819")</f>
        <v>255003819</v>
      </c>
      <c r="C7569" s="3" t="str">
        <f>HYPERLINK("http://www.ncbi.nlm.nih.gov/protein/255003819","Tmed7")</f>
        <v>Tmed7</v>
      </c>
      <c r="E7569" t="str">
        <f>HYPERLINK("J:\Depot - mpkCCD Fractions\Main Web Page\Web Pages_old\proteomic_fractions_linear_files/Yang_linear_img/255003819.jpg","show blot")</f>
        <v>show blot</v>
      </c>
      <c r="G7569" t="s">
        <v>7327</v>
      </c>
      <c r="I7569" s="6">
        <v>5.8548839149263445</v>
      </c>
      <c r="K7569" s="8"/>
    </row>
    <row r="7570" spans="1:11" ht="15" x14ac:dyDescent="0.25">
      <c r="A7570" s="3" t="str">
        <f>HYPERLINK("proteomic_fractions_linear_files/Yang_linear_img/145966911.jpg", "145966911")</f>
        <v>145966911</v>
      </c>
      <c r="C7570" s="3" t="str">
        <f>HYPERLINK("http://www.ncbi.nlm.nih.gov/protein/145966911","Tmed9")</f>
        <v>Tmed9</v>
      </c>
      <c r="E7570" t="str">
        <f>HYPERLINK("J:\Depot - mpkCCD Fractions\Main Web Page\Web Pages_old\proteomic_fractions_linear_files/Yang_linear_img/145966911.jpg","show blot")</f>
        <v>show blot</v>
      </c>
      <c r="G7570" t="s">
        <v>7328</v>
      </c>
      <c r="I7570" s="6">
        <v>5.9369552425923944</v>
      </c>
      <c r="K7570" s="8"/>
    </row>
    <row r="7571" spans="1:11" ht="15" x14ac:dyDescent="0.25">
      <c r="A7571" s="3" t="str">
        <f>HYPERLINK("proteomic_fractions_linear_files/Yang_linear_img/145966766.jpg", "145966766")</f>
        <v>145966766</v>
      </c>
      <c r="C7571" s="3" t="str">
        <f>HYPERLINK("http://www.ncbi.nlm.nih.gov/protein/145966766","Tmem102")</f>
        <v>Tmem102</v>
      </c>
      <c r="E7571" t="str">
        <f>HYPERLINK("J:\Depot - mpkCCD Fractions\Main Web Page\Web Pages_old\proteomic_fractions_linear_files/Yang_linear_img/145966766.jpg","show blot")</f>
        <v>show blot</v>
      </c>
      <c r="G7571" t="s">
        <v>7329</v>
      </c>
      <c r="I7571" s="6">
        <v>2.7319176260824105</v>
      </c>
      <c r="K7571" s="8"/>
    </row>
    <row r="7572" spans="1:11" ht="15" x14ac:dyDescent="0.25">
      <c r="A7572" s="3" t="str">
        <f>HYPERLINK("proteomic_fractions_linear_files/Yang_linear_img/188035856.jpg", "188035856")</f>
        <v>188035856</v>
      </c>
      <c r="C7572" s="3" t="str">
        <f>HYPERLINK("http://www.ncbi.nlm.nih.gov/protein/188035856","Tmem106b")</f>
        <v>Tmem106b</v>
      </c>
      <c r="E7572" t="str">
        <f>HYPERLINK("J:\Depot - mpkCCD Fractions\Main Web Page\Web Pages_old\proteomic_fractions_linear_files/Yang_linear_img/188035856.jpg","show blot")</f>
        <v>show blot</v>
      </c>
      <c r="G7572" t="s">
        <v>7330</v>
      </c>
      <c r="I7572" s="6">
        <v>4.8082410939090012</v>
      </c>
      <c r="K7572" s="8"/>
    </row>
    <row r="7573" spans="1:11" ht="15" x14ac:dyDescent="0.25">
      <c r="A7573" s="3" t="str">
        <f>HYPERLINK("proteomic_fractions_linear_files/Yang_linear_img/19527378.jpg", "19527378")</f>
        <v>19527378</v>
      </c>
      <c r="C7573" s="3" t="str">
        <f>HYPERLINK("http://www.ncbi.nlm.nih.gov/protein/19527378","Tmem109")</f>
        <v>Tmem109</v>
      </c>
      <c r="E7573" t="str">
        <f>HYPERLINK("J:\Depot - mpkCCD Fractions\Main Web Page\Web Pages_old\proteomic_fractions_linear_files/Yang_linear_img/19527378.jpg","show blot")</f>
        <v>show blot</v>
      </c>
      <c r="G7573" t="s">
        <v>7331</v>
      </c>
      <c r="I7573" s="6">
        <v>5.3692683692178358</v>
      </c>
      <c r="K7573" s="8"/>
    </row>
    <row r="7574" spans="1:11" ht="15" x14ac:dyDescent="0.25">
      <c r="A7574" s="3" t="str">
        <f>HYPERLINK("proteomic_fractions_linear_files/Yang_linear_img/27734998.jpg", "27734998")</f>
        <v>27734998</v>
      </c>
      <c r="C7574" s="3" t="str">
        <f>HYPERLINK("http://www.ncbi.nlm.nih.gov/protein/27734998","Tmem11")</f>
        <v>Tmem11</v>
      </c>
      <c r="E7574" t="str">
        <f>HYPERLINK("J:\Depot - mpkCCD Fractions\Main Web Page\Web Pages_old\proteomic_fractions_linear_files/Yang_linear_img/27734998.jpg","show blot")</f>
        <v>show blot</v>
      </c>
      <c r="G7574" t="s">
        <v>7332</v>
      </c>
      <c r="I7574" s="6">
        <v>4.0945408685328717</v>
      </c>
      <c r="K7574" s="8"/>
    </row>
    <row r="7575" spans="1:11" ht="15" x14ac:dyDescent="0.25">
      <c r="A7575" s="3" t="str">
        <f>HYPERLINK("proteomic_fractions_linear_files/Yang_linear_img/281182922.jpg", "281182922")</f>
        <v>281182922</v>
      </c>
      <c r="C7575" s="3" t="str">
        <f>HYPERLINK("http://www.ncbi.nlm.nih.gov/protein/281182922","Tmem11")</f>
        <v>Tmem11</v>
      </c>
      <c r="E7575" t="str">
        <f>HYPERLINK("J:\Depot - mpkCCD Fractions\Main Web Page\Web Pages_old\proteomic_fractions_linear_files/Yang_linear_img/281182922.jpg","show blot")</f>
        <v>show blot</v>
      </c>
      <c r="G7575" t="s">
        <v>7333</v>
      </c>
      <c r="I7575" s="6">
        <v>4.0945408685328717</v>
      </c>
      <c r="K7575" s="8"/>
    </row>
    <row r="7576" spans="1:11" ht="15" x14ac:dyDescent="0.25">
      <c r="A7576" s="3" t="str">
        <f>HYPERLINK("proteomic_fractions_linear_files/Yang_linear_img/9790165.jpg", "9790165")</f>
        <v>9790165</v>
      </c>
      <c r="C7576" s="3" t="str">
        <f>HYPERLINK("http://www.ncbi.nlm.nih.gov/protein/9790165","Tmem115")</f>
        <v>Tmem115</v>
      </c>
      <c r="E7576" t="str">
        <f>HYPERLINK("J:\Depot - mpkCCD Fractions\Main Web Page\Web Pages_old\proteomic_fractions_linear_files/Yang_linear_img/9790165.jpg","show blot")</f>
        <v>show blot</v>
      </c>
      <c r="G7576" t="s">
        <v>7334</v>
      </c>
      <c r="I7576" s="6">
        <v>3.9905908793945928</v>
      </c>
      <c r="K7576" s="8"/>
    </row>
    <row r="7577" spans="1:11" ht="15" x14ac:dyDescent="0.25">
      <c r="A7577" s="3" t="str">
        <f>HYPERLINK("proteomic_fractions_linear_files/Yang_linear_img/29789387.jpg", "29789387")</f>
        <v>29789387</v>
      </c>
      <c r="C7577" s="3" t="str">
        <f>HYPERLINK("http://www.ncbi.nlm.nih.gov/protein/29789387","Tmem120a")</f>
        <v>Tmem120a</v>
      </c>
      <c r="E7577" t="str">
        <f>HYPERLINK("J:\Depot - mpkCCD Fractions\Main Web Page\Web Pages_old\proteomic_fractions_linear_files/Yang_linear_img/29789387.jpg","show blot")</f>
        <v>show blot</v>
      </c>
      <c r="G7577" t="s">
        <v>7335</v>
      </c>
      <c r="I7577" s="6">
        <v>2.7792235014030378</v>
      </c>
      <c r="K7577" s="8"/>
    </row>
    <row r="7578" spans="1:11" ht="15" x14ac:dyDescent="0.25">
      <c r="A7578" s="3" t="str">
        <f>HYPERLINK("proteomic_fractions_linear_files/Yang_linear_img/58037123.jpg", "58037123")</f>
        <v>58037123</v>
      </c>
      <c r="C7578" s="3" t="str">
        <f>HYPERLINK("http://www.ncbi.nlm.nih.gov/protein/58037123","Tmem126b")</f>
        <v>Tmem126b</v>
      </c>
      <c r="E7578" t="str">
        <f>HYPERLINK("J:\Depot - mpkCCD Fractions\Main Web Page\Web Pages_old\proteomic_fractions_linear_files/Yang_linear_img/58037123.jpg","show blot")</f>
        <v>show blot</v>
      </c>
      <c r="G7578" t="s">
        <v>7336</v>
      </c>
      <c r="I7578" s="6">
        <v>3.2879950188054385</v>
      </c>
      <c r="K7578" s="8"/>
    </row>
    <row r="7579" spans="1:11" ht="15" x14ac:dyDescent="0.25">
      <c r="A7579" s="3" t="str">
        <f>HYPERLINK("proteomic_fractions_linear_files/Yang_linear_img/21624623.jpg", "21624623")</f>
        <v>21624623</v>
      </c>
      <c r="C7579" s="3" t="str">
        <f>HYPERLINK("http://www.ncbi.nlm.nih.gov/protein/21624623","Tmem138")</f>
        <v>Tmem138</v>
      </c>
      <c r="E7579" t="str">
        <f>HYPERLINK("J:\Depot - mpkCCD Fractions\Main Web Page\Web Pages_old\proteomic_fractions_linear_files/Yang_linear_img/21624623.jpg","show blot")</f>
        <v>show blot</v>
      </c>
      <c r="G7579" t="s">
        <v>7337</v>
      </c>
      <c r="I7579" s="6">
        <v>3.1175309766041646</v>
      </c>
      <c r="K7579" s="8"/>
    </row>
    <row r="7580" spans="1:11" ht="15" x14ac:dyDescent="0.25">
      <c r="A7580" s="3" t="str">
        <f>HYPERLINK("proteomic_fractions_linear_files/Yang_linear_img/120952692.jpg", "120952692")</f>
        <v>120952692</v>
      </c>
      <c r="C7580" s="3" t="str">
        <f>HYPERLINK("http://www.ncbi.nlm.nih.gov/protein/120952692","Tmem147")</f>
        <v>Tmem147</v>
      </c>
      <c r="E7580" t="str">
        <f>HYPERLINK("J:\Depot - mpkCCD Fractions\Main Web Page\Web Pages_old\proteomic_fractions_linear_files/Yang_linear_img/120952692.jpg","show blot")</f>
        <v>show blot</v>
      </c>
      <c r="G7580" t="s">
        <v>7338</v>
      </c>
      <c r="I7580" s="6">
        <v>3.3318265883300753</v>
      </c>
      <c r="K7580" s="8"/>
    </row>
    <row r="7581" spans="1:11" ht="15" x14ac:dyDescent="0.25">
      <c r="A7581" s="3" t="str">
        <f>HYPERLINK("proteomic_fractions_linear_files/Yang_linear_img/13384766.jpg", "13384766")</f>
        <v>13384766</v>
      </c>
      <c r="C7581" s="3" t="str">
        <f>HYPERLINK("http://www.ncbi.nlm.nih.gov/protein/13384766","Tmem14c")</f>
        <v>Tmem14c</v>
      </c>
      <c r="E7581" t="str">
        <f>HYPERLINK("J:\Depot - mpkCCD Fractions\Main Web Page\Web Pages_old\proteomic_fractions_linear_files/Yang_linear_img/13384766.jpg","show blot")</f>
        <v>show blot</v>
      </c>
      <c r="G7581" t="s">
        <v>7339</v>
      </c>
      <c r="I7581" s="6">
        <v>3.481643117466144</v>
      </c>
      <c r="K7581" s="8"/>
    </row>
    <row r="7582" spans="1:11" ht="15" x14ac:dyDescent="0.25">
      <c r="A7582" s="3" t="str">
        <f>HYPERLINK("proteomic_fractions_linear_files/Yang_linear_img/58037143.jpg", "58037143")</f>
        <v>58037143</v>
      </c>
      <c r="C7582" s="3" t="str">
        <f>HYPERLINK("http://www.ncbi.nlm.nih.gov/protein/58037143","Tmem160")</f>
        <v>Tmem160</v>
      </c>
      <c r="E7582" t="str">
        <f>HYPERLINK("J:\Depot - mpkCCD Fractions\Main Web Page\Web Pages_old\proteomic_fractions_linear_files/Yang_linear_img/58037143.jpg","show blot")</f>
        <v>show blot</v>
      </c>
      <c r="G7582" t="s">
        <v>7340</v>
      </c>
      <c r="I7582" s="6">
        <v>3.2936222356598459</v>
      </c>
      <c r="K7582" s="8"/>
    </row>
    <row r="7583" spans="1:11" ht="15" x14ac:dyDescent="0.25">
      <c r="A7583" s="3" t="str">
        <f>HYPERLINK("proteomic_fractions_linear_files/Yang_linear_img/111154067.jpg", "111154067")</f>
        <v>111154067</v>
      </c>
      <c r="C7583" s="3" t="str">
        <f>HYPERLINK("http://www.ncbi.nlm.nih.gov/protein/111154067","Tmem165")</f>
        <v>Tmem165</v>
      </c>
      <c r="E7583" t="str">
        <f>HYPERLINK("J:\Depot - mpkCCD Fractions\Main Web Page\Web Pages_old\proteomic_fractions_linear_files/Yang_linear_img/111154067.jpg","show blot")</f>
        <v>show blot</v>
      </c>
      <c r="G7583" t="s">
        <v>7341</v>
      </c>
      <c r="I7583" s="6">
        <v>4.6277544233687324</v>
      </c>
      <c r="K7583" s="8"/>
    </row>
    <row r="7584" spans="1:11" ht="15" x14ac:dyDescent="0.25">
      <c r="A7584" s="3" t="str">
        <f>HYPERLINK("proteomic_fractions_linear_files/Yang_linear_img/225007607.jpg", "225007607")</f>
        <v>225007607</v>
      </c>
      <c r="C7584" s="3" t="str">
        <f>HYPERLINK("http://www.ncbi.nlm.nih.gov/protein/225007607","Tmem167")</f>
        <v>Tmem167</v>
      </c>
      <c r="E7584" t="str">
        <f>HYPERLINK("J:\Depot - mpkCCD Fractions\Main Web Page\Web Pages_old\proteomic_fractions_linear_files/Yang_linear_img/225007607.jpg","show blot")</f>
        <v>show blot</v>
      </c>
      <c r="G7584" t="s">
        <v>7342</v>
      </c>
      <c r="I7584" s="6">
        <v>4.698199445882584</v>
      </c>
      <c r="K7584" s="8"/>
    </row>
    <row r="7585" spans="1:11" ht="15" x14ac:dyDescent="0.25">
      <c r="A7585" s="3" t="str">
        <f>HYPERLINK("proteomic_fractions_linear_files/Yang_linear_img/27532967.jpg", "27532967")</f>
        <v>27532967</v>
      </c>
      <c r="C7585" s="3" t="str">
        <f>HYPERLINK("http://www.ncbi.nlm.nih.gov/protein/27532967","Tmem168")</f>
        <v>Tmem168</v>
      </c>
      <c r="E7585" t="str">
        <f>HYPERLINK("J:\Depot - mpkCCD Fractions\Main Web Page\Web Pages_old\proteomic_fractions_linear_files/Yang_linear_img/27532967.jpg","show blot")</f>
        <v>show blot</v>
      </c>
      <c r="G7585" t="s">
        <v>7343</v>
      </c>
      <c r="I7585" s="6">
        <v>2.1611303611611001</v>
      </c>
      <c r="K7585" s="8"/>
    </row>
    <row r="7586" spans="1:11" ht="15" x14ac:dyDescent="0.25">
      <c r="A7586" s="3" t="str">
        <f>HYPERLINK("proteomic_fractions_linear_files/Yang_linear_img/254692993.jpg", "254692993")</f>
        <v>254692993</v>
      </c>
      <c r="C7586" s="3" t="str">
        <f>HYPERLINK("http://www.ncbi.nlm.nih.gov/protein/254692993","Tmem173")</f>
        <v>Tmem173</v>
      </c>
      <c r="E7586" t="str">
        <f>HYPERLINK("J:\Depot - mpkCCD Fractions\Main Web Page\Web Pages_old\proteomic_fractions_linear_files/Yang_linear_img/254692993.jpg","show blot")</f>
        <v>show blot</v>
      </c>
      <c r="G7586" t="s">
        <v>7344</v>
      </c>
      <c r="I7586" s="6">
        <v>2.8135809885681922</v>
      </c>
      <c r="K7586" s="8"/>
    </row>
    <row r="7587" spans="1:11" ht="15" x14ac:dyDescent="0.25">
      <c r="A7587" s="3" t="str">
        <f>HYPERLINK("proteomic_fractions_linear_files/Yang_linear_img/254587930.jpg", "254587930")</f>
        <v>254587930</v>
      </c>
      <c r="C7587" s="3" t="str">
        <f>HYPERLINK("http://www.ncbi.nlm.nih.gov/protein/254587930","Tmem175")</f>
        <v>Tmem175</v>
      </c>
      <c r="E7587" t="str">
        <f>HYPERLINK("J:\Depot - mpkCCD Fractions\Main Web Page\Web Pages_old\proteomic_fractions_linear_files/Yang_linear_img/254587930.jpg","show blot")</f>
        <v>show blot</v>
      </c>
      <c r="G7587" t="s">
        <v>7345</v>
      </c>
      <c r="I7587" s="6">
        <v>3.2561058743919569</v>
      </c>
      <c r="K7587" s="8"/>
    </row>
    <row r="7588" spans="1:11" ht="15" x14ac:dyDescent="0.25">
      <c r="A7588" s="3" t="str">
        <f>HYPERLINK("proteomic_fractions_linear_files/Yang_linear_img/254587932.jpg", "254587932")</f>
        <v>254587932</v>
      </c>
      <c r="C7588" s="3" t="str">
        <f>HYPERLINK("http://www.ncbi.nlm.nih.gov/protein/254587932","Tmem175")</f>
        <v>Tmem175</v>
      </c>
      <c r="E7588" t="str">
        <f>HYPERLINK("J:\Depot - mpkCCD Fractions\Main Web Page\Web Pages_old\proteomic_fractions_linear_files/Yang_linear_img/254587932.jpg","show blot")</f>
        <v>show blot</v>
      </c>
      <c r="G7588" t="s">
        <v>7346</v>
      </c>
      <c r="I7588" s="6">
        <v>3.2561058743919569</v>
      </c>
      <c r="K7588" s="8"/>
    </row>
    <row r="7589" spans="1:11" ht="15" x14ac:dyDescent="0.25">
      <c r="A7589" s="3" t="str">
        <f>HYPERLINK("proteomic_fractions_linear_files/Yang_linear_img/12746434.jpg", "12746434")</f>
        <v>12746434</v>
      </c>
      <c r="C7589" s="3" t="str">
        <f>HYPERLINK("http://www.ncbi.nlm.nih.gov/protein/12746434","Tmem176b")</f>
        <v>Tmem176b</v>
      </c>
      <c r="E7589" t="str">
        <f>HYPERLINK("J:\Depot - mpkCCD Fractions\Main Web Page\Web Pages_old\proteomic_fractions_linear_files/Yang_linear_img/12746434.jpg","show blot")</f>
        <v>show blot</v>
      </c>
      <c r="G7589" t="s">
        <v>7347</v>
      </c>
      <c r="I7589" s="6">
        <v>2.0887885396437804</v>
      </c>
      <c r="K7589" s="8"/>
    </row>
    <row r="7590" spans="1:11" ht="15" x14ac:dyDescent="0.25">
      <c r="A7590" s="3" t="str">
        <f>HYPERLINK("proteomic_fractions_linear_files/Yang_linear_img/27228988.jpg", "27228988")</f>
        <v>27228988</v>
      </c>
      <c r="C7590" s="3" t="str">
        <f>HYPERLINK("http://www.ncbi.nlm.nih.gov/protein/27228988","Tmem186")</f>
        <v>Tmem186</v>
      </c>
      <c r="E7590" t="str">
        <f>HYPERLINK("J:\Depot - mpkCCD Fractions\Main Web Page\Web Pages_old\proteomic_fractions_linear_files/Yang_linear_img/27228988.jpg","show blot")</f>
        <v>show blot</v>
      </c>
      <c r="G7590" t="s">
        <v>7348</v>
      </c>
      <c r="I7590" s="6">
        <v>2.7815322915145262</v>
      </c>
      <c r="K7590" s="8"/>
    </row>
    <row r="7591" spans="1:11" ht="15" x14ac:dyDescent="0.25">
      <c r="A7591" s="3" t="str">
        <f>HYPERLINK("proteomic_fractions_linear_files/Yang_linear_img/21704060.jpg", "21704060")</f>
        <v>21704060</v>
      </c>
      <c r="C7591" s="3" t="str">
        <f>HYPERLINK("http://www.ncbi.nlm.nih.gov/protein/21704060","Tmem189")</f>
        <v>Tmem189</v>
      </c>
      <c r="E7591" t="str">
        <f>HYPERLINK("J:\Depot - mpkCCD Fractions\Main Web Page\Web Pages_old\proteomic_fractions_linear_files/Yang_linear_img/21704060.jpg","show blot")</f>
        <v>show blot</v>
      </c>
      <c r="G7591" t="s">
        <v>7349</v>
      </c>
      <c r="I7591" s="6">
        <v>3.7279119837547592</v>
      </c>
      <c r="K7591" s="8"/>
    </row>
    <row r="7592" spans="1:11" ht="15" x14ac:dyDescent="0.25">
      <c r="A7592" s="3" t="str">
        <f>HYPERLINK("proteomic_fractions_linear_files/Yang_linear_img/19526846.jpg", "19526846")</f>
        <v>19526846</v>
      </c>
      <c r="C7592" s="3" t="str">
        <f>HYPERLINK("http://www.ncbi.nlm.nih.gov/protein/19526846","Tmem19")</f>
        <v>Tmem19</v>
      </c>
      <c r="E7592" t="str">
        <f>HYPERLINK("J:\Depot - mpkCCD Fractions\Main Web Page\Web Pages_old\proteomic_fractions_linear_files/Yang_linear_img/19526846.jpg","show blot")</f>
        <v>show blot</v>
      </c>
      <c r="G7592" t="s">
        <v>7350</v>
      </c>
      <c r="I7592" s="6">
        <v>3.4710057640529852</v>
      </c>
      <c r="K7592" s="8"/>
    </row>
    <row r="7593" spans="1:11" ht="15" x14ac:dyDescent="0.25">
      <c r="A7593" s="3" t="str">
        <f>HYPERLINK("proteomic_fractions_linear_files/Yang_linear_img/254939603.jpg", "254939603")</f>
        <v>254939603</v>
      </c>
      <c r="C7593" s="3" t="str">
        <f>HYPERLINK("http://www.ncbi.nlm.nih.gov/protein/254939603","Tmem192")</f>
        <v>Tmem192</v>
      </c>
      <c r="E7593" t="str">
        <f>HYPERLINK("J:\Depot - mpkCCD Fractions\Main Web Page\Web Pages_old\proteomic_fractions_linear_files/Yang_linear_img/254939603.jpg","show blot")</f>
        <v>show blot</v>
      </c>
      <c r="G7593" t="s">
        <v>7351</v>
      </c>
      <c r="I7593" s="6">
        <v>3.6714223713321341</v>
      </c>
      <c r="K7593" s="8"/>
    </row>
    <row r="7594" spans="1:11" ht="15" x14ac:dyDescent="0.25">
      <c r="A7594" s="3" t="str">
        <f>HYPERLINK("proteomic_fractions_linear_files/Yang_linear_img/58037311.jpg", "58037311")</f>
        <v>58037311</v>
      </c>
      <c r="C7594" s="3" t="str">
        <f>HYPERLINK("http://www.ncbi.nlm.nih.gov/protein/58037311","Tmem192")</f>
        <v>Tmem192</v>
      </c>
      <c r="E7594" t="str">
        <f>HYPERLINK("J:\Depot - mpkCCD Fractions\Main Web Page\Web Pages_old\proteomic_fractions_linear_files/Yang_linear_img/58037311.jpg","show blot")</f>
        <v>show blot</v>
      </c>
      <c r="G7594" t="s">
        <v>7352</v>
      </c>
      <c r="I7594" s="6">
        <v>3.6714223713321341</v>
      </c>
      <c r="K7594" s="8"/>
    </row>
    <row r="7595" spans="1:11" ht="15" x14ac:dyDescent="0.25">
      <c r="A7595" s="3" t="str">
        <f>HYPERLINK("proteomic_fractions_linear_files/Yang_linear_img/76253926.jpg", "76253926")</f>
        <v>76253926</v>
      </c>
      <c r="C7595" s="3" t="str">
        <f>HYPERLINK("http://www.ncbi.nlm.nih.gov/protein/76253926","Tmem2")</f>
        <v>Tmem2</v>
      </c>
      <c r="E7595" t="str">
        <f>HYPERLINK("J:\Depot - mpkCCD Fractions\Main Web Page\Web Pages_old\proteomic_fractions_linear_files/Yang_linear_img/76253926.jpg","show blot")</f>
        <v>show blot</v>
      </c>
      <c r="G7595" t="s">
        <v>7353</v>
      </c>
      <c r="I7595" s="6">
        <v>3.4440670305540744</v>
      </c>
      <c r="K7595" s="8"/>
    </row>
    <row r="7596" spans="1:11" ht="15" x14ac:dyDescent="0.25">
      <c r="A7596" s="3" t="str">
        <f>HYPERLINK("proteomic_fractions_linear_files/Yang_linear_img/331284197.jpg", "331284197")</f>
        <v>331284197</v>
      </c>
      <c r="C7596" s="3" t="str">
        <f>HYPERLINK("http://www.ncbi.nlm.nih.gov/protein/331284197","Tmem200c")</f>
        <v>Tmem200c</v>
      </c>
      <c r="E7596" t="str">
        <f>HYPERLINK("J:\Depot - mpkCCD Fractions\Main Web Page\Web Pages_old\proteomic_fractions_linear_files/Yang_linear_img/331284197.jpg","show blot")</f>
        <v>show blot</v>
      </c>
      <c r="G7596" t="s">
        <v>7354</v>
      </c>
      <c r="I7596" s="6">
        <v>4.0101657490787304</v>
      </c>
      <c r="K7596" s="8"/>
    </row>
    <row r="7597" spans="1:11" ht="15" x14ac:dyDescent="0.25">
      <c r="A7597" s="3" t="str">
        <f>HYPERLINK("proteomic_fractions_linear_files/Yang_linear_img/31982159.jpg", "31982159")</f>
        <v>31982159</v>
      </c>
      <c r="C7597" s="3" t="str">
        <f>HYPERLINK("http://www.ncbi.nlm.nih.gov/protein/31982159","Tmem205")</f>
        <v>Tmem205</v>
      </c>
      <c r="E7597" t="str">
        <f>HYPERLINK("J:\Depot - mpkCCD Fractions\Main Web Page\Web Pages_old\proteomic_fractions_linear_files/Yang_linear_img/31982159.jpg","show blot")</f>
        <v>show blot</v>
      </c>
      <c r="G7597" t="s">
        <v>7355</v>
      </c>
      <c r="I7597" s="6">
        <v>4.083525790790584</v>
      </c>
      <c r="K7597" s="8"/>
    </row>
    <row r="7598" spans="1:11" ht="15" x14ac:dyDescent="0.25">
      <c r="A7598" s="3" t="str">
        <f>HYPERLINK("proteomic_fractions_linear_files/Yang_linear_img/359718989.jpg", "359718989")</f>
        <v>359718989</v>
      </c>
      <c r="C7598" s="3" t="str">
        <f>HYPERLINK("http://www.ncbi.nlm.nih.gov/protein/359718989","Tmem205")</f>
        <v>Tmem205</v>
      </c>
      <c r="E7598" t="str">
        <f>HYPERLINK("J:\Depot - mpkCCD Fractions\Main Web Page\Web Pages_old\proteomic_fractions_linear_files/Yang_linear_img/359718989.jpg","show blot")</f>
        <v>show blot</v>
      </c>
      <c r="G7598" t="s">
        <v>7356</v>
      </c>
      <c r="I7598" s="6">
        <v>4.083525790790584</v>
      </c>
      <c r="K7598" s="8"/>
    </row>
    <row r="7599" spans="1:11" ht="15" x14ac:dyDescent="0.25">
      <c r="A7599" s="3" t="str">
        <f>HYPERLINK("proteomic_fractions_linear_files/Yang_linear_img/13384906.jpg", "13384906")</f>
        <v>13384906</v>
      </c>
      <c r="C7599" s="3" t="str">
        <f>HYPERLINK("http://www.ncbi.nlm.nih.gov/protein/13384906","Tmem208")</f>
        <v>Tmem208</v>
      </c>
      <c r="E7599" t="str">
        <f>HYPERLINK("J:\Depot - mpkCCD Fractions\Main Web Page\Web Pages_old\proteomic_fractions_linear_files/Yang_linear_img/13384906.jpg","show blot")</f>
        <v>show blot</v>
      </c>
      <c r="G7599" t="s">
        <v>7357</v>
      </c>
      <c r="I7599" s="6">
        <v>2.6551329787052085</v>
      </c>
      <c r="K7599" s="8"/>
    </row>
    <row r="7600" spans="1:11" ht="15" x14ac:dyDescent="0.25">
      <c r="A7600" s="3" t="str">
        <f>HYPERLINK("proteomic_fractions_linear_files/Yang_linear_img/31559970.jpg", "31559970")</f>
        <v>31559970</v>
      </c>
      <c r="C7600" s="3" t="str">
        <f>HYPERLINK("http://www.ncbi.nlm.nih.gov/protein/31559970","Tmem214")</f>
        <v>Tmem214</v>
      </c>
      <c r="E7600" t="str">
        <f>HYPERLINK("J:\Depot - mpkCCD Fractions\Main Web Page\Web Pages_old\proteomic_fractions_linear_files/Yang_linear_img/31559970.jpg","show blot")</f>
        <v>show blot</v>
      </c>
      <c r="G7600" t="s">
        <v>7358</v>
      </c>
      <c r="I7600" s="6">
        <v>4.0426561336594018</v>
      </c>
      <c r="K7600" s="8"/>
    </row>
    <row r="7601" spans="1:11" ht="15" x14ac:dyDescent="0.25">
      <c r="A7601" s="3" t="str">
        <f>HYPERLINK("proteomic_fractions_linear_files/Yang_linear_img/213972600.jpg", "213972600")</f>
        <v>213972600</v>
      </c>
      <c r="C7601" s="3" t="str">
        <f>HYPERLINK("http://www.ncbi.nlm.nih.gov/protein/213972600","Tmem230")</f>
        <v>Tmem230</v>
      </c>
      <c r="E7601" t="str">
        <f>HYPERLINK("J:\Depot - mpkCCD Fractions\Main Web Page\Web Pages_old\proteomic_fractions_linear_files/Yang_linear_img/213972600.jpg","show blot")</f>
        <v>show blot</v>
      </c>
      <c r="G7601" t="s">
        <v>7359</v>
      </c>
      <c r="I7601" s="6">
        <v>3.8936615776973236</v>
      </c>
      <c r="K7601" s="8"/>
    </row>
    <row r="7602" spans="1:11" ht="15" x14ac:dyDescent="0.25">
      <c r="A7602" s="3" t="str">
        <f>HYPERLINK("proteomic_fractions_linear_files/Yang_linear_img/75677480.jpg", "75677480")</f>
        <v>75677480</v>
      </c>
      <c r="C7602" s="3" t="str">
        <f>HYPERLINK("http://www.ncbi.nlm.nih.gov/protein/75677480","Tmem231")</f>
        <v>Tmem231</v>
      </c>
      <c r="E7602" t="str">
        <f>HYPERLINK("J:\Depot - mpkCCD Fractions\Main Web Page\Web Pages_old\proteomic_fractions_linear_files/Yang_linear_img/75677480.jpg","show blot")</f>
        <v>show blot</v>
      </c>
      <c r="G7602" t="s">
        <v>7360</v>
      </c>
      <c r="I7602" s="6">
        <v>2.6823799580475907</v>
      </c>
      <c r="K7602" s="8"/>
    </row>
    <row r="7603" spans="1:11" ht="15" x14ac:dyDescent="0.25">
      <c r="A7603" s="3" t="str">
        <f>HYPERLINK("proteomic_fractions_linear_files/Yang_linear_img/395132459;395132466.jpg", "395132459;395132466")</f>
        <v>395132459;395132466</v>
      </c>
      <c r="C7603" s="3" t="str">
        <f>HYPERLINK("http://www.ncbi.nlm.nih.gov/protein/395132459;395132466","Tmem254b")</f>
        <v>Tmem254b</v>
      </c>
      <c r="E7603" t="str">
        <f>HYPERLINK("J:\Depot - mpkCCD Fractions\Main Web Page\Web Pages_old\proteomic_fractions_linear_files/Yang_linear_img/395132459;395132466.jpg","show blot")</f>
        <v>show blot</v>
      </c>
      <c r="G7603" t="s">
        <v>7361</v>
      </c>
      <c r="I7603" s="6">
        <v>5.1266780740449152</v>
      </c>
      <c r="K7603" s="8"/>
    </row>
    <row r="7604" spans="1:11" ht="15" x14ac:dyDescent="0.25">
      <c r="A7604" s="3" t="str">
        <f>HYPERLINK("proteomic_fractions_linear_files/Yang_linear_img/395132457.jpg", "395132457")</f>
        <v>395132457</v>
      </c>
      <c r="C7604" s="3" t="str">
        <f>HYPERLINK("http://www.ncbi.nlm.nih.gov/protein/395132457","Tmem254b")</f>
        <v>Tmem254b</v>
      </c>
      <c r="E7604" t="str">
        <f>HYPERLINK("J:\Depot - mpkCCD Fractions\Main Web Page\Web Pages_old\proteomic_fractions_linear_files/Yang_linear_img/395132457.jpg","show blot")</f>
        <v>show blot</v>
      </c>
      <c r="G7604" t="s">
        <v>7362</v>
      </c>
      <c r="I7604" s="6">
        <v>5.1266780740449152</v>
      </c>
      <c r="K7604" s="8"/>
    </row>
    <row r="7605" spans="1:11" ht="15" x14ac:dyDescent="0.25">
      <c r="A7605" s="3" t="str">
        <f>HYPERLINK("proteomic_fractions_linear_files/Yang_linear_img/395132466.jpg", "395132466")</f>
        <v>395132466</v>
      </c>
      <c r="C7605" s="3" t="str">
        <f>HYPERLINK("http://www.ncbi.nlm.nih.gov/protein/395132466","Tmem254c")</f>
        <v>Tmem254c</v>
      </c>
      <c r="E7605" t="str">
        <f>HYPERLINK("J:\Depot - mpkCCD Fractions\Main Web Page\Web Pages_old\proteomic_fractions_linear_files/Yang_linear_img/395132466.jpg","show blot")</f>
        <v>show blot</v>
      </c>
      <c r="G7605" t="s">
        <v>7363</v>
      </c>
      <c r="I7605" s="6">
        <v>3.477954624008313</v>
      </c>
      <c r="K7605" s="8"/>
    </row>
    <row r="7606" spans="1:11" ht="15" x14ac:dyDescent="0.25">
      <c r="A7606" s="3" t="str">
        <f>HYPERLINK("proteomic_fractions_linear_files/Yang_linear_img/110625730.jpg", "110625730")</f>
        <v>110625730</v>
      </c>
      <c r="C7606" s="3" t="str">
        <f>HYPERLINK("http://www.ncbi.nlm.nih.gov/protein/110625730","Tmem256")</f>
        <v>Tmem256</v>
      </c>
      <c r="E7606" t="str">
        <f>HYPERLINK("J:\Depot - mpkCCD Fractions\Main Web Page\Web Pages_old\proteomic_fractions_linear_files/Yang_linear_img/110625730.jpg","show blot")</f>
        <v>show blot</v>
      </c>
      <c r="G7606" t="s">
        <v>7364</v>
      </c>
      <c r="I7606" s="6">
        <v>3.9541403188991753</v>
      </c>
      <c r="K7606" s="8"/>
    </row>
    <row r="7607" spans="1:11" ht="15" x14ac:dyDescent="0.25">
      <c r="A7607" s="3" t="str">
        <f>HYPERLINK("proteomic_fractions_linear_files/Yang_linear_img/19526900.jpg", "19526900")</f>
        <v>19526900</v>
      </c>
      <c r="C7607" s="3" t="str">
        <f>HYPERLINK("http://www.ncbi.nlm.nih.gov/protein/19526900","Tmem30a")</f>
        <v>Tmem30a</v>
      </c>
      <c r="E7607" t="str">
        <f>HYPERLINK("J:\Depot - mpkCCD Fractions\Main Web Page\Web Pages_old\proteomic_fractions_linear_files/Yang_linear_img/19526900.jpg","show blot")</f>
        <v>show blot</v>
      </c>
      <c r="G7607" t="s">
        <v>7365</v>
      </c>
      <c r="I7607" s="6">
        <v>3.2140875019222688</v>
      </c>
      <c r="K7607" s="8"/>
    </row>
    <row r="7608" spans="1:11" ht="15" x14ac:dyDescent="0.25">
      <c r="A7608" s="3" t="str">
        <f>HYPERLINK("proteomic_fractions_linear_files/Yang_linear_img/22267448.jpg", "22267448")</f>
        <v>22267448</v>
      </c>
      <c r="C7608" s="3" t="str">
        <f>HYPERLINK("http://www.ncbi.nlm.nih.gov/protein/22267448","Tmem33")</f>
        <v>Tmem33</v>
      </c>
      <c r="E7608" t="str">
        <f>HYPERLINK("J:\Depot - mpkCCD Fractions\Main Web Page\Web Pages_old\proteomic_fractions_linear_files/Yang_linear_img/22267448.jpg","show blot")</f>
        <v>show blot</v>
      </c>
      <c r="G7608" t="s">
        <v>7366</v>
      </c>
      <c r="I7608" s="6">
        <v>5.4495683082586179</v>
      </c>
      <c r="K7608" s="8"/>
    </row>
    <row r="7609" spans="1:11" ht="15" x14ac:dyDescent="0.25">
      <c r="A7609" s="3" t="str">
        <f>HYPERLINK("proteomic_fractions_linear_files/Yang_linear_img/68533251.jpg", "68533251")</f>
        <v>68533251</v>
      </c>
      <c r="C7609" s="3" t="str">
        <f>HYPERLINK("http://www.ncbi.nlm.nih.gov/protein/68533251","Tmem33")</f>
        <v>Tmem33</v>
      </c>
      <c r="E7609" t="str">
        <f>HYPERLINK("J:\Depot - mpkCCD Fractions\Main Web Page\Web Pages_old\proteomic_fractions_linear_files/Yang_linear_img/68533251.jpg","show blot")</f>
        <v>show blot</v>
      </c>
      <c r="G7609" t="s">
        <v>7367</v>
      </c>
      <c r="I7609" s="6">
        <v>5.4495683082586179</v>
      </c>
      <c r="K7609" s="8"/>
    </row>
    <row r="7610" spans="1:11" ht="15" x14ac:dyDescent="0.25">
      <c r="A7610" s="3" t="str">
        <f>HYPERLINK("proteomic_fractions_linear_files/Yang_linear_img/85662379.jpg", "85662379")</f>
        <v>85662379</v>
      </c>
      <c r="C7610" s="3" t="str">
        <f>HYPERLINK("http://www.ncbi.nlm.nih.gov/protein/85662379","Tmem41b")</f>
        <v>Tmem41b</v>
      </c>
      <c r="E7610" t="str">
        <f>HYPERLINK("J:\Depot - mpkCCD Fractions\Main Web Page\Web Pages_old\proteomic_fractions_linear_files/Yang_linear_img/85662379.jpg","show blot")</f>
        <v>show blot</v>
      </c>
      <c r="G7610" t="s">
        <v>7368</v>
      </c>
      <c r="I7610" s="6">
        <v>2.6328565839940561</v>
      </c>
      <c r="K7610" s="8"/>
    </row>
    <row r="7611" spans="1:11" ht="15" x14ac:dyDescent="0.25">
      <c r="A7611" s="3" t="str">
        <f>HYPERLINK("proteomic_fractions_linear_files/Yang_linear_img/21311891.jpg", "21311891")</f>
        <v>21311891</v>
      </c>
      <c r="C7611" s="3" t="str">
        <f>HYPERLINK("http://www.ncbi.nlm.nih.gov/protein/21311891","Tmem43")</f>
        <v>Tmem43</v>
      </c>
      <c r="E7611" t="str">
        <f>HYPERLINK("J:\Depot - mpkCCD Fractions\Main Web Page\Web Pages_old\proteomic_fractions_linear_files/Yang_linear_img/21311891.jpg","show blot")</f>
        <v>show blot</v>
      </c>
      <c r="G7611" t="s">
        <v>7369</v>
      </c>
      <c r="I7611" s="6">
        <v>4.2043841820117036</v>
      </c>
      <c r="K7611" s="8"/>
    </row>
    <row r="7612" spans="1:11" ht="15" x14ac:dyDescent="0.25">
      <c r="A7612" s="3" t="str">
        <f>HYPERLINK("proteomic_fractions_linear_files/Yang_linear_img/21450349.jpg", "21450349")</f>
        <v>21450349</v>
      </c>
      <c r="C7612" s="3" t="str">
        <f>HYPERLINK("http://www.ncbi.nlm.nih.gov/protein/21450349","Tmem45b")</f>
        <v>Tmem45b</v>
      </c>
      <c r="E7612" t="str">
        <f>HYPERLINK("J:\Depot - mpkCCD Fractions\Main Web Page\Web Pages_old\proteomic_fractions_linear_files/Yang_linear_img/21450349.jpg","show blot")</f>
        <v>show blot</v>
      </c>
      <c r="G7612" t="s">
        <v>7370</v>
      </c>
      <c r="I7612" s="6">
        <v>3.6919182061412119</v>
      </c>
      <c r="K7612" s="8"/>
    </row>
    <row r="7613" spans="1:11" ht="15" x14ac:dyDescent="0.25">
      <c r="A7613" s="3" t="str">
        <f>HYPERLINK("proteomic_fractions_linear_files/Yang_linear_img/34610239.jpg", "34610239")</f>
        <v>34610239</v>
      </c>
      <c r="C7613" s="3" t="str">
        <f>HYPERLINK("http://www.ncbi.nlm.nih.gov/protein/34610239","Tmem50a")</f>
        <v>Tmem50a</v>
      </c>
      <c r="E7613" t="str">
        <f>HYPERLINK("J:\Depot - mpkCCD Fractions\Main Web Page\Web Pages_old\proteomic_fractions_linear_files/Yang_linear_img/34610239.jpg","show blot")</f>
        <v>show blot</v>
      </c>
      <c r="G7613" t="s">
        <v>7371</v>
      </c>
      <c r="I7613" s="6">
        <v>3.0358761181953691</v>
      </c>
      <c r="K7613" s="8"/>
    </row>
    <row r="7614" spans="1:11" ht="15" x14ac:dyDescent="0.25">
      <c r="A7614" s="3" t="str">
        <f>HYPERLINK("proteomic_fractions_linear_files/Yang_linear_img/21313410.jpg", "21313410")</f>
        <v>21313410</v>
      </c>
      <c r="C7614" s="3" t="str">
        <f>HYPERLINK("http://www.ncbi.nlm.nih.gov/protein/21313410","Tmem50b")</f>
        <v>Tmem50b</v>
      </c>
      <c r="E7614" t="str">
        <f>HYPERLINK("J:\Depot - mpkCCD Fractions\Main Web Page\Web Pages_old\proteomic_fractions_linear_files/Yang_linear_img/21313410.jpg","show blot")</f>
        <v>show blot</v>
      </c>
      <c r="G7614" t="s">
        <v>7372</v>
      </c>
      <c r="I7614" s="6">
        <v>4.5746751586059453</v>
      </c>
      <c r="K7614" s="8"/>
    </row>
    <row r="7615" spans="1:11" ht="15" x14ac:dyDescent="0.25">
      <c r="A7615" s="3" t="str">
        <f>HYPERLINK("proteomic_fractions_linear_files/Yang_linear_img/21312268.jpg", "21312268")</f>
        <v>21312268</v>
      </c>
      <c r="C7615" s="3" t="str">
        <f>HYPERLINK("http://www.ncbi.nlm.nih.gov/protein/21312268","Tmem55a")</f>
        <v>Tmem55a</v>
      </c>
      <c r="E7615" t="str">
        <f>HYPERLINK("J:\Depot - mpkCCD Fractions\Main Web Page\Web Pages_old\proteomic_fractions_linear_files/Yang_linear_img/21312268.jpg","show blot")</f>
        <v>show blot</v>
      </c>
      <c r="G7615" t="s">
        <v>7373</v>
      </c>
      <c r="I7615" s="6">
        <v>4.4529224976006327</v>
      </c>
      <c r="K7615" s="8"/>
    </row>
    <row r="7616" spans="1:11" ht="15" x14ac:dyDescent="0.25">
      <c r="A7616" s="3" t="str">
        <f>HYPERLINK("proteomic_fractions_linear_files/Yang_linear_img/84095197.jpg", "84095197")</f>
        <v>84095197</v>
      </c>
      <c r="C7616" s="3" t="str">
        <f>HYPERLINK("http://www.ncbi.nlm.nih.gov/protein/84095197","Tmem55b")</f>
        <v>Tmem55b</v>
      </c>
      <c r="E7616" t="str">
        <f>HYPERLINK("J:\Depot - mpkCCD Fractions\Main Web Page\Web Pages_old\proteomic_fractions_linear_files/Yang_linear_img/84095197.jpg","show blot")</f>
        <v>show blot</v>
      </c>
      <c r="G7616" t="s">
        <v>7374</v>
      </c>
      <c r="I7616" s="6">
        <v>4.0742788506763326</v>
      </c>
      <c r="K7616" s="8"/>
    </row>
    <row r="7617" spans="1:11" ht="15" x14ac:dyDescent="0.25">
      <c r="A7617" s="3" t="str">
        <f>HYPERLINK("proteomic_fractions_linear_files/Yang_linear_img/227330571.jpg", "227330571")</f>
        <v>227330571</v>
      </c>
      <c r="C7617" s="3" t="str">
        <f>HYPERLINK("http://www.ncbi.nlm.nih.gov/protein/227330571","Tmem59")</f>
        <v>Tmem59</v>
      </c>
      <c r="E7617" t="str">
        <f>HYPERLINK("J:\Depot - mpkCCD Fractions\Main Web Page\Web Pages_old\proteomic_fractions_linear_files/Yang_linear_img/227330571.jpg","show blot")</f>
        <v>show blot</v>
      </c>
      <c r="G7617" t="s">
        <v>7375</v>
      </c>
      <c r="I7617" s="6">
        <v>2.6941262407329787</v>
      </c>
      <c r="K7617" s="8"/>
    </row>
    <row r="7618" spans="1:11" ht="15" x14ac:dyDescent="0.25">
      <c r="A7618" s="3" t="str">
        <f>HYPERLINK("proteomic_fractions_linear_files/Yang_linear_img/21450147.jpg", "21450147")</f>
        <v>21450147</v>
      </c>
      <c r="C7618" s="3" t="str">
        <f>HYPERLINK("http://www.ncbi.nlm.nih.gov/protein/21450147","Tmem63a")</f>
        <v>Tmem63a</v>
      </c>
      <c r="E7618" t="str">
        <f>HYPERLINK("J:\Depot - mpkCCD Fractions\Main Web Page\Web Pages_old\proteomic_fractions_linear_files/Yang_linear_img/21450147.jpg","show blot")</f>
        <v>show blot</v>
      </c>
      <c r="G7618" t="s">
        <v>7376</v>
      </c>
      <c r="I7618" s="6">
        <v>3.6332926336791989</v>
      </c>
      <c r="K7618" s="8"/>
    </row>
    <row r="7619" spans="1:11" ht="15" x14ac:dyDescent="0.25">
      <c r="A7619" s="3" t="str">
        <f>HYPERLINK("proteomic_fractions_linear_files/Yang_linear_img/226342964.jpg", "226342964")</f>
        <v>226342964</v>
      </c>
      <c r="C7619" s="3" t="str">
        <f>HYPERLINK("http://www.ncbi.nlm.nih.gov/protein/226342964","Tmem63b")</f>
        <v>Tmem63b</v>
      </c>
      <c r="E7619" t="str">
        <f>HYPERLINK("J:\Depot - mpkCCD Fractions\Main Web Page\Web Pages_old\proteomic_fractions_linear_files/Yang_linear_img/226342964.jpg","show blot")</f>
        <v>show blot</v>
      </c>
      <c r="G7619" t="s">
        <v>7377</v>
      </c>
      <c r="I7619" s="6">
        <v>0.977964145024658</v>
      </c>
      <c r="K7619" s="8"/>
    </row>
    <row r="7620" spans="1:11" ht="15" x14ac:dyDescent="0.25">
      <c r="A7620" s="3" t="str">
        <f>HYPERLINK("proteomic_fractions_linear_files/Yang_linear_img/70778812.jpg", "70778812")</f>
        <v>70778812</v>
      </c>
      <c r="C7620" s="3" t="str">
        <f>HYPERLINK("http://www.ncbi.nlm.nih.gov/protein/70778812","Tmem65")</f>
        <v>Tmem65</v>
      </c>
      <c r="E7620" t="str">
        <f>HYPERLINK("J:\Depot - mpkCCD Fractions\Main Web Page\Web Pages_old\proteomic_fractions_linear_files/Yang_linear_img/70778812.jpg","show blot")</f>
        <v>show blot</v>
      </c>
      <c r="G7620" t="s">
        <v>7378</v>
      </c>
      <c r="I7620" s="6">
        <v>2.666280339481006</v>
      </c>
      <c r="K7620" s="8"/>
    </row>
    <row r="7621" spans="1:11" ht="15" x14ac:dyDescent="0.25">
      <c r="A7621" s="3" t="str">
        <f>HYPERLINK("proteomic_fractions_linear_files/Yang_linear_img/158631230.jpg", "158631230")</f>
        <v>158631230</v>
      </c>
      <c r="C7621" s="3" t="str">
        <f>HYPERLINK("http://www.ncbi.nlm.nih.gov/protein/158631230","Tmem66")</f>
        <v>Tmem66</v>
      </c>
      <c r="E7621" t="str">
        <f>HYPERLINK("J:\Depot - mpkCCD Fractions\Main Web Page\Web Pages_old\proteomic_fractions_linear_files/Yang_linear_img/158631230.jpg","show blot")</f>
        <v>show blot</v>
      </c>
      <c r="G7621" t="s">
        <v>7379</v>
      </c>
      <c r="I7621" s="6">
        <v>2.9862746491177257</v>
      </c>
      <c r="K7621" s="8"/>
    </row>
    <row r="7622" spans="1:11" ht="15" x14ac:dyDescent="0.25">
      <c r="A7622" s="3" t="str">
        <f>HYPERLINK("proteomic_fractions_linear_files/Yang_linear_img/117647263.jpg", "117647263")</f>
        <v>117647263</v>
      </c>
      <c r="C7622" s="3" t="str">
        <f>HYPERLINK("http://www.ncbi.nlm.nih.gov/protein/117647263","Tmem70")</f>
        <v>Tmem70</v>
      </c>
      <c r="E7622" t="str">
        <f>HYPERLINK("J:\Depot - mpkCCD Fractions\Main Web Page\Web Pages_old\proteomic_fractions_linear_files/Yang_linear_img/117647263.jpg","show blot")</f>
        <v>show blot</v>
      </c>
      <c r="G7622" t="s">
        <v>7380</v>
      </c>
      <c r="I7622" s="6">
        <v>2.2349165753220186</v>
      </c>
      <c r="K7622" s="8"/>
    </row>
    <row r="7623" spans="1:11" ht="15" x14ac:dyDescent="0.25">
      <c r="A7623" s="3" t="str">
        <f>HYPERLINK("proteomic_fractions_linear_files/Yang_linear_img/117647265.jpg", "117647265")</f>
        <v>117647265</v>
      </c>
      <c r="C7623" s="3" t="str">
        <f>HYPERLINK("http://www.ncbi.nlm.nih.gov/protein/117647265","Tmem70")</f>
        <v>Tmem70</v>
      </c>
      <c r="E7623" t="str">
        <f>HYPERLINK("J:\Depot - mpkCCD Fractions\Main Web Page\Web Pages_old\proteomic_fractions_linear_files/Yang_linear_img/117647265.jpg","show blot")</f>
        <v>show blot</v>
      </c>
      <c r="G7623" t="s">
        <v>7381</v>
      </c>
      <c r="I7623" s="6">
        <v>2.2349165753220186</v>
      </c>
      <c r="K7623" s="8"/>
    </row>
    <row r="7624" spans="1:11" ht="15" x14ac:dyDescent="0.25">
      <c r="A7624" s="3" t="str">
        <f>HYPERLINK("proteomic_fractions_linear_files/Yang_linear_img/160333201.jpg", "160333201")</f>
        <v>160333201</v>
      </c>
      <c r="C7624" s="3" t="str">
        <f>HYPERLINK("http://www.ncbi.nlm.nih.gov/protein/160333201","Tmem87a")</f>
        <v>Tmem87a</v>
      </c>
      <c r="E7624" t="str">
        <f>HYPERLINK("J:\Depot - mpkCCD Fractions\Main Web Page\Web Pages_old\proteomic_fractions_linear_files/Yang_linear_img/160333201.jpg","show blot")</f>
        <v>show blot</v>
      </c>
      <c r="G7624" t="s">
        <v>7382</v>
      </c>
      <c r="I7624" s="6">
        <v>3.0577268145290741</v>
      </c>
      <c r="K7624" s="8"/>
    </row>
    <row r="7625" spans="1:11" ht="15" x14ac:dyDescent="0.25">
      <c r="A7625" s="3" t="str">
        <f>HYPERLINK("proteomic_fractions_linear_files/Yang_linear_img/160333204.jpg", "160333204")</f>
        <v>160333204</v>
      </c>
      <c r="C7625" s="3" t="str">
        <f>HYPERLINK("http://www.ncbi.nlm.nih.gov/protein/160333204","Tmem87a")</f>
        <v>Tmem87a</v>
      </c>
      <c r="E7625" t="str">
        <f>HYPERLINK("J:\Depot - mpkCCD Fractions\Main Web Page\Web Pages_old\proteomic_fractions_linear_files/Yang_linear_img/160333204.jpg","show blot")</f>
        <v>show blot</v>
      </c>
      <c r="G7625" t="s">
        <v>7383</v>
      </c>
      <c r="I7625" s="6">
        <v>3.0577268145290741</v>
      </c>
      <c r="K7625" s="8"/>
    </row>
    <row r="7626" spans="1:11" ht="15" x14ac:dyDescent="0.25">
      <c r="A7626" s="3" t="str">
        <f>HYPERLINK("proteomic_fractions_linear_files/Yang_linear_img/160333208.jpg", "160333208")</f>
        <v>160333208</v>
      </c>
      <c r="C7626" s="3" t="str">
        <f>HYPERLINK("http://www.ncbi.nlm.nih.gov/protein/160333208","Tmem87a")</f>
        <v>Tmem87a</v>
      </c>
      <c r="E7626" t="str">
        <f>HYPERLINK("J:\Depot - mpkCCD Fractions\Main Web Page\Web Pages_old\proteomic_fractions_linear_files/Yang_linear_img/160333208.jpg","show blot")</f>
        <v>show blot</v>
      </c>
      <c r="G7626" t="s">
        <v>7384</v>
      </c>
      <c r="I7626" s="6">
        <v>3.0577268145290741</v>
      </c>
      <c r="K7626" s="8"/>
    </row>
    <row r="7627" spans="1:11" ht="15" x14ac:dyDescent="0.25">
      <c r="A7627" s="3" t="str">
        <f>HYPERLINK("proteomic_fractions_linear_files/Yang_linear_img/254553287.jpg", "254553287")</f>
        <v>254553287</v>
      </c>
      <c r="C7627" s="3" t="str">
        <f>HYPERLINK("http://www.ncbi.nlm.nih.gov/protein/254553287","Tmem89")</f>
        <v>Tmem89</v>
      </c>
      <c r="E7627" t="str">
        <f>HYPERLINK("J:\Depot - mpkCCD Fractions\Main Web Page\Web Pages_old\proteomic_fractions_linear_files/Yang_linear_img/254553287.jpg","show blot")</f>
        <v>show blot</v>
      </c>
      <c r="G7627" t="s">
        <v>7385</v>
      </c>
      <c r="I7627" s="6">
        <v>3.8902149583248073</v>
      </c>
      <c r="K7627" s="8"/>
    </row>
    <row r="7628" spans="1:11" ht="15" x14ac:dyDescent="0.25">
      <c r="A7628" s="3" t="str">
        <f>HYPERLINK("proteomic_fractions_linear_files/Yang_linear_img/236466816.jpg", "236466816")</f>
        <v>236466816</v>
      </c>
      <c r="C7628" s="3" t="str">
        <f>HYPERLINK("http://www.ncbi.nlm.nih.gov/protein/236466816","Tmem9")</f>
        <v>Tmem9</v>
      </c>
      <c r="E7628" t="str">
        <f>HYPERLINK("J:\Depot - mpkCCD Fractions\Main Web Page\Web Pages_old\proteomic_fractions_linear_files/Yang_linear_img/236466816.jpg","show blot")</f>
        <v>show blot</v>
      </c>
      <c r="G7628" t="s">
        <v>7386</v>
      </c>
      <c r="I7628" s="6">
        <v>2.4039328772969393</v>
      </c>
      <c r="K7628" s="8"/>
    </row>
    <row r="7629" spans="1:11" ht="15" x14ac:dyDescent="0.25">
      <c r="A7629" s="3" t="str">
        <f>HYPERLINK("proteomic_fractions_linear_files/Yang_linear_img/19526880.jpg", "19526880")</f>
        <v>19526880</v>
      </c>
      <c r="C7629" s="3" t="str">
        <f>HYPERLINK("http://www.ncbi.nlm.nih.gov/protein/19526880","Tmem97")</f>
        <v>Tmem97</v>
      </c>
      <c r="E7629" t="str">
        <f>HYPERLINK("J:\Depot - mpkCCD Fractions\Main Web Page\Web Pages_old\proteomic_fractions_linear_files/Yang_linear_img/19526880.jpg","show blot")</f>
        <v>show blot</v>
      </c>
      <c r="G7629" t="s">
        <v>7387</v>
      </c>
      <c r="I7629" s="6">
        <v>2.6908485309717429</v>
      </c>
      <c r="K7629" s="8"/>
    </row>
    <row r="7630" spans="1:11" ht="15" x14ac:dyDescent="0.25">
      <c r="A7630" s="3" t="str">
        <f>HYPERLINK("proteomic_fractions_linear_files/Yang_linear_img/10092671.jpg", "10092671")</f>
        <v>10092671</v>
      </c>
      <c r="C7630" s="3" t="str">
        <f>HYPERLINK("http://www.ncbi.nlm.nih.gov/protein/10092671","Tmem9b")</f>
        <v>Tmem9b</v>
      </c>
      <c r="E7630" t="str">
        <f>HYPERLINK("J:\Depot - mpkCCD Fractions\Main Web Page\Web Pages_old\proteomic_fractions_linear_files/Yang_linear_img/10092671.jpg","show blot")</f>
        <v>show blot</v>
      </c>
      <c r="G7630" t="s">
        <v>7388</v>
      </c>
      <c r="I7630" s="6">
        <v>3.8320563437118507</v>
      </c>
      <c r="K7630" s="8"/>
    </row>
    <row r="7631" spans="1:11" ht="15" x14ac:dyDescent="0.25">
      <c r="A7631" s="3" t="str">
        <f>HYPERLINK("proteomic_fractions_linear_files/Yang_linear_img/8394460.jpg", "8394460")</f>
        <v>8394460</v>
      </c>
      <c r="C7631" s="3" t="str">
        <f>HYPERLINK("http://www.ncbi.nlm.nih.gov/protein/8394460","Tmod3")</f>
        <v>Tmod3</v>
      </c>
      <c r="E7631" t="str">
        <f>HYPERLINK("J:\Depot - mpkCCD Fractions\Main Web Page\Web Pages_old\proteomic_fractions_linear_files/Yang_linear_img/8394460.jpg","show blot")</f>
        <v>show blot</v>
      </c>
      <c r="G7631" t="s">
        <v>7389</v>
      </c>
      <c r="I7631" s="6">
        <v>5.4570046733953053</v>
      </c>
      <c r="K7631" s="8"/>
    </row>
    <row r="7632" spans="1:11" ht="15" x14ac:dyDescent="0.25">
      <c r="A7632" s="3" t="str">
        <f>HYPERLINK("proteomic_fractions_linear_files/Yang_linear_img/121949760.jpg", "121949760")</f>
        <v>121949760</v>
      </c>
      <c r="C7632" s="3" t="str">
        <f>HYPERLINK("http://www.ncbi.nlm.nih.gov/protein/121949760","Tmpo")</f>
        <v>Tmpo</v>
      </c>
      <c r="E7632" t="str">
        <f>HYPERLINK("J:\Depot - mpkCCD Fractions\Main Web Page\Web Pages_old\proteomic_fractions_linear_files/Yang_linear_img/121949760.jpg","show blot")</f>
        <v>show blot</v>
      </c>
      <c r="G7632" t="s">
        <v>7390</v>
      </c>
      <c r="I7632" s="6">
        <v>6.8878959619582529</v>
      </c>
      <c r="K7632" s="8"/>
    </row>
    <row r="7633" spans="1:11" ht="15" x14ac:dyDescent="0.25">
      <c r="A7633" s="3" t="str">
        <f>HYPERLINK("proteomic_fractions_linear_files/Yang_linear_img/121949763.jpg", "121949763")</f>
        <v>121949763</v>
      </c>
      <c r="C7633" s="3" t="str">
        <f>HYPERLINK("http://www.ncbi.nlm.nih.gov/protein/121949763","Tmpo")</f>
        <v>Tmpo</v>
      </c>
      <c r="E7633" t="str">
        <f>HYPERLINK("J:\Depot - mpkCCD Fractions\Main Web Page\Web Pages_old\proteomic_fractions_linear_files/Yang_linear_img/121949763.jpg","show blot")</f>
        <v>show blot</v>
      </c>
      <c r="G7633" t="s">
        <v>7391</v>
      </c>
      <c r="I7633" s="6">
        <v>6.8878959619582529</v>
      </c>
      <c r="K7633" s="8"/>
    </row>
    <row r="7634" spans="1:11" ht="15" x14ac:dyDescent="0.25">
      <c r="A7634" s="3" t="str">
        <f>HYPERLINK("proteomic_fractions_linear_files/Yang_linear_img/121949765.jpg", "121949765")</f>
        <v>121949765</v>
      </c>
      <c r="C7634" s="3" t="str">
        <f>HYPERLINK("http://www.ncbi.nlm.nih.gov/protein/121949765","Tmpo")</f>
        <v>Tmpo</v>
      </c>
      <c r="E7634" t="str">
        <f>HYPERLINK("J:\Depot - mpkCCD Fractions\Main Web Page\Web Pages_old\proteomic_fractions_linear_files/Yang_linear_img/121949765.jpg","show blot")</f>
        <v>show blot</v>
      </c>
      <c r="G7634" t="s">
        <v>7392</v>
      </c>
      <c r="I7634" s="6">
        <v>6.8878959619582529</v>
      </c>
      <c r="K7634" s="8"/>
    </row>
    <row r="7635" spans="1:11" ht="15" x14ac:dyDescent="0.25">
      <c r="A7635" s="3" t="str">
        <f>HYPERLINK("proteomic_fractions_linear_files/Yang_linear_img/121949767.jpg", "121949767")</f>
        <v>121949767</v>
      </c>
      <c r="C7635" s="3" t="str">
        <f>HYPERLINK("http://www.ncbi.nlm.nih.gov/protein/121949767","Tmpo")</f>
        <v>Tmpo</v>
      </c>
      <c r="E7635" t="str">
        <f>HYPERLINK("J:\Depot - mpkCCD Fractions\Main Web Page\Web Pages_old\proteomic_fractions_linear_files/Yang_linear_img/121949767.jpg","show blot")</f>
        <v>show blot</v>
      </c>
      <c r="G7635" t="s">
        <v>7393</v>
      </c>
      <c r="I7635" s="6">
        <v>6.8878959619582529</v>
      </c>
      <c r="K7635" s="8"/>
    </row>
    <row r="7636" spans="1:11" ht="15" x14ac:dyDescent="0.25">
      <c r="A7636" s="3" t="str">
        <f>HYPERLINK("proteomic_fractions_linear_files/Yang_linear_img/121949769.jpg", "121949769")</f>
        <v>121949769</v>
      </c>
      <c r="C7636" s="3" t="str">
        <f>HYPERLINK("http://www.ncbi.nlm.nih.gov/protein/121949769","Tmpo")</f>
        <v>Tmpo</v>
      </c>
      <c r="E7636" t="str">
        <f>HYPERLINK("J:\Depot - mpkCCD Fractions\Main Web Page\Web Pages_old\proteomic_fractions_linear_files/Yang_linear_img/121949769.jpg","show blot")</f>
        <v>show blot</v>
      </c>
      <c r="G7636" t="s">
        <v>7394</v>
      </c>
      <c r="I7636" s="6">
        <v>6.8878959619582529</v>
      </c>
      <c r="K7636" s="8"/>
    </row>
    <row r="7637" spans="1:11" ht="15" x14ac:dyDescent="0.25">
      <c r="A7637" s="3" t="str">
        <f>HYPERLINK("proteomic_fractions_linear_files/Yang_linear_img/121949779.jpg", "121949779")</f>
        <v>121949779</v>
      </c>
      <c r="C7637" s="3" t="str">
        <f>HYPERLINK("http://www.ncbi.nlm.nih.gov/protein/121949779","Tmpo")</f>
        <v>Tmpo</v>
      </c>
      <c r="E7637" t="str">
        <f>HYPERLINK("J:\Depot - mpkCCD Fractions\Main Web Page\Web Pages_old\proteomic_fractions_linear_files/Yang_linear_img/121949779.jpg","show blot")</f>
        <v>show blot</v>
      </c>
      <c r="G7637" t="s">
        <v>7395</v>
      </c>
      <c r="I7637" s="6">
        <v>6.8878959619582529</v>
      </c>
      <c r="K7637" s="8"/>
    </row>
    <row r="7638" spans="1:11" ht="15" x14ac:dyDescent="0.25">
      <c r="A7638" s="3" t="str">
        <f>HYPERLINK("proteomic_fractions_linear_files/Yang_linear_img/317008614.jpg", "317008614")</f>
        <v>317008614</v>
      </c>
      <c r="C7638" s="3" t="str">
        <f>HYPERLINK("http://www.ncbi.nlm.nih.gov/protein/317008614","Tmppe")</f>
        <v>Tmppe</v>
      </c>
      <c r="E7638" t="str">
        <f>HYPERLINK("J:\Depot - mpkCCD Fractions\Main Web Page\Web Pages_old\proteomic_fractions_linear_files/Yang_linear_img/317008614.jpg","show blot")</f>
        <v>show blot</v>
      </c>
      <c r="G7638" t="s">
        <v>7396</v>
      </c>
      <c r="I7638" s="6">
        <v>2.4604682735010472</v>
      </c>
      <c r="K7638" s="8"/>
    </row>
    <row r="7639" spans="1:11" ht="15" x14ac:dyDescent="0.25">
      <c r="A7639" s="3" t="str">
        <f>HYPERLINK("proteomic_fractions_linear_files/Yang_linear_img/148747219.jpg", "148747219")</f>
        <v>148747219</v>
      </c>
      <c r="C7639" s="3" t="str">
        <f>HYPERLINK("http://www.ncbi.nlm.nih.gov/protein/148747219","Tmprss11bnl")</f>
        <v>Tmprss11bnl</v>
      </c>
      <c r="E7639" t="str">
        <f>HYPERLINK("J:\Depot - mpkCCD Fractions\Main Web Page\Web Pages_old\proteomic_fractions_linear_files/Yang_linear_img/148747219.jpg","show blot")</f>
        <v>show blot</v>
      </c>
      <c r="G7639" t="s">
        <v>7397</v>
      </c>
      <c r="I7639" s="6">
        <v>5.2196565152342158</v>
      </c>
      <c r="K7639" s="8"/>
    </row>
    <row r="7640" spans="1:11" ht="15" x14ac:dyDescent="0.25">
      <c r="A7640" s="3" t="str">
        <f>HYPERLINK("proteomic_fractions_linear_files/Yang_linear_img/188536038.jpg", "188536038")</f>
        <v>188536038</v>
      </c>
      <c r="C7640" s="3" t="str">
        <f>HYPERLINK("http://www.ncbi.nlm.nih.gov/protein/188536038","Tmprss11g")</f>
        <v>Tmprss11g</v>
      </c>
      <c r="E7640" t="str">
        <f>HYPERLINK("J:\Depot - mpkCCD Fractions\Main Web Page\Web Pages_old\proteomic_fractions_linear_files/Yang_linear_img/188536038.jpg","show blot")</f>
        <v>show blot</v>
      </c>
      <c r="G7640" t="s">
        <v>7398</v>
      </c>
      <c r="I7640" s="6">
        <v>3.5790627693971961</v>
      </c>
      <c r="K7640" s="8"/>
    </row>
    <row r="7641" spans="1:11" ht="15" x14ac:dyDescent="0.25">
      <c r="A7641" s="3" t="str">
        <f>HYPERLINK("proteomic_fractions_linear_files/Yang_linear_img/34328226.jpg", "34328226")</f>
        <v>34328226</v>
      </c>
      <c r="C7641" s="3" t="str">
        <f>HYPERLINK("http://www.ncbi.nlm.nih.gov/protein/34328226","Tmprss2")</f>
        <v>Tmprss2</v>
      </c>
      <c r="E7641" t="str">
        <f>HYPERLINK("J:\Depot - mpkCCD Fractions\Main Web Page\Web Pages_old\proteomic_fractions_linear_files/Yang_linear_img/34328226.jpg","show blot")</f>
        <v>show blot</v>
      </c>
      <c r="G7641" t="s">
        <v>7399</v>
      </c>
      <c r="I7641" s="6">
        <v>3.4673954972962417</v>
      </c>
      <c r="K7641" s="8"/>
    </row>
    <row r="7642" spans="1:11" ht="15" x14ac:dyDescent="0.25">
      <c r="A7642" s="3" t="str">
        <f>HYPERLINK("proteomic_fractions_linear_files/Yang_linear_img/21703806.jpg", "21703806")</f>
        <v>21703806</v>
      </c>
      <c r="C7642" s="3" t="str">
        <f>HYPERLINK("http://www.ncbi.nlm.nih.gov/protein/21703806","Tmprss4")</f>
        <v>Tmprss4</v>
      </c>
      <c r="E7642" t="str">
        <f>HYPERLINK("J:\Depot - mpkCCD Fractions\Main Web Page\Web Pages_old\proteomic_fractions_linear_files/Yang_linear_img/21703806.jpg","show blot")</f>
        <v>show blot</v>
      </c>
      <c r="G7642" t="s">
        <v>7400</v>
      </c>
      <c r="I7642" s="6">
        <v>2.8398923931450755</v>
      </c>
      <c r="K7642" s="8"/>
    </row>
    <row r="7643" spans="1:11" ht="15" x14ac:dyDescent="0.25">
      <c r="A7643" s="3" t="str">
        <f>HYPERLINK("proteomic_fractions_linear_files/Yang_linear_img/126517491.jpg", "126517491")</f>
        <v>126517491</v>
      </c>
      <c r="C7643" s="3" t="str">
        <f>HYPERLINK("http://www.ncbi.nlm.nih.gov/protein/126517491","Tmsb15b1")</f>
        <v>Tmsb15b1</v>
      </c>
      <c r="E7643" t="str">
        <f>HYPERLINK("J:\Depot - mpkCCD Fractions\Main Web Page\Web Pages_old\proteomic_fractions_linear_files/Yang_linear_img/126517491.jpg","show blot")</f>
        <v>show blot</v>
      </c>
      <c r="G7643" t="s">
        <v>7401</v>
      </c>
      <c r="I7643" s="6">
        <v>4.9683089955579032</v>
      </c>
      <c r="K7643" s="8"/>
    </row>
    <row r="7644" spans="1:11" ht="15" x14ac:dyDescent="0.25">
      <c r="A7644" s="3" t="str">
        <f>HYPERLINK("proteomic_fractions_linear_files/Yang_linear_img/124378056.jpg", "124378056")</f>
        <v>124378056</v>
      </c>
      <c r="C7644" s="3" t="str">
        <f>HYPERLINK("http://www.ncbi.nlm.nih.gov/protein/124378056","Tmsb15b2")</f>
        <v>Tmsb15b2</v>
      </c>
      <c r="E7644" t="str">
        <f>HYPERLINK("J:\Depot - mpkCCD Fractions\Main Web Page\Web Pages_old\proteomic_fractions_linear_files/Yang_linear_img/124378056.jpg","show blot")</f>
        <v>show blot</v>
      </c>
      <c r="G7644" t="s">
        <v>7401</v>
      </c>
      <c r="I7644" s="6">
        <v>4.7963148846432668</v>
      </c>
      <c r="K7644" s="8"/>
    </row>
    <row r="7645" spans="1:11" ht="15" x14ac:dyDescent="0.25">
      <c r="A7645" s="3" t="str">
        <f>HYPERLINK("proteomic_fractions_linear_files/Yang_linear_img/46402291.jpg", "46402291")</f>
        <v>46402291</v>
      </c>
      <c r="C7645" s="3" t="str">
        <f>HYPERLINK("http://www.ncbi.nlm.nih.gov/protein/46402291","Tmsb15l")</f>
        <v>Tmsb15l</v>
      </c>
      <c r="E7645" t="str">
        <f>HYPERLINK("J:\Depot - mpkCCD Fractions\Main Web Page\Web Pages_old\proteomic_fractions_linear_files/Yang_linear_img/46402291.jpg","show blot")</f>
        <v>show blot</v>
      </c>
      <c r="G7645" t="s">
        <v>7402</v>
      </c>
      <c r="I7645" s="6">
        <v>4.5410423795399613</v>
      </c>
      <c r="K7645" s="8"/>
    </row>
    <row r="7646" spans="1:11" ht="15" x14ac:dyDescent="0.25">
      <c r="A7646" s="3" t="str">
        <f>HYPERLINK("proteomic_fractions_linear_files/Yang_linear_img/10946578.jpg", "10946578")</f>
        <v>10946578</v>
      </c>
      <c r="C7646" s="3" t="str">
        <f>HYPERLINK("http://www.ncbi.nlm.nih.gov/protein/10946578","Tmsb4x")</f>
        <v>Tmsb4x</v>
      </c>
      <c r="E7646" t="str">
        <f>HYPERLINK("J:\Depot - mpkCCD Fractions\Main Web Page\Web Pages_old\proteomic_fractions_linear_files/Yang_linear_img/10946578.jpg","show blot")</f>
        <v>show blot</v>
      </c>
      <c r="G7646" t="s">
        <v>7403</v>
      </c>
      <c r="I7646" s="6">
        <v>4.6507404366393459</v>
      </c>
      <c r="K7646" s="8"/>
    </row>
    <row r="7647" spans="1:11" ht="15" x14ac:dyDescent="0.25">
      <c r="A7647" s="3" t="str">
        <f>HYPERLINK("proteomic_fractions_linear_files/Yang_linear_img/75677476.jpg", "75677476")</f>
        <v>75677476</v>
      </c>
      <c r="C7647" s="3" t="str">
        <f>HYPERLINK("http://www.ncbi.nlm.nih.gov/protein/75677476","Tmtc3")</f>
        <v>Tmtc3</v>
      </c>
      <c r="E7647" t="str">
        <f>HYPERLINK("J:\Depot - mpkCCD Fractions\Main Web Page\Web Pages_old\proteomic_fractions_linear_files/Yang_linear_img/75677476.jpg","show blot")</f>
        <v>show blot</v>
      </c>
      <c r="G7647" t="s">
        <v>7404</v>
      </c>
      <c r="I7647" s="6">
        <v>4.1535767345033898</v>
      </c>
      <c r="K7647" s="8"/>
    </row>
    <row r="7648" spans="1:11" ht="15" x14ac:dyDescent="0.25">
      <c r="A7648" s="3" t="str">
        <f>HYPERLINK("proteomic_fractions_linear_files/Yang_linear_img/158517929.jpg", "158517929")</f>
        <v>158517929</v>
      </c>
      <c r="C7648" s="3" t="str">
        <f>HYPERLINK("http://www.ncbi.nlm.nih.gov/protein/158517929","Tmtc3")</f>
        <v>Tmtc3</v>
      </c>
      <c r="E7648" t="str">
        <f>HYPERLINK("J:\Depot - mpkCCD Fractions\Main Web Page\Web Pages_old\proteomic_fractions_linear_files/Yang_linear_img/158517929.jpg","show blot")</f>
        <v>show blot</v>
      </c>
      <c r="G7648" t="s">
        <v>7405</v>
      </c>
      <c r="I7648" s="6">
        <v>4.1535767345033898</v>
      </c>
      <c r="K7648" s="8"/>
    </row>
    <row r="7649" spans="1:11" ht="15" x14ac:dyDescent="0.25">
      <c r="A7649" s="3" t="str">
        <f>HYPERLINK("proteomic_fractions_linear_files/Yang_linear_img/11967945.jpg", "11967945")</f>
        <v>11967945</v>
      </c>
      <c r="C7649" s="3" t="str">
        <f>HYPERLINK("http://www.ncbi.nlm.nih.gov/protein/11967945","Tmub1")</f>
        <v>Tmub1</v>
      </c>
      <c r="E7649" t="str">
        <f>HYPERLINK("J:\Depot - mpkCCD Fractions\Main Web Page\Web Pages_old\proteomic_fractions_linear_files/Yang_linear_img/11967945.jpg","show blot")</f>
        <v>show blot</v>
      </c>
      <c r="G7649" t="s">
        <v>7406</v>
      </c>
      <c r="I7649" s="6">
        <v>2.5950680231046563</v>
      </c>
      <c r="K7649" s="8"/>
    </row>
    <row r="7650" spans="1:11" ht="15" x14ac:dyDescent="0.25">
      <c r="A7650" s="3" t="str">
        <f>HYPERLINK("proteomic_fractions_linear_files/Yang_linear_img/33859722.jpg", "33859722")</f>
        <v>33859722</v>
      </c>
      <c r="C7650" s="3" t="str">
        <f>HYPERLINK("http://www.ncbi.nlm.nih.gov/protein/33859722","Tmx1")</f>
        <v>Tmx1</v>
      </c>
      <c r="E7650" t="str">
        <f>HYPERLINK("J:\Depot - mpkCCD Fractions\Main Web Page\Web Pages_old\proteomic_fractions_linear_files/Yang_linear_img/33859722.jpg","show blot")</f>
        <v>show blot</v>
      </c>
      <c r="G7650" t="s">
        <v>7407</v>
      </c>
      <c r="I7650" s="6">
        <v>5.9248685151721299</v>
      </c>
      <c r="K7650" s="8"/>
    </row>
    <row r="7651" spans="1:11" ht="15" x14ac:dyDescent="0.25">
      <c r="A7651" s="3" t="str">
        <f>HYPERLINK("proteomic_fractions_linear_files/Yang_linear_img/21313210.jpg", "21313210")</f>
        <v>21313210</v>
      </c>
      <c r="C7651" s="3" t="str">
        <f>HYPERLINK("http://www.ncbi.nlm.nih.gov/protein/21313210","Tmx2")</f>
        <v>Tmx2</v>
      </c>
      <c r="E7651" t="str">
        <f>HYPERLINK("J:\Depot - mpkCCD Fractions\Main Web Page\Web Pages_old\proteomic_fractions_linear_files/Yang_linear_img/21313210.jpg","show blot")</f>
        <v>show blot</v>
      </c>
      <c r="G7651" t="s">
        <v>7408</v>
      </c>
      <c r="I7651" s="6">
        <v>4.3295938424627831</v>
      </c>
      <c r="K7651" s="8"/>
    </row>
    <row r="7652" spans="1:11" ht="15" x14ac:dyDescent="0.25">
      <c r="A7652" s="3" t="str">
        <f>HYPERLINK("proteomic_fractions_linear_files/Yang_linear_img/117606385.jpg", "117606385")</f>
        <v>117606385</v>
      </c>
      <c r="C7652" s="3" t="str">
        <f>HYPERLINK("http://www.ncbi.nlm.nih.gov/protein/117606385","Tmx3")</f>
        <v>Tmx3</v>
      </c>
      <c r="E7652" t="str">
        <f>HYPERLINK("J:\Depot - mpkCCD Fractions\Main Web Page\Web Pages_old\proteomic_fractions_linear_files/Yang_linear_img/117606385.jpg","show blot")</f>
        <v>show blot</v>
      </c>
      <c r="G7652" t="s">
        <v>7409</v>
      </c>
      <c r="I7652" s="6">
        <v>3.84620956124721</v>
      </c>
      <c r="K7652" s="8"/>
    </row>
    <row r="7653" spans="1:11" ht="15" x14ac:dyDescent="0.25">
      <c r="A7653" s="3" t="str">
        <f>HYPERLINK("proteomic_fractions_linear_files/Yang_linear_img/112817607.jpg", "112817607")</f>
        <v>112817607</v>
      </c>
      <c r="C7653" s="3" t="str">
        <f>HYPERLINK("http://www.ncbi.nlm.nih.gov/protein/112817607","Tmx4")</f>
        <v>Tmx4</v>
      </c>
      <c r="E7653" t="str">
        <f>HYPERLINK("J:\Depot - mpkCCD Fractions\Main Web Page\Web Pages_old\proteomic_fractions_linear_files/Yang_linear_img/112817607.jpg","show blot")</f>
        <v>show blot</v>
      </c>
      <c r="G7653" t="s">
        <v>7410</v>
      </c>
      <c r="I7653" s="6">
        <v>4.1038366413838334</v>
      </c>
      <c r="K7653" s="8"/>
    </row>
    <row r="7654" spans="1:11" ht="15" x14ac:dyDescent="0.25">
      <c r="A7654" s="3" t="str">
        <f>HYPERLINK("proteomic_fractions_linear_files/Yang_linear_img/194394239.jpg", "194394239")</f>
        <v>194394239</v>
      </c>
      <c r="C7654" s="3" t="str">
        <f>HYPERLINK("http://www.ncbi.nlm.nih.gov/protein/194394239","Tnfaip2")</f>
        <v>Tnfaip2</v>
      </c>
      <c r="E7654" t="str">
        <f>HYPERLINK("J:\Depot - mpkCCD Fractions\Main Web Page\Web Pages_old\proteomic_fractions_linear_files/Yang_linear_img/194394239.jpg","show blot")</f>
        <v>show blot</v>
      </c>
      <c r="G7654" t="s">
        <v>7411</v>
      </c>
      <c r="I7654" s="6">
        <v>1.540714402342688</v>
      </c>
      <c r="K7654" s="8"/>
    </row>
    <row r="7655" spans="1:11" ht="15" x14ac:dyDescent="0.25">
      <c r="A7655" s="3" t="str">
        <f>HYPERLINK("proteomic_fractions_linear_files/Yang_linear_img/295444879.jpg", "295444879")</f>
        <v>295444879</v>
      </c>
      <c r="C7655" s="3" t="str">
        <f>HYPERLINK("http://www.ncbi.nlm.nih.gov/protein/295444879","Tnfaip8")</f>
        <v>Tnfaip8</v>
      </c>
      <c r="E7655" t="str">
        <f>HYPERLINK("J:\Depot - mpkCCD Fractions\Main Web Page\Web Pages_old\proteomic_fractions_linear_files/Yang_linear_img/295444879.jpg","show blot")</f>
        <v>show blot</v>
      </c>
      <c r="G7655" t="s">
        <v>7412</v>
      </c>
      <c r="I7655" s="6">
        <v>5.5922986188726655</v>
      </c>
      <c r="K7655" s="8"/>
    </row>
    <row r="7656" spans="1:11" ht="15" x14ac:dyDescent="0.25">
      <c r="A7656" s="3" t="str">
        <f>HYPERLINK("proteomic_fractions_linear_files/Yang_linear_img/295444881.jpg", "295444881")</f>
        <v>295444881</v>
      </c>
      <c r="C7656" s="3" t="str">
        <f>HYPERLINK("http://www.ncbi.nlm.nih.gov/protein/295444881","Tnfaip8")</f>
        <v>Tnfaip8</v>
      </c>
      <c r="E7656" t="str">
        <f>HYPERLINK("J:\Depot - mpkCCD Fractions\Main Web Page\Web Pages_old\proteomic_fractions_linear_files/Yang_linear_img/295444881.jpg","show blot")</f>
        <v>show blot</v>
      </c>
      <c r="G7656" t="s">
        <v>7413</v>
      </c>
      <c r="I7656" s="6">
        <v>5.5922986188726655</v>
      </c>
      <c r="K7656" s="8"/>
    </row>
    <row r="7657" spans="1:11" ht="15" x14ac:dyDescent="0.25">
      <c r="A7657" s="3" t="str">
        <f>HYPERLINK("proteomic_fractions_linear_files/Yang_linear_img/295444883.jpg", "295444883")</f>
        <v>295444883</v>
      </c>
      <c r="C7657" s="3" t="str">
        <f>HYPERLINK("http://www.ncbi.nlm.nih.gov/protein/295444883","Tnfaip8")</f>
        <v>Tnfaip8</v>
      </c>
      <c r="E7657" t="str">
        <f>HYPERLINK("J:\Depot - mpkCCD Fractions\Main Web Page\Web Pages_old\proteomic_fractions_linear_files/Yang_linear_img/295444883.jpg","show blot")</f>
        <v>show blot</v>
      </c>
      <c r="G7657" t="s">
        <v>7414</v>
      </c>
      <c r="I7657" s="6">
        <v>5.5922986188726655</v>
      </c>
      <c r="K7657" s="8"/>
    </row>
    <row r="7658" spans="1:11" ht="15" x14ac:dyDescent="0.25">
      <c r="A7658" s="3" t="str">
        <f>HYPERLINK("proteomic_fractions_linear_files/Yang_linear_img/31560244.jpg", "31560244")</f>
        <v>31560244</v>
      </c>
      <c r="C7658" s="3" t="str">
        <f>HYPERLINK("http://www.ncbi.nlm.nih.gov/protein/31560244","Tnfaip8l1")</f>
        <v>Tnfaip8l1</v>
      </c>
      <c r="E7658" t="str">
        <f>HYPERLINK("J:\Depot - mpkCCD Fractions\Main Web Page\Web Pages_old\proteomic_fractions_linear_files/Yang_linear_img/31560244.jpg","show blot")</f>
        <v>show blot</v>
      </c>
      <c r="G7658" t="s">
        <v>7415</v>
      </c>
      <c r="I7658" s="6">
        <v>3.3354202120289216</v>
      </c>
      <c r="K7658" s="8"/>
    </row>
    <row r="7659" spans="1:11" ht="15" x14ac:dyDescent="0.25">
      <c r="A7659" s="3" t="str">
        <f>HYPERLINK("proteomic_fractions_linear_files/Yang_linear_img/244792359.jpg", "244792359")</f>
        <v>244792359</v>
      </c>
      <c r="C7659" s="3" t="str">
        <f>HYPERLINK("http://www.ncbi.nlm.nih.gov/protein/244792359","Tnik")</f>
        <v>Tnik</v>
      </c>
      <c r="E7659" t="str">
        <f>HYPERLINK("J:\Depot - mpkCCD Fractions\Main Web Page\Web Pages_old\proteomic_fractions_linear_files/Yang_linear_img/244792359.jpg","show blot")</f>
        <v>show blot</v>
      </c>
      <c r="G7659" t="s">
        <v>7416</v>
      </c>
      <c r="I7659" s="6">
        <v>2.5303619411518357</v>
      </c>
      <c r="K7659" s="8"/>
    </row>
    <row r="7660" spans="1:11" ht="15" x14ac:dyDescent="0.25">
      <c r="A7660" s="3" t="str">
        <f>HYPERLINK("proteomic_fractions_linear_files/Yang_linear_img/244792600.jpg", "244792600")</f>
        <v>244792600</v>
      </c>
      <c r="C7660" s="3" t="str">
        <f>HYPERLINK("http://www.ncbi.nlm.nih.gov/protein/244792600","Tnik")</f>
        <v>Tnik</v>
      </c>
      <c r="E7660" t="str">
        <f>HYPERLINK("J:\Depot - mpkCCD Fractions\Main Web Page\Web Pages_old\proteomic_fractions_linear_files/Yang_linear_img/244792600.jpg","show blot")</f>
        <v>show blot</v>
      </c>
      <c r="G7660" t="s">
        <v>7417</v>
      </c>
      <c r="I7660" s="6">
        <v>2.5303619411518357</v>
      </c>
      <c r="K7660" s="8"/>
    </row>
    <row r="7661" spans="1:11" ht="15" x14ac:dyDescent="0.25">
      <c r="A7661" s="3" t="str">
        <f>HYPERLINK("proteomic_fractions_linear_files/Yang_linear_img/244792613.jpg", "244792613")</f>
        <v>244792613</v>
      </c>
      <c r="C7661" s="3" t="str">
        <f>HYPERLINK("http://www.ncbi.nlm.nih.gov/protein/244792613","Tnik")</f>
        <v>Tnik</v>
      </c>
      <c r="E7661" t="str">
        <f>HYPERLINK("J:\Depot - mpkCCD Fractions\Main Web Page\Web Pages_old\proteomic_fractions_linear_files/Yang_linear_img/244792613.jpg","show blot")</f>
        <v>show blot</v>
      </c>
      <c r="G7661" t="s">
        <v>7418</v>
      </c>
      <c r="I7661" s="6">
        <v>2.5303619411518357</v>
      </c>
      <c r="K7661" s="8"/>
    </row>
    <row r="7662" spans="1:11" ht="15" x14ac:dyDescent="0.25">
      <c r="A7662" s="3" t="str">
        <f>HYPERLINK("proteomic_fractions_linear_files/Yang_linear_img/244792650.jpg", "244792650")</f>
        <v>244792650</v>
      </c>
      <c r="C7662" s="3" t="str">
        <f>HYPERLINK("http://www.ncbi.nlm.nih.gov/protein/244792650","Tnik")</f>
        <v>Tnik</v>
      </c>
      <c r="E7662" t="str">
        <f>HYPERLINK("J:\Depot - mpkCCD Fractions\Main Web Page\Web Pages_old\proteomic_fractions_linear_files/Yang_linear_img/244792650.jpg","show blot")</f>
        <v>show blot</v>
      </c>
      <c r="G7662" t="s">
        <v>7419</v>
      </c>
      <c r="I7662" s="6">
        <v>2.5303619411518357</v>
      </c>
      <c r="K7662" s="8"/>
    </row>
    <row r="7663" spans="1:11" ht="15" x14ac:dyDescent="0.25">
      <c r="A7663" s="3" t="str">
        <f>HYPERLINK("proteomic_fractions_linear_files/Yang_linear_img/254939617.jpg", "254939617")</f>
        <v>254939617</v>
      </c>
      <c r="C7663" s="3" t="str">
        <f>HYPERLINK("http://www.ncbi.nlm.nih.gov/protein/254939617","Tnip1")</f>
        <v>Tnip1</v>
      </c>
      <c r="E7663" t="str">
        <f>HYPERLINK("J:\Depot - mpkCCD Fractions\Main Web Page\Web Pages_old\proteomic_fractions_linear_files/Yang_linear_img/254939617.jpg","show blot")</f>
        <v>show blot</v>
      </c>
      <c r="G7663" t="s">
        <v>7420</v>
      </c>
      <c r="I7663" s="6">
        <v>3.8670635108145031</v>
      </c>
      <c r="K7663" s="8"/>
    </row>
    <row r="7664" spans="1:11" ht="15" x14ac:dyDescent="0.25">
      <c r="A7664" s="3" t="str">
        <f>HYPERLINK("proteomic_fractions_linear_files/Yang_linear_img/407027872;313103031.jpg", "407027872;313103031")</f>
        <v>407027872;313103031</v>
      </c>
      <c r="C7664" s="3" t="str">
        <f>HYPERLINK("http://www.ncbi.nlm.nih.gov/protein/407027872;313103031","Tnip1")</f>
        <v>Tnip1</v>
      </c>
      <c r="E7664" t="str">
        <f>HYPERLINK("J:\Depot - mpkCCD Fractions\Main Web Page\Web Pages_old\proteomic_fractions_linear_files/Yang_linear_img/407027872;313103031.jpg","show blot")</f>
        <v>show blot</v>
      </c>
      <c r="G7664" t="s">
        <v>7421</v>
      </c>
      <c r="I7664" s="6">
        <v>3.8670635108145031</v>
      </c>
      <c r="K7664" s="8"/>
    </row>
    <row r="7665" spans="1:11" ht="15" x14ac:dyDescent="0.25">
      <c r="A7665" s="3" t="str">
        <f>HYPERLINK("proteomic_fractions_linear_files/Yang_linear_img/407027874.jpg", "407027874")</f>
        <v>407027874</v>
      </c>
      <c r="C7665" s="3" t="str">
        <f>HYPERLINK("http://www.ncbi.nlm.nih.gov/protein/407027874","Tnip1")</f>
        <v>Tnip1</v>
      </c>
      <c r="E7665" t="str">
        <f>HYPERLINK("J:\Depot - mpkCCD Fractions\Main Web Page\Web Pages_old\proteomic_fractions_linear_files/Yang_linear_img/407027874.jpg","show blot")</f>
        <v>show blot</v>
      </c>
      <c r="G7665" t="s">
        <v>7422</v>
      </c>
      <c r="I7665" s="6">
        <v>3.8670635108145031</v>
      </c>
      <c r="K7665" s="8"/>
    </row>
    <row r="7666" spans="1:11" ht="15" x14ac:dyDescent="0.25">
      <c r="A7666" s="3" t="str">
        <f>HYPERLINK("proteomic_fractions_linear_files/Yang_linear_img/124486923.jpg", "124486923")</f>
        <v>124486923</v>
      </c>
      <c r="C7666" s="3" t="str">
        <f>HYPERLINK("http://www.ncbi.nlm.nih.gov/protein/124486923","Tnks1bp1")</f>
        <v>Tnks1bp1</v>
      </c>
      <c r="E7666" t="str">
        <f>HYPERLINK("J:\Depot - mpkCCD Fractions\Main Web Page\Web Pages_old\proteomic_fractions_linear_files/Yang_linear_img/124486923.jpg","show blot")</f>
        <v>show blot</v>
      </c>
      <c r="G7666" t="s">
        <v>7423</v>
      </c>
      <c r="I7666" s="6">
        <v>4.3897783704222597</v>
      </c>
      <c r="K7666" s="8"/>
    </row>
    <row r="7667" spans="1:11" ht="15" x14ac:dyDescent="0.25">
      <c r="A7667" s="3" t="str">
        <f>HYPERLINK("proteomic_fractions_linear_files/Yang_linear_img/6678391.jpg", "6678391")</f>
        <v>6678391</v>
      </c>
      <c r="C7667" s="3" t="str">
        <f>HYPERLINK("http://www.ncbi.nlm.nih.gov/protein/6678391","Tnni2")</f>
        <v>Tnni2</v>
      </c>
      <c r="E7667" t="str">
        <f>HYPERLINK("J:\Depot - mpkCCD Fractions\Main Web Page\Web Pages_old\proteomic_fractions_linear_files/Yang_linear_img/6678391.jpg","show blot")</f>
        <v>show blot</v>
      </c>
      <c r="G7667" t="s">
        <v>7424</v>
      </c>
      <c r="I7667" s="6">
        <v>4.3608116760167936</v>
      </c>
      <c r="K7667" s="8"/>
    </row>
    <row r="7668" spans="1:11" ht="15" x14ac:dyDescent="0.25">
      <c r="A7668" s="3" t="str">
        <f>HYPERLINK("proteomic_fractions_linear_files/Yang_linear_img/115385966.jpg", "115385966")</f>
        <v>115385966</v>
      </c>
      <c r="C7668" s="3" t="str">
        <f>HYPERLINK("http://www.ncbi.nlm.nih.gov/protein/115385966","Tnpo1")</f>
        <v>Tnpo1</v>
      </c>
      <c r="E7668" t="str">
        <f>HYPERLINK("J:\Depot - mpkCCD Fractions\Main Web Page\Web Pages_old\proteomic_fractions_linear_files/Yang_linear_img/115385966.jpg","show blot")</f>
        <v>show blot</v>
      </c>
      <c r="G7668" t="s">
        <v>7425</v>
      </c>
      <c r="I7668" s="6">
        <v>5.0950386723585721</v>
      </c>
      <c r="K7668" s="8"/>
    </row>
    <row r="7669" spans="1:11" ht="15" x14ac:dyDescent="0.25">
      <c r="A7669" s="3" t="str">
        <f>HYPERLINK("proteomic_fractions_linear_files/Yang_linear_img/115385968.jpg", "115385968")</f>
        <v>115385968</v>
      </c>
      <c r="C7669" s="3" t="str">
        <f>HYPERLINK("http://www.ncbi.nlm.nih.gov/protein/115385968","Tnpo1")</f>
        <v>Tnpo1</v>
      </c>
      <c r="E7669" t="str">
        <f>HYPERLINK("J:\Depot - mpkCCD Fractions\Main Web Page\Web Pages_old\proteomic_fractions_linear_files/Yang_linear_img/115385968.jpg","show blot")</f>
        <v>show blot</v>
      </c>
      <c r="G7669" t="s">
        <v>7426</v>
      </c>
      <c r="I7669" s="6">
        <v>5.0950386723585721</v>
      </c>
      <c r="K7669" s="8"/>
    </row>
    <row r="7670" spans="1:11" ht="15" x14ac:dyDescent="0.25">
      <c r="A7670" s="3" t="str">
        <f>HYPERLINK("proteomic_fractions_linear_files/Yang_linear_img/170932528.jpg", "170932528")</f>
        <v>170932528</v>
      </c>
      <c r="C7670" s="3" t="str">
        <f>HYPERLINK("http://www.ncbi.nlm.nih.gov/protein/170932528","Tnpo2")</f>
        <v>Tnpo2</v>
      </c>
      <c r="E7670" t="str">
        <f>HYPERLINK("J:\Depot - mpkCCD Fractions\Main Web Page\Web Pages_old\proteomic_fractions_linear_files/Yang_linear_img/170932528.jpg","show blot")</f>
        <v>show blot</v>
      </c>
      <c r="G7670" t="s">
        <v>7427</v>
      </c>
      <c r="I7670" s="6">
        <v>4.8650337031434407</v>
      </c>
      <c r="K7670" s="8"/>
    </row>
    <row r="7671" spans="1:11" ht="15" x14ac:dyDescent="0.25">
      <c r="A7671" s="3" t="str">
        <f>HYPERLINK("proteomic_fractions_linear_files/Yang_linear_img/54312056.jpg", "54312056")</f>
        <v>54312056</v>
      </c>
      <c r="C7671" s="3" t="str">
        <f>HYPERLINK("http://www.ncbi.nlm.nih.gov/protein/54312056","Tnpo3")</f>
        <v>Tnpo3</v>
      </c>
      <c r="E7671" t="str">
        <f>HYPERLINK("J:\Depot - mpkCCD Fractions\Main Web Page\Web Pages_old\proteomic_fractions_linear_files/Yang_linear_img/54312056.jpg","show blot")</f>
        <v>show blot</v>
      </c>
      <c r="G7671" t="s">
        <v>7428</v>
      </c>
      <c r="I7671" s="6">
        <v>4.5715232858729058</v>
      </c>
      <c r="K7671" s="8"/>
    </row>
    <row r="7672" spans="1:11" ht="15" x14ac:dyDescent="0.25">
      <c r="A7672" s="3" t="str">
        <f>HYPERLINK("proteomic_fractions_linear_files/Yang_linear_img/159110982.jpg", "159110982")</f>
        <v>159110982</v>
      </c>
      <c r="C7672" s="3" t="str">
        <f>HYPERLINK("http://www.ncbi.nlm.nih.gov/protein/159110982","Tnrc6b")</f>
        <v>Tnrc6b</v>
      </c>
      <c r="E7672" t="str">
        <f>HYPERLINK("J:\Depot - mpkCCD Fractions\Main Web Page\Web Pages_old\proteomic_fractions_linear_files/Yang_linear_img/159110982.jpg","show blot")</f>
        <v>show blot</v>
      </c>
      <c r="G7672" t="s">
        <v>7429</v>
      </c>
      <c r="I7672" s="6">
        <v>1.9678366398931009</v>
      </c>
      <c r="K7672" s="8"/>
    </row>
    <row r="7673" spans="1:11" ht="15" x14ac:dyDescent="0.25">
      <c r="A7673" s="3" t="str">
        <f>HYPERLINK("proteomic_fractions_linear_files/Yang_linear_img/67782332.jpg", "67782332")</f>
        <v>67782332</v>
      </c>
      <c r="C7673" s="3" t="str">
        <f>HYPERLINK("http://www.ncbi.nlm.nih.gov/protein/67782332","Tnrc6b")</f>
        <v>Tnrc6b</v>
      </c>
      <c r="E7673" t="str">
        <f>HYPERLINK("J:\Depot - mpkCCD Fractions\Main Web Page\Web Pages_old\proteomic_fractions_linear_files/Yang_linear_img/67782332.jpg","show blot")</f>
        <v>show blot</v>
      </c>
      <c r="G7673" t="s">
        <v>7430</v>
      </c>
      <c r="I7673" s="6">
        <v>1.9678366398931009</v>
      </c>
      <c r="K7673" s="8"/>
    </row>
    <row r="7674" spans="1:11" ht="15" x14ac:dyDescent="0.25">
      <c r="A7674" s="3" t="str">
        <f>HYPERLINK("proteomic_fractions_linear_files/Yang_linear_img/124378035.jpg", "124378035")</f>
        <v>124378035</v>
      </c>
      <c r="C7674" s="3" t="str">
        <f>HYPERLINK("http://www.ncbi.nlm.nih.gov/protein/124378035","Tnrc6c")</f>
        <v>Tnrc6c</v>
      </c>
      <c r="E7674" t="str">
        <f>HYPERLINK("J:\Depot - mpkCCD Fractions\Main Web Page\Web Pages_old\proteomic_fractions_linear_files/Yang_linear_img/124378035.jpg","show blot")</f>
        <v>show blot</v>
      </c>
      <c r="G7674" t="s">
        <v>7431</v>
      </c>
      <c r="I7674" s="7" t="s">
        <v>8360</v>
      </c>
      <c r="K7674" s="8"/>
    </row>
    <row r="7675" spans="1:11" ht="15" x14ac:dyDescent="0.25">
      <c r="A7675" s="3" t="str">
        <f>HYPERLINK("proteomic_fractions_linear_files/Yang_linear_img/226437589.jpg", "226437589")</f>
        <v>226437589</v>
      </c>
      <c r="C7675" s="3" t="str">
        <f>HYPERLINK("http://www.ncbi.nlm.nih.gov/protein/226437589","Tns1")</f>
        <v>Tns1</v>
      </c>
      <c r="E7675" t="str">
        <f>HYPERLINK("J:\Depot - mpkCCD Fractions\Main Web Page\Web Pages_old\proteomic_fractions_linear_files/Yang_linear_img/226437589.jpg","show blot")</f>
        <v>show blot</v>
      </c>
      <c r="G7675" t="s">
        <v>7432</v>
      </c>
      <c r="I7675" s="6">
        <v>3.8918545726319067</v>
      </c>
      <c r="K7675" s="8"/>
    </row>
    <row r="7676" spans="1:11" ht="15" x14ac:dyDescent="0.25">
      <c r="A7676" s="3" t="str">
        <f>HYPERLINK("proteomic_fractions_linear_files/Yang_linear_img/134152676.jpg", "134152676")</f>
        <v>134152676</v>
      </c>
      <c r="C7676" s="3" t="str">
        <f>HYPERLINK("http://www.ncbi.nlm.nih.gov/protein/134152676","Tns3")</f>
        <v>Tns3</v>
      </c>
      <c r="E7676" t="str">
        <f>HYPERLINK("J:\Depot - mpkCCD Fractions\Main Web Page\Web Pages_old\proteomic_fractions_linear_files/Yang_linear_img/134152676.jpg","show blot")</f>
        <v>show blot</v>
      </c>
      <c r="G7676" t="s">
        <v>7433</v>
      </c>
      <c r="I7676" s="6">
        <v>4.0631588052291194</v>
      </c>
      <c r="K7676" s="8"/>
    </row>
    <row r="7677" spans="1:11" ht="15" x14ac:dyDescent="0.25">
      <c r="A7677" s="3" t="str">
        <f>HYPERLINK("proteomic_fractions_linear_files/Yang_linear_img/21311839.jpg", "21311839")</f>
        <v>21311839</v>
      </c>
      <c r="C7677" s="3" t="str">
        <f>HYPERLINK("http://www.ncbi.nlm.nih.gov/protein/21311839","Toe1")</f>
        <v>Toe1</v>
      </c>
      <c r="E7677" t="str">
        <f>HYPERLINK("J:\Depot - mpkCCD Fractions\Main Web Page\Web Pages_old\proteomic_fractions_linear_files/Yang_linear_img/21311839.jpg","show blot")</f>
        <v>show blot</v>
      </c>
      <c r="G7677" t="s">
        <v>7434</v>
      </c>
      <c r="I7677" s="6">
        <v>4.807856806525308</v>
      </c>
      <c r="K7677" s="8"/>
    </row>
    <row r="7678" spans="1:11" ht="15" x14ac:dyDescent="0.25">
      <c r="A7678" s="3" t="str">
        <f>HYPERLINK("proteomic_fractions_linear_files/Yang_linear_img/13591860.jpg", "13591860")</f>
        <v>13591860</v>
      </c>
      <c r="C7678" s="3" t="str">
        <f>HYPERLINK("http://www.ncbi.nlm.nih.gov/protein/13591860","Tollip")</f>
        <v>Tollip</v>
      </c>
      <c r="E7678" t="str">
        <f>HYPERLINK("J:\Depot - mpkCCD Fractions\Main Web Page\Web Pages_old\proteomic_fractions_linear_files/Yang_linear_img/13591860.jpg","show blot")</f>
        <v>show blot</v>
      </c>
      <c r="G7678" t="s">
        <v>7435</v>
      </c>
      <c r="I7678" s="6">
        <v>4.2868579154461095</v>
      </c>
      <c r="K7678" s="8"/>
    </row>
    <row r="7679" spans="1:11" ht="15" x14ac:dyDescent="0.25">
      <c r="A7679" s="3" t="str">
        <f>HYPERLINK("proteomic_fractions_linear_files/Yang_linear_img/210147426.jpg", "210147426")</f>
        <v>210147426</v>
      </c>
      <c r="C7679" s="3" t="str">
        <f>HYPERLINK("http://www.ncbi.nlm.nih.gov/protein/210147426","Tom1")</f>
        <v>Tom1</v>
      </c>
      <c r="E7679" t="str">
        <f>HYPERLINK("J:\Depot - mpkCCD Fractions\Main Web Page\Web Pages_old\proteomic_fractions_linear_files/Yang_linear_img/210147426.jpg","show blot")</f>
        <v>show blot</v>
      </c>
      <c r="G7679" t="s">
        <v>7436</v>
      </c>
      <c r="I7679" s="6">
        <v>4.3786983237406742</v>
      </c>
      <c r="K7679" s="8"/>
    </row>
    <row r="7680" spans="1:11" ht="15" x14ac:dyDescent="0.25">
      <c r="A7680" s="3" t="str">
        <f>HYPERLINK("proteomic_fractions_linear_files/Yang_linear_img/6755847.jpg", "6755847")</f>
        <v>6755847</v>
      </c>
      <c r="C7680" s="3" t="str">
        <f>HYPERLINK("http://www.ncbi.nlm.nih.gov/protein/6755847","Tom1")</f>
        <v>Tom1</v>
      </c>
      <c r="E7680" t="str">
        <f>HYPERLINK("J:\Depot - mpkCCD Fractions\Main Web Page\Web Pages_old\proteomic_fractions_linear_files/Yang_linear_img/6755847.jpg","show blot")</f>
        <v>show blot</v>
      </c>
      <c r="G7680" t="s">
        <v>7437</v>
      </c>
      <c r="I7680" s="6">
        <v>4.3786983237406742</v>
      </c>
      <c r="K7680" s="8"/>
    </row>
    <row r="7681" spans="1:11" ht="15" x14ac:dyDescent="0.25">
      <c r="A7681" s="3" t="str">
        <f>HYPERLINK("proteomic_fractions_linear_files/Yang_linear_img/110625896.jpg", "110625896")</f>
        <v>110625896</v>
      </c>
      <c r="C7681" s="3" t="str">
        <f>HYPERLINK("http://www.ncbi.nlm.nih.gov/protein/110625896","Tom1l1")</f>
        <v>Tom1l1</v>
      </c>
      <c r="E7681" t="str">
        <f>HYPERLINK("J:\Depot - mpkCCD Fractions\Main Web Page\Web Pages_old\proteomic_fractions_linear_files/Yang_linear_img/110625896.jpg","show blot")</f>
        <v>show blot</v>
      </c>
      <c r="G7681" t="s">
        <v>7438</v>
      </c>
      <c r="I7681" s="6">
        <v>5.889575255187685</v>
      </c>
      <c r="K7681" s="8"/>
    </row>
    <row r="7682" spans="1:11" ht="15" x14ac:dyDescent="0.25">
      <c r="A7682" s="3" t="str">
        <f>HYPERLINK("proteomic_fractions_linear_files/Yang_linear_img/31982091.jpg", "31982091")</f>
        <v>31982091</v>
      </c>
      <c r="C7682" s="3" t="str">
        <f>HYPERLINK("http://www.ncbi.nlm.nih.gov/protein/31982091","Tomm22")</f>
        <v>Tomm22</v>
      </c>
      <c r="E7682" t="str">
        <f>HYPERLINK("J:\Depot - mpkCCD Fractions\Main Web Page\Web Pages_old\proteomic_fractions_linear_files/Yang_linear_img/31982091.jpg","show blot")</f>
        <v>show blot</v>
      </c>
      <c r="G7682" t="s">
        <v>7439</v>
      </c>
      <c r="I7682" s="6">
        <v>5.3066540301480734</v>
      </c>
      <c r="K7682" s="8"/>
    </row>
    <row r="7683" spans="1:11" ht="15" x14ac:dyDescent="0.25">
      <c r="A7683" s="3" t="str">
        <f>HYPERLINK("proteomic_fractions_linear_files/Yang_linear_img/13385500.jpg", "13385500")</f>
        <v>13385500</v>
      </c>
      <c r="C7683" s="3" t="str">
        <f>HYPERLINK("http://www.ncbi.nlm.nih.gov/protein/13385500","Tomm34")</f>
        <v>Tomm34</v>
      </c>
      <c r="E7683" t="str">
        <f>HYPERLINK("J:\Depot - mpkCCD Fractions\Main Web Page\Web Pages_old\proteomic_fractions_linear_files/Yang_linear_img/13385500.jpg","show blot")</f>
        <v>show blot</v>
      </c>
      <c r="G7683" t="s">
        <v>7440</v>
      </c>
      <c r="I7683" s="6">
        <v>5.5228305060653309</v>
      </c>
      <c r="K7683" s="8"/>
    </row>
    <row r="7684" spans="1:11" ht="15" x14ac:dyDescent="0.25">
      <c r="A7684" s="3" t="str">
        <f>HYPERLINK("proteomic_fractions_linear_files/Yang_linear_img/157909797.jpg", "157909797")</f>
        <v>157909797</v>
      </c>
      <c r="C7684" s="3" t="str">
        <f>HYPERLINK("http://www.ncbi.nlm.nih.gov/protein/157909797","Tomm40")</f>
        <v>Tomm40</v>
      </c>
      <c r="E7684" t="str">
        <f>HYPERLINK("J:\Depot - mpkCCD Fractions\Main Web Page\Web Pages_old\proteomic_fractions_linear_files/Yang_linear_img/157909797.jpg","show blot")</f>
        <v>show blot</v>
      </c>
      <c r="G7684" t="s">
        <v>7441</v>
      </c>
      <c r="I7684" s="6">
        <v>5.0962645998261511</v>
      </c>
      <c r="K7684" s="8"/>
    </row>
    <row r="7685" spans="1:11" ht="15" x14ac:dyDescent="0.25">
      <c r="A7685" s="3" t="str">
        <f>HYPERLINK("proteomic_fractions_linear_files/Yang_linear_img/153791486.jpg", "153791486")</f>
        <v>153791486</v>
      </c>
      <c r="C7685" s="3" t="str">
        <f>HYPERLINK("http://www.ncbi.nlm.nih.gov/protein/153791486","Tomm5")</f>
        <v>Tomm5</v>
      </c>
      <c r="E7685" t="str">
        <f>HYPERLINK("J:\Depot - mpkCCD Fractions\Main Web Page\Web Pages_old\proteomic_fractions_linear_files/Yang_linear_img/153791486.jpg","show blot")</f>
        <v>show blot</v>
      </c>
      <c r="G7685" t="s">
        <v>7442</v>
      </c>
      <c r="I7685" s="6">
        <v>5.1410257494366105</v>
      </c>
      <c r="K7685" s="8"/>
    </row>
    <row r="7686" spans="1:11" ht="15" x14ac:dyDescent="0.25">
      <c r="A7686" s="3" t="str">
        <f>HYPERLINK("proteomic_fractions_linear_files/Yang_linear_img/197382455.jpg", "197382455")</f>
        <v>197382455</v>
      </c>
      <c r="C7686" s="3" t="str">
        <f>HYPERLINK("http://www.ncbi.nlm.nih.gov/protein/197382455","Tomm5")</f>
        <v>Tomm5</v>
      </c>
      <c r="E7686" t="str">
        <f>HYPERLINK("J:\Depot - mpkCCD Fractions\Main Web Page\Web Pages_old\proteomic_fractions_linear_files/Yang_linear_img/197382455.jpg","show blot")</f>
        <v>show blot</v>
      </c>
      <c r="G7686" t="s">
        <v>7443</v>
      </c>
      <c r="I7686" s="6">
        <v>5.1410257494366105</v>
      </c>
      <c r="K7686" s="8"/>
    </row>
    <row r="7687" spans="1:11" ht="15" x14ac:dyDescent="0.25">
      <c r="A7687" s="3" t="str">
        <f>HYPERLINK("proteomic_fractions_linear_files/Yang_linear_img/21313592.jpg", "21313592")</f>
        <v>21313592</v>
      </c>
      <c r="C7687" s="3" t="str">
        <f>HYPERLINK("http://www.ncbi.nlm.nih.gov/protein/21313592","Tomm7")</f>
        <v>Tomm7</v>
      </c>
      <c r="E7687" t="str">
        <f>HYPERLINK("J:\Depot - mpkCCD Fractions\Main Web Page\Web Pages_old\proteomic_fractions_linear_files/Yang_linear_img/21313592.jpg","show blot")</f>
        <v>show blot</v>
      </c>
      <c r="G7687" t="s">
        <v>7444</v>
      </c>
      <c r="I7687" s="6">
        <v>5.1567968410149376</v>
      </c>
      <c r="K7687" s="8"/>
    </row>
    <row r="7688" spans="1:11" ht="15" x14ac:dyDescent="0.25">
      <c r="A7688" s="3" t="str">
        <f>HYPERLINK("proteomic_fractions_linear_files/Yang_linear_img/27552760.jpg", "27552760")</f>
        <v>27552760</v>
      </c>
      <c r="C7688" s="3" t="str">
        <f>HYPERLINK("http://www.ncbi.nlm.nih.gov/protein/27552760","Tomm70a")</f>
        <v>Tomm70a</v>
      </c>
      <c r="E7688" t="str">
        <f>HYPERLINK("J:\Depot - mpkCCD Fractions\Main Web Page\Web Pages_old\proteomic_fractions_linear_files/Yang_linear_img/27552760.jpg","show blot")</f>
        <v>show blot</v>
      </c>
      <c r="G7688" t="s">
        <v>7445</v>
      </c>
      <c r="I7688" s="6">
        <v>5.0798126119335869</v>
      </c>
      <c r="K7688" s="8"/>
    </row>
    <row r="7689" spans="1:11" ht="15" x14ac:dyDescent="0.25">
      <c r="A7689" s="3" t="str">
        <f>HYPERLINK("proteomic_fractions_linear_files/Yang_linear_img/187608797.jpg", "187608797")</f>
        <v>187608797</v>
      </c>
      <c r="C7689" s="3" t="str">
        <f>HYPERLINK("http://www.ncbi.nlm.nih.gov/protein/187608797","Tonsl")</f>
        <v>Tonsl</v>
      </c>
      <c r="E7689" t="str">
        <f>HYPERLINK("J:\Depot - mpkCCD Fractions\Main Web Page\Web Pages_old\proteomic_fractions_linear_files/Yang_linear_img/187608797.jpg","show blot")</f>
        <v>show blot</v>
      </c>
      <c r="G7689" t="s">
        <v>7446</v>
      </c>
      <c r="I7689" s="6">
        <v>4.1310993314475573</v>
      </c>
      <c r="K7689" s="8"/>
    </row>
    <row r="7690" spans="1:11" ht="15" x14ac:dyDescent="0.25">
      <c r="A7690" s="3" t="str">
        <f>HYPERLINK("proteomic_fractions_linear_files/Yang_linear_img/112734855.jpg", "112734855")</f>
        <v>112734855</v>
      </c>
      <c r="C7690" s="3" t="str">
        <f>HYPERLINK("http://www.ncbi.nlm.nih.gov/protein/112734855","Top1")</f>
        <v>Top1</v>
      </c>
      <c r="E7690" t="str">
        <f>HYPERLINK("J:\Depot - mpkCCD Fractions\Main Web Page\Web Pages_old\proteomic_fractions_linear_files/Yang_linear_img/112734855.jpg","show blot")</f>
        <v>show blot</v>
      </c>
      <c r="G7690" t="s">
        <v>7447</v>
      </c>
      <c r="I7690" s="6">
        <v>5.3282071086379101</v>
      </c>
      <c r="K7690" s="8"/>
    </row>
    <row r="7691" spans="1:11" ht="15" x14ac:dyDescent="0.25">
      <c r="A7691" s="3" t="str">
        <f>HYPERLINK("proteomic_fractions_linear_files/Yang_linear_img/50657345.jpg", "50657345")</f>
        <v>50657345</v>
      </c>
      <c r="C7691" s="3" t="str">
        <f>HYPERLINK("http://www.ncbi.nlm.nih.gov/protein/50657345","Top1mt")</f>
        <v>Top1mt</v>
      </c>
      <c r="E7691" t="str">
        <f>HYPERLINK("J:\Depot - mpkCCD Fractions\Main Web Page\Web Pages_old\proteomic_fractions_linear_files/Yang_linear_img/50657345.jpg","show blot")</f>
        <v>show blot</v>
      </c>
      <c r="G7691" t="s">
        <v>7448</v>
      </c>
      <c r="I7691" s="6">
        <v>3.9323077034855638</v>
      </c>
      <c r="K7691" s="8"/>
    </row>
    <row r="7692" spans="1:11" ht="15" x14ac:dyDescent="0.25">
      <c r="A7692" s="3" t="str">
        <f>HYPERLINK("proteomic_fractions_linear_files/Yang_linear_img/153945749.jpg", "153945749")</f>
        <v>153945749</v>
      </c>
      <c r="C7692" s="3" t="str">
        <f>HYPERLINK("http://www.ncbi.nlm.nih.gov/protein/153945749","Top2a")</f>
        <v>Top2a</v>
      </c>
      <c r="E7692" t="str">
        <f>HYPERLINK("J:\Depot - mpkCCD Fractions\Main Web Page\Web Pages_old\proteomic_fractions_linear_files/Yang_linear_img/153945749.jpg","show blot")</f>
        <v>show blot</v>
      </c>
      <c r="G7692" t="s">
        <v>7449</v>
      </c>
      <c r="I7692" s="6">
        <v>2.6413837050175806</v>
      </c>
      <c r="K7692" s="8"/>
    </row>
    <row r="7693" spans="1:11" ht="15" x14ac:dyDescent="0.25">
      <c r="A7693" s="3" t="str">
        <f>HYPERLINK("proteomic_fractions_linear_files/Yang_linear_img/34328148.jpg", "34328148")</f>
        <v>34328148</v>
      </c>
      <c r="C7693" s="3" t="str">
        <f>HYPERLINK("http://www.ncbi.nlm.nih.gov/protein/34328148","Top2b")</f>
        <v>Top2b</v>
      </c>
      <c r="E7693" t="str">
        <f>HYPERLINK("J:\Depot - mpkCCD Fractions\Main Web Page\Web Pages_old\proteomic_fractions_linear_files/Yang_linear_img/34328148.jpg","show blot")</f>
        <v>show blot</v>
      </c>
      <c r="G7693" t="s">
        <v>7450</v>
      </c>
      <c r="I7693" s="6">
        <v>4.0736309093008209</v>
      </c>
      <c r="K7693" s="8"/>
    </row>
    <row r="7694" spans="1:11" ht="15" x14ac:dyDescent="0.25">
      <c r="A7694" s="3" t="str">
        <f>HYPERLINK("proteomic_fractions_linear_files/Yang_linear_img/6678403.jpg", "6678403")</f>
        <v>6678403</v>
      </c>
      <c r="C7694" s="3" t="str">
        <f>HYPERLINK("http://www.ncbi.nlm.nih.gov/protein/6678403","Top3a")</f>
        <v>Top3a</v>
      </c>
      <c r="E7694" t="str">
        <f>HYPERLINK("J:\Depot - mpkCCD Fractions\Main Web Page\Web Pages_old\proteomic_fractions_linear_files/Yang_linear_img/6678403.jpg","show blot")</f>
        <v>show blot</v>
      </c>
      <c r="G7694" t="s">
        <v>7451</v>
      </c>
      <c r="I7694" s="6">
        <v>3.448048971589905</v>
      </c>
      <c r="K7694" s="8"/>
    </row>
    <row r="7695" spans="1:11" ht="15" x14ac:dyDescent="0.25">
      <c r="A7695" s="3" t="str">
        <f>HYPERLINK("proteomic_fractions_linear_files/Yang_linear_img/6755851.jpg", "6755851")</f>
        <v>6755851</v>
      </c>
      <c r="C7695" s="3" t="str">
        <f>HYPERLINK("http://www.ncbi.nlm.nih.gov/protein/6755851","Top3b")</f>
        <v>Top3b</v>
      </c>
      <c r="E7695" t="str">
        <f>HYPERLINK("J:\Depot - mpkCCD Fractions\Main Web Page\Web Pages_old\proteomic_fractions_linear_files/Yang_linear_img/6755851.jpg","show blot")</f>
        <v>show blot</v>
      </c>
      <c r="G7695" t="s">
        <v>7452</v>
      </c>
      <c r="I7695" s="6">
        <v>4.5730233623886321</v>
      </c>
      <c r="K7695" s="8"/>
    </row>
    <row r="7696" spans="1:11" ht="15" x14ac:dyDescent="0.25">
      <c r="A7696" s="3" t="str">
        <f>HYPERLINK("proteomic_fractions_linear_files/Yang_linear_img/21450255.jpg", "21450255")</f>
        <v>21450255</v>
      </c>
      <c r="C7696" s="3" t="str">
        <f>HYPERLINK("http://www.ncbi.nlm.nih.gov/protein/21450255","Tor1a")</f>
        <v>Tor1a</v>
      </c>
      <c r="E7696" t="str">
        <f>HYPERLINK("J:\Depot - mpkCCD Fractions\Main Web Page\Web Pages_old\proteomic_fractions_linear_files/Yang_linear_img/21450255.jpg","show blot")</f>
        <v>show blot</v>
      </c>
      <c r="G7696" t="s">
        <v>7453</v>
      </c>
      <c r="I7696" s="6">
        <v>4.0213874329282584</v>
      </c>
      <c r="K7696" s="8"/>
    </row>
    <row r="7697" spans="1:11" ht="15" x14ac:dyDescent="0.25">
      <c r="A7697" s="3" t="str">
        <f>HYPERLINK("proteomic_fractions_linear_files/Yang_linear_img/229608948.jpg", "229608948")</f>
        <v>229608948</v>
      </c>
      <c r="C7697" s="3" t="str">
        <f>HYPERLINK("http://www.ncbi.nlm.nih.gov/protein/229608948","Tor1aip1")</f>
        <v>Tor1aip1</v>
      </c>
      <c r="E7697" t="str">
        <f>HYPERLINK("J:\Depot - mpkCCD Fractions\Main Web Page\Web Pages_old\proteomic_fractions_linear_files/Yang_linear_img/229608948.jpg","show blot")</f>
        <v>show blot</v>
      </c>
      <c r="G7697" t="s">
        <v>7454</v>
      </c>
      <c r="I7697" s="6">
        <v>3.9747806439958322</v>
      </c>
      <c r="K7697" s="8"/>
    </row>
    <row r="7698" spans="1:11" ht="15" x14ac:dyDescent="0.25">
      <c r="A7698" s="3" t="str">
        <f>HYPERLINK("proteomic_fractions_linear_files/Yang_linear_img/229608944.jpg", "229608944")</f>
        <v>229608944</v>
      </c>
      <c r="C7698" s="3" t="str">
        <f>HYPERLINK("http://www.ncbi.nlm.nih.gov/protein/229608944","Tor1aip1")</f>
        <v>Tor1aip1</v>
      </c>
      <c r="E7698" t="str">
        <f>HYPERLINK("J:\Depot - mpkCCD Fractions\Main Web Page\Web Pages_old\proteomic_fractions_linear_files/Yang_linear_img/229608944.jpg","show blot")</f>
        <v>show blot</v>
      </c>
      <c r="G7698" t="s">
        <v>7455</v>
      </c>
      <c r="I7698" s="6">
        <v>3.9747806439958322</v>
      </c>
      <c r="K7698" s="8"/>
    </row>
    <row r="7699" spans="1:11" ht="15" x14ac:dyDescent="0.25">
      <c r="A7699" s="3" t="str">
        <f>HYPERLINK("proteomic_fractions_linear_files/Yang_linear_img/229608946.jpg", "229608946")</f>
        <v>229608946</v>
      </c>
      <c r="C7699" s="3" t="str">
        <f>HYPERLINK("http://www.ncbi.nlm.nih.gov/protein/229608946","Tor1aip1")</f>
        <v>Tor1aip1</v>
      </c>
      <c r="E7699" t="str">
        <f>HYPERLINK("J:\Depot - mpkCCD Fractions\Main Web Page\Web Pages_old\proteomic_fractions_linear_files/Yang_linear_img/229608946.jpg","show blot")</f>
        <v>show blot</v>
      </c>
      <c r="G7699" t="s">
        <v>7456</v>
      </c>
      <c r="I7699" s="6">
        <v>3.9747806439958322</v>
      </c>
      <c r="K7699" s="8"/>
    </row>
    <row r="7700" spans="1:11" ht="15" x14ac:dyDescent="0.25">
      <c r="A7700" s="3" t="str">
        <f>HYPERLINK("proteomic_fractions_linear_files/Yang_linear_img/229892347.jpg", "229892347")</f>
        <v>229892347</v>
      </c>
      <c r="C7700" s="3" t="str">
        <f>HYPERLINK("http://www.ncbi.nlm.nih.gov/protein/229892347","Tor1aip2")</f>
        <v>Tor1aip2</v>
      </c>
      <c r="E7700" t="str">
        <f>HYPERLINK("J:\Depot - mpkCCD Fractions\Main Web Page\Web Pages_old\proteomic_fractions_linear_files/Yang_linear_img/229892347.jpg","show blot")</f>
        <v>show blot</v>
      </c>
      <c r="G7700" t="s">
        <v>7457</v>
      </c>
      <c r="I7700" s="6">
        <v>3.7768198990371231</v>
      </c>
      <c r="K7700" s="8"/>
    </row>
    <row r="7701" spans="1:11" ht="15" x14ac:dyDescent="0.25">
      <c r="A7701" s="3" t="str">
        <f>HYPERLINK("proteomic_fractions_linear_files/Yang_linear_img/11612513.jpg", "11612513")</f>
        <v>11612513</v>
      </c>
      <c r="C7701" s="3" t="str">
        <f>HYPERLINK("http://www.ncbi.nlm.nih.gov/protein/11612513","Tor1aip2")</f>
        <v>Tor1aip2</v>
      </c>
      <c r="E7701" t="str">
        <f>HYPERLINK("J:\Depot - mpkCCD Fractions\Main Web Page\Web Pages_old\proteomic_fractions_linear_files/Yang_linear_img/11612513.jpg","show blot")</f>
        <v>show blot</v>
      </c>
      <c r="G7701" t="s">
        <v>7458</v>
      </c>
      <c r="I7701" s="6">
        <v>3.7768198990371231</v>
      </c>
      <c r="K7701" s="8"/>
    </row>
    <row r="7702" spans="1:11" ht="15" x14ac:dyDescent="0.25">
      <c r="A7702" s="3" t="str">
        <f>HYPERLINK("proteomic_fractions_linear_files/Yang_linear_img/31559990.jpg", "31559990")</f>
        <v>31559990</v>
      </c>
      <c r="C7702" s="3" t="str">
        <f>HYPERLINK("http://www.ncbi.nlm.nih.gov/protein/31559990","Tor1b")</f>
        <v>Tor1b</v>
      </c>
      <c r="E7702" t="str">
        <f>HYPERLINK("J:\Depot - mpkCCD Fractions\Main Web Page\Web Pages_old\proteomic_fractions_linear_files/Yang_linear_img/31559990.jpg","show blot")</f>
        <v>show blot</v>
      </c>
      <c r="G7702" t="s">
        <v>7459</v>
      </c>
      <c r="I7702" s="6">
        <v>4.485652681809178</v>
      </c>
      <c r="K7702" s="8"/>
    </row>
    <row r="7703" spans="1:11" ht="15" x14ac:dyDescent="0.25">
      <c r="A7703" s="3" t="str">
        <f>HYPERLINK("proteomic_fractions_linear_files/Yang_linear_img/22779883.jpg", "22779883")</f>
        <v>22779883</v>
      </c>
      <c r="C7703" s="3" t="str">
        <f>HYPERLINK("http://www.ncbi.nlm.nih.gov/protein/22779883","Tor2a")</f>
        <v>Tor2a</v>
      </c>
      <c r="E7703" t="str">
        <f>HYPERLINK("J:\Depot - mpkCCD Fractions\Main Web Page\Web Pages_old\proteomic_fractions_linear_files/Yang_linear_img/22779883.jpg","show blot")</f>
        <v>show blot</v>
      </c>
      <c r="G7703" t="s">
        <v>7460</v>
      </c>
      <c r="I7703" s="6">
        <v>2.9951562363969599</v>
      </c>
      <c r="K7703" s="8"/>
    </row>
    <row r="7704" spans="1:11" ht="15" x14ac:dyDescent="0.25">
      <c r="A7704" s="3" t="str">
        <f>HYPERLINK("proteomic_fractions_linear_files/Yang_linear_img/224809275.jpg", "224809275")</f>
        <v>224809275</v>
      </c>
      <c r="C7704" s="3" t="str">
        <f>HYPERLINK("http://www.ncbi.nlm.nih.gov/protein/224809275","Tor3a")</f>
        <v>Tor3a</v>
      </c>
      <c r="E7704" t="str">
        <f>HYPERLINK("J:\Depot - mpkCCD Fractions\Main Web Page\Web Pages_old\proteomic_fractions_linear_files/Yang_linear_img/224809275.jpg","show blot")</f>
        <v>show blot</v>
      </c>
      <c r="G7704" t="s">
        <v>7461</v>
      </c>
      <c r="I7704" s="6">
        <v>3.6105186289637254</v>
      </c>
      <c r="K7704" s="8"/>
    </row>
    <row r="7705" spans="1:11" ht="15" x14ac:dyDescent="0.25">
      <c r="A7705" s="3" t="str">
        <f>HYPERLINK("proteomic_fractions_linear_files/Yang_linear_img/258645109.jpg", "258645109")</f>
        <v>258645109</v>
      </c>
      <c r="C7705" s="3" t="str">
        <f>HYPERLINK("http://www.ncbi.nlm.nih.gov/protein/258645109","Tpbg")</f>
        <v>Tpbg</v>
      </c>
      <c r="E7705" t="str">
        <f>HYPERLINK("J:\Depot - mpkCCD Fractions\Main Web Page\Web Pages_old\proteomic_fractions_linear_files/Yang_linear_img/258645109.jpg","show blot")</f>
        <v>show blot</v>
      </c>
      <c r="G7705" t="s">
        <v>7462</v>
      </c>
      <c r="I7705" s="6">
        <v>1.9590413923210936</v>
      </c>
      <c r="K7705" s="8"/>
    </row>
    <row r="7706" spans="1:11" ht="15" x14ac:dyDescent="0.25">
      <c r="A7706" s="3" t="str">
        <f>HYPERLINK("proteomic_fractions_linear_files/Yang_linear_img/6678407.jpg", "6678407")</f>
        <v>6678407</v>
      </c>
      <c r="C7706" s="3" t="str">
        <f>HYPERLINK("http://www.ncbi.nlm.nih.gov/protein/6678407","Tpd52")</f>
        <v>Tpd52</v>
      </c>
      <c r="E7706" t="str">
        <f>HYPERLINK("J:\Depot - mpkCCD Fractions\Main Web Page\Web Pages_old\proteomic_fractions_linear_files/Yang_linear_img/6678407.jpg","show blot")</f>
        <v>show blot</v>
      </c>
      <c r="G7706" t="s">
        <v>7463</v>
      </c>
      <c r="I7706" s="6">
        <v>6.2189614845990855</v>
      </c>
      <c r="K7706" s="8"/>
    </row>
    <row r="7707" spans="1:11" ht="15" x14ac:dyDescent="0.25">
      <c r="A7707" s="3" t="str">
        <f>HYPERLINK("proteomic_fractions_linear_files/Yang_linear_img/70608194.jpg", "70608194")</f>
        <v>70608194</v>
      </c>
      <c r="C7707" s="3" t="str">
        <f>HYPERLINK("http://www.ncbi.nlm.nih.gov/protein/70608194","Tpd52")</f>
        <v>Tpd52</v>
      </c>
      <c r="E7707" t="str">
        <f>HYPERLINK("J:\Depot - mpkCCD Fractions\Main Web Page\Web Pages_old\proteomic_fractions_linear_files/Yang_linear_img/70608194.jpg","show blot")</f>
        <v>show blot</v>
      </c>
      <c r="G7707" t="s">
        <v>7464</v>
      </c>
      <c r="I7707" s="6">
        <v>6.2189614845990855</v>
      </c>
      <c r="K7707" s="8"/>
    </row>
    <row r="7708" spans="1:11" ht="15" x14ac:dyDescent="0.25">
      <c r="A7708" s="3" t="str">
        <f>HYPERLINK("proteomic_fractions_linear_files/Yang_linear_img/70608198.jpg", "70608198")</f>
        <v>70608198</v>
      </c>
      <c r="C7708" s="3" t="str">
        <f>HYPERLINK("http://www.ncbi.nlm.nih.gov/protein/70608198","Tpd52")</f>
        <v>Tpd52</v>
      </c>
      <c r="E7708" t="str">
        <f>HYPERLINK("J:\Depot - mpkCCD Fractions\Main Web Page\Web Pages_old\proteomic_fractions_linear_files/Yang_linear_img/70608198.jpg","show blot")</f>
        <v>show blot</v>
      </c>
      <c r="G7708" t="s">
        <v>7465</v>
      </c>
      <c r="I7708" s="6">
        <v>6.2189614845990855</v>
      </c>
      <c r="K7708" s="8"/>
    </row>
    <row r="7709" spans="1:11" ht="15" x14ac:dyDescent="0.25">
      <c r="A7709" s="3" t="str">
        <f>HYPERLINK("proteomic_fractions_linear_files/Yang_linear_img/70608205.jpg", "70608205")</f>
        <v>70608205</v>
      </c>
      <c r="C7709" s="3" t="str">
        <f>HYPERLINK("http://www.ncbi.nlm.nih.gov/protein/70608205","Tpd52")</f>
        <v>Tpd52</v>
      </c>
      <c r="E7709" t="str">
        <f>HYPERLINK("J:\Depot - mpkCCD Fractions\Main Web Page\Web Pages_old\proteomic_fractions_linear_files/Yang_linear_img/70608205.jpg","show blot")</f>
        <v>show blot</v>
      </c>
      <c r="G7709" t="s">
        <v>7466</v>
      </c>
      <c r="I7709" s="6">
        <v>6.2189614845990855</v>
      </c>
      <c r="K7709" s="8"/>
    </row>
    <row r="7710" spans="1:11" ht="15" x14ac:dyDescent="0.25">
      <c r="A7710" s="3" t="str">
        <f>HYPERLINK("proteomic_fractions_linear_files/Yang_linear_img/70608214.jpg", "70608214")</f>
        <v>70608214</v>
      </c>
      <c r="C7710" s="3" t="str">
        <f>HYPERLINK("http://www.ncbi.nlm.nih.gov/protein/70608214","Tpd52")</f>
        <v>Tpd52</v>
      </c>
      <c r="E7710" t="str">
        <f>HYPERLINK("J:\Depot - mpkCCD Fractions\Main Web Page\Web Pages_old\proteomic_fractions_linear_files/Yang_linear_img/70608214.jpg","show blot")</f>
        <v>show blot</v>
      </c>
      <c r="G7710" t="s">
        <v>7467</v>
      </c>
      <c r="I7710" s="6">
        <v>6.2189614845990855</v>
      </c>
      <c r="K7710" s="8"/>
    </row>
    <row r="7711" spans="1:11" ht="15" x14ac:dyDescent="0.25">
      <c r="A7711" s="3" t="str">
        <f>HYPERLINK("proteomic_fractions_linear_files/Yang_linear_img/6678409.jpg", "6678409")</f>
        <v>6678409</v>
      </c>
      <c r="C7711" s="3" t="str">
        <f>HYPERLINK("http://www.ncbi.nlm.nih.gov/protein/6678409","Tpd52l1")</f>
        <v>Tpd52l1</v>
      </c>
      <c r="E7711" t="str">
        <f>HYPERLINK("J:\Depot - mpkCCD Fractions\Main Web Page\Web Pages_old\proteomic_fractions_linear_files/Yang_linear_img/6678409.jpg","show blot")</f>
        <v>show blot</v>
      </c>
      <c r="G7711" t="s">
        <v>7468</v>
      </c>
      <c r="I7711" s="6">
        <v>5.5380835549689413</v>
      </c>
      <c r="K7711" s="8"/>
    </row>
    <row r="7712" spans="1:11" ht="15" x14ac:dyDescent="0.25">
      <c r="A7712" s="3" t="str">
        <f>HYPERLINK("proteomic_fractions_linear_files/Yang_linear_img/31560247.jpg", "31560247")</f>
        <v>31560247</v>
      </c>
      <c r="C7712" s="3" t="str">
        <f>HYPERLINK("http://www.ncbi.nlm.nih.gov/protein/31560247","Tpd52l2")</f>
        <v>Tpd52l2</v>
      </c>
      <c r="E7712" t="str">
        <f>HYPERLINK("J:\Depot - mpkCCD Fractions\Main Web Page\Web Pages_old\proteomic_fractions_linear_files/Yang_linear_img/31560247.jpg","show blot")</f>
        <v>show blot</v>
      </c>
      <c r="G7712" t="s">
        <v>7469</v>
      </c>
      <c r="I7712" s="6">
        <v>5.5686034611710014</v>
      </c>
      <c r="K7712" s="8"/>
    </row>
    <row r="7713" spans="1:11" ht="15" x14ac:dyDescent="0.25">
      <c r="A7713" s="3" t="str">
        <f>HYPERLINK("proteomic_fractions_linear_files/Yang_linear_img/226958349.jpg", "226958349")</f>
        <v>226958349</v>
      </c>
      <c r="C7713" s="3" t="str">
        <f>HYPERLINK("http://www.ncbi.nlm.nih.gov/protein/226958349","Tpi1")</f>
        <v>Tpi1</v>
      </c>
      <c r="E7713" t="str">
        <f>HYPERLINK("J:\Depot - mpkCCD Fractions\Main Web Page\Web Pages_old\proteomic_fractions_linear_files/Yang_linear_img/226958349.jpg","show blot")</f>
        <v>show blot</v>
      </c>
      <c r="G7713" t="s">
        <v>7470</v>
      </c>
      <c r="I7713" s="6">
        <v>7.2195057357428087</v>
      </c>
      <c r="K7713" s="8"/>
    </row>
    <row r="7714" spans="1:11" ht="15" x14ac:dyDescent="0.25">
      <c r="A7714" s="3" t="str">
        <f>HYPERLINK("proteomic_fractions_linear_files/Yang_linear_img/7305589.jpg", "7305589")</f>
        <v>7305589</v>
      </c>
      <c r="C7714" s="3" t="str">
        <f>HYPERLINK("http://www.ncbi.nlm.nih.gov/protein/7305589","Tpk1")</f>
        <v>Tpk1</v>
      </c>
      <c r="E7714" t="str">
        <f>HYPERLINK("J:\Depot - mpkCCD Fractions\Main Web Page\Web Pages_old\proteomic_fractions_linear_files/Yang_linear_img/7305589.jpg","show blot")</f>
        <v>show blot</v>
      </c>
      <c r="G7714" t="s">
        <v>7471</v>
      </c>
      <c r="I7714" s="6">
        <v>5.1993901351806908</v>
      </c>
      <c r="K7714" s="8"/>
    </row>
    <row r="7715" spans="1:11" ht="15" x14ac:dyDescent="0.25">
      <c r="A7715" s="3" t="str">
        <f>HYPERLINK("proteomic_fractions_linear_files/Yang_linear_img/256000780.jpg", "256000780")</f>
        <v>256000780</v>
      </c>
      <c r="C7715" s="3" t="str">
        <f>HYPERLINK("http://www.ncbi.nlm.nih.gov/protein/256000780","Tpm1")</f>
        <v>Tpm1</v>
      </c>
      <c r="E7715" t="str">
        <f>HYPERLINK("J:\Depot - mpkCCD Fractions\Main Web Page\Web Pages_old\proteomic_fractions_linear_files/Yang_linear_img/256000780.jpg","show blot")</f>
        <v>show blot</v>
      </c>
      <c r="G7715" t="s">
        <v>7472</v>
      </c>
      <c r="I7715" s="6">
        <v>6.7736607761021128</v>
      </c>
      <c r="K7715" s="8"/>
    </row>
    <row r="7716" spans="1:11" ht="15" x14ac:dyDescent="0.25">
      <c r="A7716" s="3" t="str">
        <f>HYPERLINK("proteomic_fractions_linear_files/Yang_linear_img/256000782.jpg", "256000782")</f>
        <v>256000782</v>
      </c>
      <c r="C7716" s="3" t="str">
        <f>HYPERLINK("http://www.ncbi.nlm.nih.gov/protein/256000782","Tpm1")</f>
        <v>Tpm1</v>
      </c>
      <c r="E7716" t="str">
        <f>HYPERLINK("J:\Depot - mpkCCD Fractions\Main Web Page\Web Pages_old\proteomic_fractions_linear_files/Yang_linear_img/256000782.jpg","show blot")</f>
        <v>show blot</v>
      </c>
      <c r="G7716" t="s">
        <v>7473</v>
      </c>
      <c r="I7716" s="6">
        <v>6.7736607761021128</v>
      </c>
      <c r="K7716" s="8"/>
    </row>
    <row r="7717" spans="1:11" ht="15" x14ac:dyDescent="0.25">
      <c r="A7717" s="3" t="str">
        <f>HYPERLINK("proteomic_fractions_linear_files/Yang_linear_img/256000784.jpg", "256000784")</f>
        <v>256000784</v>
      </c>
      <c r="C7717" s="3" t="str">
        <f>HYPERLINK("http://www.ncbi.nlm.nih.gov/protein/256000784","Tpm1")</f>
        <v>Tpm1</v>
      </c>
      <c r="E7717" t="str">
        <f>HYPERLINK("J:\Depot - mpkCCD Fractions\Main Web Page\Web Pages_old\proteomic_fractions_linear_files/Yang_linear_img/256000784.jpg","show blot")</f>
        <v>show blot</v>
      </c>
      <c r="G7717" t="s">
        <v>7474</v>
      </c>
      <c r="I7717" s="6">
        <v>6.7736607761021128</v>
      </c>
      <c r="K7717" s="8"/>
    </row>
    <row r="7718" spans="1:11" ht="15" x14ac:dyDescent="0.25">
      <c r="A7718" s="3" t="str">
        <f>HYPERLINK("proteomic_fractions_linear_files/Yang_linear_img/256000786.jpg", "256000786")</f>
        <v>256000786</v>
      </c>
      <c r="C7718" s="3" t="str">
        <f>HYPERLINK("http://www.ncbi.nlm.nih.gov/protein/256000786","Tpm1")</f>
        <v>Tpm1</v>
      </c>
      <c r="E7718" t="str">
        <f>HYPERLINK("J:\Depot - mpkCCD Fractions\Main Web Page\Web Pages_old\proteomic_fractions_linear_files/Yang_linear_img/256000786.jpg","show blot")</f>
        <v>show blot</v>
      </c>
      <c r="G7718" t="s">
        <v>7475</v>
      </c>
      <c r="I7718" s="6">
        <v>6.7736607761021128</v>
      </c>
      <c r="K7718" s="8"/>
    </row>
    <row r="7719" spans="1:11" ht="15" x14ac:dyDescent="0.25">
      <c r="A7719" s="3" t="str">
        <f>HYPERLINK("proteomic_fractions_linear_files/Yang_linear_img/256000788.jpg", "256000788")</f>
        <v>256000788</v>
      </c>
      <c r="C7719" s="3" t="str">
        <f>HYPERLINK("http://www.ncbi.nlm.nih.gov/protein/256000788","Tpm1")</f>
        <v>Tpm1</v>
      </c>
      <c r="E7719" t="str">
        <f>HYPERLINK("J:\Depot - mpkCCD Fractions\Main Web Page\Web Pages_old\proteomic_fractions_linear_files/Yang_linear_img/256000788.jpg","show blot")</f>
        <v>show blot</v>
      </c>
      <c r="G7719" t="s">
        <v>7476</v>
      </c>
      <c r="I7719" s="6">
        <v>6.7736607761021128</v>
      </c>
      <c r="K7719" s="8"/>
    </row>
    <row r="7720" spans="1:11" ht="15" x14ac:dyDescent="0.25">
      <c r="A7720" s="3" t="str">
        <f>HYPERLINK("proteomic_fractions_linear_files/Yang_linear_img/256000790.jpg", "256000790")</f>
        <v>256000790</v>
      </c>
      <c r="C7720" s="3" t="str">
        <f>HYPERLINK("http://www.ncbi.nlm.nih.gov/protein/256000790","Tpm1")</f>
        <v>Tpm1</v>
      </c>
      <c r="E7720" t="str">
        <f>HYPERLINK("J:\Depot - mpkCCD Fractions\Main Web Page\Web Pages_old\proteomic_fractions_linear_files/Yang_linear_img/256000790.jpg","show blot")</f>
        <v>show blot</v>
      </c>
      <c r="G7720" t="s">
        <v>7477</v>
      </c>
      <c r="I7720" s="6">
        <v>6.7736607761021128</v>
      </c>
      <c r="K7720" s="8"/>
    </row>
    <row r="7721" spans="1:11" ht="15" x14ac:dyDescent="0.25">
      <c r="A7721" s="3" t="str">
        <f>HYPERLINK("proteomic_fractions_linear_files/Yang_linear_img/256000792.jpg", "256000792")</f>
        <v>256000792</v>
      </c>
      <c r="C7721" s="3" t="str">
        <f>HYPERLINK("http://www.ncbi.nlm.nih.gov/protein/256000792","Tpm1")</f>
        <v>Tpm1</v>
      </c>
      <c r="E7721" t="str">
        <f>HYPERLINK("J:\Depot - mpkCCD Fractions\Main Web Page\Web Pages_old\proteomic_fractions_linear_files/Yang_linear_img/256000792.jpg","show blot")</f>
        <v>show blot</v>
      </c>
      <c r="G7721" t="s">
        <v>7478</v>
      </c>
      <c r="I7721" s="6">
        <v>6.7736607761021128</v>
      </c>
      <c r="K7721" s="8"/>
    </row>
    <row r="7722" spans="1:11" ht="15" x14ac:dyDescent="0.25">
      <c r="A7722" s="3" t="str">
        <f>HYPERLINK("proteomic_fractions_linear_files/Yang_linear_img/256000794.jpg", "256000794")</f>
        <v>256000794</v>
      </c>
      <c r="C7722" s="3" t="str">
        <f>HYPERLINK("http://www.ncbi.nlm.nih.gov/protein/256000794","Tpm1")</f>
        <v>Tpm1</v>
      </c>
      <c r="E7722" t="str">
        <f>HYPERLINK("J:\Depot - mpkCCD Fractions\Main Web Page\Web Pages_old\proteomic_fractions_linear_files/Yang_linear_img/256000794.jpg","show blot")</f>
        <v>show blot</v>
      </c>
      <c r="G7722" t="s">
        <v>7479</v>
      </c>
      <c r="I7722" s="6">
        <v>6.7736607761021128</v>
      </c>
      <c r="K7722" s="8"/>
    </row>
    <row r="7723" spans="1:11" ht="15" x14ac:dyDescent="0.25">
      <c r="A7723" s="3" t="str">
        <f>HYPERLINK("proteomic_fractions_linear_files/Yang_linear_img/256000796.jpg", "256000796")</f>
        <v>256000796</v>
      </c>
      <c r="C7723" s="3" t="str">
        <f>HYPERLINK("http://www.ncbi.nlm.nih.gov/protein/256000796","Tpm1")</f>
        <v>Tpm1</v>
      </c>
      <c r="E7723" t="str">
        <f>HYPERLINK("J:\Depot - mpkCCD Fractions\Main Web Page\Web Pages_old\proteomic_fractions_linear_files/Yang_linear_img/256000796.jpg","show blot")</f>
        <v>show blot</v>
      </c>
      <c r="G7723" t="s">
        <v>7480</v>
      </c>
      <c r="I7723" s="6">
        <v>6.7736607761021128</v>
      </c>
      <c r="K7723" s="8"/>
    </row>
    <row r="7724" spans="1:11" ht="15" x14ac:dyDescent="0.25">
      <c r="A7724" s="3" t="str">
        <f>HYPERLINK("proteomic_fractions_linear_files/Yang_linear_img/31560030.jpg", "31560030")</f>
        <v>31560030</v>
      </c>
      <c r="C7724" s="3" t="str">
        <f>HYPERLINK("http://www.ncbi.nlm.nih.gov/protein/31560030","Tpm1")</f>
        <v>Tpm1</v>
      </c>
      <c r="E7724" t="str">
        <f>HYPERLINK("J:\Depot - mpkCCD Fractions\Main Web Page\Web Pages_old\proteomic_fractions_linear_files/Yang_linear_img/31560030.jpg","show blot")</f>
        <v>show blot</v>
      </c>
      <c r="G7724" t="s">
        <v>7481</v>
      </c>
      <c r="I7724" s="6">
        <v>6.7736607761021128</v>
      </c>
      <c r="K7724" s="8"/>
    </row>
    <row r="7725" spans="1:11" ht="15" x14ac:dyDescent="0.25">
      <c r="A7725" s="3" t="str">
        <f>HYPERLINK("proteomic_fractions_linear_files/Yang_linear_img/482677662.jpg", "482677662")</f>
        <v>482677662</v>
      </c>
      <c r="C7725" s="3" t="str">
        <f>HYPERLINK("http://www.ncbi.nlm.nih.gov/protein/482677662","Tpm2")</f>
        <v>Tpm2</v>
      </c>
      <c r="E7725" t="str">
        <f>HYPERLINK("J:\Depot - mpkCCD Fractions\Main Web Page\Web Pages_old\proteomic_fractions_linear_files/Yang_linear_img/482677662.jpg","show blot")</f>
        <v>show blot</v>
      </c>
      <c r="G7725" t="s">
        <v>7482</v>
      </c>
      <c r="I7725" s="6">
        <v>6.3603864078818191</v>
      </c>
      <c r="K7725" s="8"/>
    </row>
    <row r="7726" spans="1:11" ht="15" x14ac:dyDescent="0.25">
      <c r="A7726" s="3" t="str">
        <f>HYPERLINK("proteomic_fractions_linear_files/Yang_linear_img/482677666.jpg", "482677666")</f>
        <v>482677666</v>
      </c>
      <c r="C7726" s="3" t="str">
        <f>HYPERLINK("http://www.ncbi.nlm.nih.gov/protein/482677666","Tpm2")</f>
        <v>Tpm2</v>
      </c>
      <c r="E7726" t="str">
        <f>HYPERLINK("J:\Depot - mpkCCD Fractions\Main Web Page\Web Pages_old\proteomic_fractions_linear_files/Yang_linear_img/482677666.jpg","show blot")</f>
        <v>show blot</v>
      </c>
      <c r="G7726" t="s">
        <v>7483</v>
      </c>
      <c r="I7726" s="6">
        <v>6.3603864078818191</v>
      </c>
      <c r="K7726" s="8"/>
    </row>
    <row r="7727" spans="1:11" ht="15" x14ac:dyDescent="0.25">
      <c r="A7727" s="3" t="str">
        <f>HYPERLINK("proteomic_fractions_linear_files/Yang_linear_img/11875203.jpg", "11875203")</f>
        <v>11875203</v>
      </c>
      <c r="C7727" s="3" t="str">
        <f>HYPERLINK("http://www.ncbi.nlm.nih.gov/protein/11875203","Tpm2")</f>
        <v>Tpm2</v>
      </c>
      <c r="E7727" t="str">
        <f>HYPERLINK("J:\Depot - mpkCCD Fractions\Main Web Page\Web Pages_old\proteomic_fractions_linear_files/Yang_linear_img/11875203.jpg","show blot")</f>
        <v>show blot</v>
      </c>
      <c r="G7727" t="s">
        <v>7484</v>
      </c>
      <c r="I7727" s="6">
        <v>6.3603864078818191</v>
      </c>
      <c r="K7727" s="8"/>
    </row>
    <row r="7728" spans="1:11" ht="15" x14ac:dyDescent="0.25">
      <c r="A7728" s="3" t="str">
        <f>HYPERLINK("proteomic_fractions_linear_files/Yang_linear_img/359279904.jpg", "359279904")</f>
        <v>359279904</v>
      </c>
      <c r="C7728" s="3" t="str">
        <f>HYPERLINK("http://www.ncbi.nlm.nih.gov/protein/359279904","Tpm3")</f>
        <v>Tpm3</v>
      </c>
      <c r="E7728" t="str">
        <f>HYPERLINK("J:\Depot - mpkCCD Fractions\Main Web Page\Web Pages_old\proteomic_fractions_linear_files/Yang_linear_img/359279904.jpg","show blot")</f>
        <v>show blot</v>
      </c>
      <c r="G7728" t="s">
        <v>7485</v>
      </c>
      <c r="I7728" s="6">
        <v>6.7734681465065956</v>
      </c>
      <c r="K7728" s="8"/>
    </row>
    <row r="7729" spans="1:11" ht="15" x14ac:dyDescent="0.25">
      <c r="A7729" s="3" t="str">
        <f>HYPERLINK("proteomic_fractions_linear_files/Yang_linear_img/359279908.jpg", "359279908")</f>
        <v>359279908</v>
      </c>
      <c r="C7729" s="3" t="str">
        <f>HYPERLINK("http://www.ncbi.nlm.nih.gov/protein/359279908","Tpm3")</f>
        <v>Tpm3</v>
      </c>
      <c r="E7729" t="str">
        <f>HYPERLINK("J:\Depot - mpkCCD Fractions\Main Web Page\Web Pages_old\proteomic_fractions_linear_files/Yang_linear_img/359279908.jpg","show blot")</f>
        <v>show blot</v>
      </c>
      <c r="G7729" t="s">
        <v>7486</v>
      </c>
      <c r="I7729" s="6">
        <v>6.7734681465065956</v>
      </c>
      <c r="K7729" s="8"/>
    </row>
    <row r="7730" spans="1:11" ht="15" x14ac:dyDescent="0.25">
      <c r="A7730" s="3" t="str">
        <f>HYPERLINK("proteomic_fractions_linear_files/Yang_linear_img/40254525.jpg", "40254525")</f>
        <v>40254525</v>
      </c>
      <c r="C7730" s="3" t="str">
        <f>HYPERLINK("http://www.ncbi.nlm.nih.gov/protein/40254525","Tpm3")</f>
        <v>Tpm3</v>
      </c>
      <c r="E7730" t="str">
        <f>HYPERLINK("J:\Depot - mpkCCD Fractions\Main Web Page\Web Pages_old\proteomic_fractions_linear_files/Yang_linear_img/40254525.jpg","show blot")</f>
        <v>show blot</v>
      </c>
      <c r="G7730" t="s">
        <v>7487</v>
      </c>
      <c r="I7730" s="6">
        <v>6.7734681465065956</v>
      </c>
      <c r="K7730" s="8"/>
    </row>
    <row r="7731" spans="1:11" ht="15" x14ac:dyDescent="0.25">
      <c r="A7731" s="3" t="str">
        <f>HYPERLINK("proteomic_fractions_linear_files/Yang_linear_img/418203916.jpg", "418203916")</f>
        <v>418203916</v>
      </c>
      <c r="C7731" s="3" t="str">
        <f>HYPERLINK("http://www.ncbi.nlm.nih.gov/protein/418203916","Tpm3")</f>
        <v>Tpm3</v>
      </c>
      <c r="E7731" t="str">
        <f>HYPERLINK("J:\Depot - mpkCCD Fractions\Main Web Page\Web Pages_old\proteomic_fractions_linear_files/Yang_linear_img/418203916.jpg","show blot")</f>
        <v>show blot</v>
      </c>
      <c r="G7731" t="s">
        <v>7488</v>
      </c>
      <c r="I7731" s="6">
        <v>6.7734681465065956</v>
      </c>
      <c r="K7731" s="8"/>
    </row>
    <row r="7732" spans="1:11" ht="15" x14ac:dyDescent="0.25">
      <c r="A7732" s="3" t="str">
        <f>HYPERLINK("proteomic_fractions_linear_files/Yang_linear_img/47894398.jpg", "47894398")</f>
        <v>47894398</v>
      </c>
      <c r="C7732" s="3" t="str">
        <f>HYPERLINK("http://www.ncbi.nlm.nih.gov/protein/47894398","Tpm4")</f>
        <v>Tpm4</v>
      </c>
      <c r="E7732" t="str">
        <f>HYPERLINK("J:\Depot - mpkCCD Fractions\Main Web Page\Web Pages_old\proteomic_fractions_linear_files/Yang_linear_img/47894398.jpg","show blot")</f>
        <v>show blot</v>
      </c>
      <c r="G7732" t="s">
        <v>7489</v>
      </c>
      <c r="I7732" s="6">
        <v>6.244599042354892</v>
      </c>
      <c r="K7732" s="8"/>
    </row>
    <row r="7733" spans="1:11" ht="15" x14ac:dyDescent="0.25">
      <c r="A7733" s="3" t="str">
        <f>HYPERLINK("proteomic_fractions_linear_files/Yang_linear_img/253795504.jpg", "253795504")</f>
        <v>253795504</v>
      </c>
      <c r="C7733" s="3" t="str">
        <f>HYPERLINK("http://www.ncbi.nlm.nih.gov/protein/253795504","Tpmt")</f>
        <v>Tpmt</v>
      </c>
      <c r="E7733" t="str">
        <f>HYPERLINK("J:\Depot - mpkCCD Fractions\Main Web Page\Web Pages_old\proteomic_fractions_linear_files/Yang_linear_img/253795504.jpg","show blot")</f>
        <v>show blot</v>
      </c>
      <c r="G7733" t="s">
        <v>7490</v>
      </c>
      <c r="I7733" s="6">
        <v>3.6359086500380311</v>
      </c>
      <c r="K7733" s="8"/>
    </row>
    <row r="7734" spans="1:11" ht="15" x14ac:dyDescent="0.25">
      <c r="A7734" s="3" t="str">
        <f>HYPERLINK("proteomic_fractions_linear_files/Yang_linear_img/6753448.jpg", "6753448")</f>
        <v>6753448</v>
      </c>
      <c r="C7734" s="3" t="str">
        <f>HYPERLINK("http://www.ncbi.nlm.nih.gov/protein/6753448","Tpp1")</f>
        <v>Tpp1</v>
      </c>
      <c r="E7734" t="str">
        <f>HYPERLINK("J:\Depot - mpkCCD Fractions\Main Web Page\Web Pages_old\proteomic_fractions_linear_files/Yang_linear_img/6753448.jpg","show blot")</f>
        <v>show blot</v>
      </c>
      <c r="G7734" t="s">
        <v>7491</v>
      </c>
      <c r="I7734" s="6">
        <v>5.8182553222258084</v>
      </c>
      <c r="K7734" s="8"/>
    </row>
    <row r="7735" spans="1:11" ht="15" x14ac:dyDescent="0.25">
      <c r="A7735" s="3" t="str">
        <f>HYPERLINK("proteomic_fractions_linear_files/Yang_linear_img/6678419.jpg", "6678419")</f>
        <v>6678419</v>
      </c>
      <c r="C7735" s="3" t="str">
        <f>HYPERLINK("http://www.ncbi.nlm.nih.gov/protein/6678419","Tpp2")</f>
        <v>Tpp2</v>
      </c>
      <c r="E7735" t="str">
        <f>HYPERLINK("J:\Depot - mpkCCD Fractions\Main Web Page\Web Pages_old\proteomic_fractions_linear_files/Yang_linear_img/6678419.jpg","show blot")</f>
        <v>show blot</v>
      </c>
      <c r="G7735" t="s">
        <v>7492</v>
      </c>
      <c r="I7735" s="6">
        <v>5.2351348663605837</v>
      </c>
      <c r="K7735" s="8"/>
    </row>
    <row r="7736" spans="1:11" ht="15" x14ac:dyDescent="0.25">
      <c r="A7736" s="3" t="str">
        <f>HYPERLINK("proteomic_fractions_linear_files/Yang_linear_img/270309140.jpg", "270309140")</f>
        <v>270309140</v>
      </c>
      <c r="C7736" s="3" t="str">
        <f>HYPERLINK("http://www.ncbi.nlm.nih.gov/protein/270309140","Tpr")</f>
        <v>Tpr</v>
      </c>
      <c r="E7736" t="str">
        <f>HYPERLINK("J:\Depot - mpkCCD Fractions\Main Web Page\Web Pages_old\proteomic_fractions_linear_files/Yang_linear_img/270309140.jpg","show blot")</f>
        <v>show blot</v>
      </c>
      <c r="G7736" t="s">
        <v>7493</v>
      </c>
      <c r="I7736" s="6">
        <v>4.9544750297712445</v>
      </c>
      <c r="K7736" s="8"/>
    </row>
    <row r="7737" spans="1:11" ht="15" x14ac:dyDescent="0.25">
      <c r="A7737" s="3" t="str">
        <f>HYPERLINK("proteomic_fractions_linear_files/Yang_linear_img/21312776.jpg", "21312776")</f>
        <v>21312776</v>
      </c>
      <c r="C7737" s="3" t="str">
        <f>HYPERLINK("http://www.ncbi.nlm.nih.gov/protein/21312776","Tprgl")</f>
        <v>Tprgl</v>
      </c>
      <c r="E7737" t="str">
        <f>HYPERLINK("J:\Depot - mpkCCD Fractions\Main Web Page\Web Pages_old\proteomic_fractions_linear_files/Yang_linear_img/21312776.jpg","show blot")</f>
        <v>show blot</v>
      </c>
      <c r="G7737" t="s">
        <v>7494</v>
      </c>
      <c r="I7737" s="6">
        <v>4.3680470210074835</v>
      </c>
      <c r="K7737" s="8"/>
    </row>
    <row r="7738" spans="1:11" ht="15" x14ac:dyDescent="0.25">
      <c r="A7738" s="3" t="str">
        <f>HYPERLINK("proteomic_fractions_linear_files/Yang_linear_img/28849893.jpg", "28849893")</f>
        <v>28849893</v>
      </c>
      <c r="C7738" s="3" t="str">
        <f>HYPERLINK("http://www.ncbi.nlm.nih.gov/protein/28849893","Tprkb")</f>
        <v>Tprkb</v>
      </c>
      <c r="E7738" t="str">
        <f>HYPERLINK("J:\Depot - mpkCCD Fractions\Main Web Page\Web Pages_old\proteomic_fractions_linear_files/Yang_linear_img/28849893.jpg","show blot")</f>
        <v>show blot</v>
      </c>
      <c r="G7738" t="s">
        <v>7495</v>
      </c>
      <c r="I7738" s="6">
        <v>5.1560636018707591</v>
      </c>
      <c r="K7738" s="8"/>
    </row>
    <row r="7739" spans="1:11" ht="15" x14ac:dyDescent="0.25">
      <c r="A7739" s="3" t="str">
        <f>HYPERLINK("proteomic_fractions_linear_files/Yang_linear_img/28849893;281427253.jpg", "28849893;281427253")</f>
        <v>28849893;281427253</v>
      </c>
      <c r="C7739" s="3" t="str">
        <f>HYPERLINK("http://www.ncbi.nlm.nih.gov/protein/28849893;281427253","Tprkb")</f>
        <v>Tprkb</v>
      </c>
      <c r="E7739" t="str">
        <f>HYPERLINK("J:\Depot - mpkCCD Fractions\Main Web Page\Web Pages_old\proteomic_fractions_linear_files/Yang_linear_img/28849893;281427253.jpg","show blot")</f>
        <v>show blot</v>
      </c>
      <c r="G7739" t="s">
        <v>7495</v>
      </c>
      <c r="I7739" s="6">
        <v>5.1560636018707591</v>
      </c>
      <c r="K7739" s="8"/>
    </row>
    <row r="7740" spans="1:11" ht="15" x14ac:dyDescent="0.25">
      <c r="A7740" s="3" t="str">
        <f>HYPERLINK("proteomic_fractions_linear_files/Yang_linear_img/281427253;28849893.jpg", "281427253;28849893")</f>
        <v>281427253;28849893</v>
      </c>
      <c r="C7740" s="3" t="str">
        <f>HYPERLINK("http://www.ncbi.nlm.nih.gov/protein/281427253;28849893","Tprkb")</f>
        <v>Tprkb</v>
      </c>
      <c r="E7740" t="str">
        <f>HYPERLINK("J:\Depot - mpkCCD Fractions\Main Web Page\Web Pages_old\proteomic_fractions_linear_files/Yang_linear_img/281427253;28849893.jpg","show blot")</f>
        <v>show blot</v>
      </c>
      <c r="G7740" t="s">
        <v>7495</v>
      </c>
      <c r="I7740" s="6">
        <v>5.1560636018707591</v>
      </c>
      <c r="K7740" s="8"/>
    </row>
    <row r="7741" spans="1:11" ht="15" x14ac:dyDescent="0.25">
      <c r="A7741" s="3" t="str">
        <f>HYPERLINK("proteomic_fractions_linear_files/Yang_linear_img/190014629.jpg", "190014629")</f>
        <v>190014629</v>
      </c>
      <c r="C7741" s="3" t="str">
        <f>HYPERLINK("http://www.ncbi.nlm.nih.gov/protein/190014629","Tprn")</f>
        <v>Tprn</v>
      </c>
      <c r="E7741" t="str">
        <f>HYPERLINK("J:\Depot - mpkCCD Fractions\Main Web Page\Web Pages_old\proteomic_fractions_linear_files/Yang_linear_img/190014629.jpg","show blot")</f>
        <v>show blot</v>
      </c>
      <c r="G7741" t="s">
        <v>7496</v>
      </c>
      <c r="I7741" s="6">
        <v>4.6560079360980398</v>
      </c>
      <c r="K7741" s="8"/>
    </row>
    <row r="7742" spans="1:11" ht="15" x14ac:dyDescent="0.25">
      <c r="A7742" s="3" t="str">
        <f>HYPERLINK("proteomic_fractions_linear_files/Yang_linear_img/255683445.jpg", "255683445")</f>
        <v>255683445</v>
      </c>
      <c r="C7742" s="3" t="str">
        <f>HYPERLINK("http://www.ncbi.nlm.nih.gov/protein/255683445","Tpsg1")</f>
        <v>Tpsg1</v>
      </c>
      <c r="E7742" t="str">
        <f>HYPERLINK("J:\Depot - mpkCCD Fractions\Main Web Page\Web Pages_old\proteomic_fractions_linear_files/Yang_linear_img/255683445.jpg","show blot")</f>
        <v>show blot</v>
      </c>
      <c r="G7742" t="s">
        <v>7497</v>
      </c>
      <c r="I7742" s="6">
        <v>3.0759933414033513</v>
      </c>
      <c r="K7742" s="8"/>
    </row>
    <row r="7743" spans="1:11" ht="15" x14ac:dyDescent="0.25">
      <c r="A7743" s="3" t="str">
        <f>HYPERLINK("proteomic_fractions_linear_files/Yang_linear_img/6678437.jpg", "6678437")</f>
        <v>6678437</v>
      </c>
      <c r="C7743" s="3" t="str">
        <f>HYPERLINK("http://www.ncbi.nlm.nih.gov/protein/6678437","Tpt1")</f>
        <v>Tpt1</v>
      </c>
      <c r="E7743" t="str">
        <f>HYPERLINK("J:\Depot - mpkCCD Fractions\Main Web Page\Web Pages_old\proteomic_fractions_linear_files/Yang_linear_img/6678437.jpg","show blot")</f>
        <v>show blot</v>
      </c>
      <c r="G7743" t="s">
        <v>7498</v>
      </c>
      <c r="I7743" s="6">
        <v>6.5681272263668324</v>
      </c>
      <c r="K7743" s="8"/>
    </row>
    <row r="7744" spans="1:11" ht="15" x14ac:dyDescent="0.25">
      <c r="A7744" s="3" t="str">
        <f>HYPERLINK("proteomic_fractions_linear_files/Yang_linear_img/269784764.jpg", "269784764")</f>
        <v>269784764</v>
      </c>
      <c r="C7744" s="3" t="str">
        <f>HYPERLINK("http://www.ncbi.nlm.nih.gov/protein/269784764","Tpte")</f>
        <v>Tpte</v>
      </c>
      <c r="E7744" t="str">
        <f>HYPERLINK("J:\Depot - mpkCCD Fractions\Main Web Page\Web Pages_old\proteomic_fractions_linear_files/Yang_linear_img/269784764.jpg","show blot")</f>
        <v>show blot</v>
      </c>
      <c r="G7744" t="s">
        <v>7499</v>
      </c>
      <c r="I7744" s="6">
        <v>4.1837876574018047</v>
      </c>
      <c r="K7744" s="8"/>
    </row>
    <row r="7745" spans="1:11" ht="15" x14ac:dyDescent="0.25">
      <c r="A7745" s="3" t="str">
        <f>HYPERLINK("proteomic_fractions_linear_files/Yang_linear_img/111160869.jpg", "111160869")</f>
        <v>111160869</v>
      </c>
      <c r="C7745" s="3" t="str">
        <f>HYPERLINK("http://www.ncbi.nlm.nih.gov/protein/111160869","Tra2a")</f>
        <v>Tra2a</v>
      </c>
      <c r="E7745" t="str">
        <f>HYPERLINK("J:\Depot - mpkCCD Fractions\Main Web Page\Web Pages_old\proteomic_fractions_linear_files/Yang_linear_img/111160869.jpg","show blot")</f>
        <v>show blot</v>
      </c>
      <c r="G7745" t="s">
        <v>7500</v>
      </c>
      <c r="I7745" s="6">
        <v>4.1718957284752785</v>
      </c>
      <c r="K7745" s="8"/>
    </row>
    <row r="7746" spans="1:11" ht="15" x14ac:dyDescent="0.25">
      <c r="A7746" s="3" t="str">
        <f>HYPERLINK("proteomic_fractions_linear_files/Yang_linear_img/6677975.jpg", "6677975")</f>
        <v>6677975</v>
      </c>
      <c r="C7746" s="3" t="str">
        <f>HYPERLINK("http://www.ncbi.nlm.nih.gov/protein/6677975","Tra2b")</f>
        <v>Tra2b</v>
      </c>
      <c r="E7746" t="str">
        <f>HYPERLINK("J:\Depot - mpkCCD Fractions\Main Web Page\Web Pages_old\proteomic_fractions_linear_files/Yang_linear_img/6677975.jpg","show blot")</f>
        <v>show blot</v>
      </c>
      <c r="G7746" t="s">
        <v>7501</v>
      </c>
      <c r="I7746" s="6">
        <v>5.0407010613941372</v>
      </c>
      <c r="K7746" s="8"/>
    </row>
    <row r="7747" spans="1:11" ht="15" x14ac:dyDescent="0.25">
      <c r="A7747" s="3" t="str">
        <f>HYPERLINK("proteomic_fractions_linear_files/Yang_linear_img/117606383.jpg", "117606383")</f>
        <v>117606383</v>
      </c>
      <c r="C7747" s="3" t="str">
        <f>HYPERLINK("http://www.ncbi.nlm.nih.gov/protein/117606383","Trabd")</f>
        <v>Trabd</v>
      </c>
      <c r="E7747" t="str">
        <f>HYPERLINK("J:\Depot - mpkCCD Fractions\Main Web Page\Web Pages_old\proteomic_fractions_linear_files/Yang_linear_img/117606383.jpg","show blot")</f>
        <v>show blot</v>
      </c>
      <c r="G7747" t="s">
        <v>7502</v>
      </c>
      <c r="I7747" s="6">
        <v>3.2867247905056378</v>
      </c>
      <c r="K7747" s="8"/>
    </row>
    <row r="7748" spans="1:11" ht="15" x14ac:dyDescent="0.25">
      <c r="A7748" s="3" t="str">
        <f>HYPERLINK("proteomic_fractions_linear_files/Yang_linear_img/75677522.jpg", "75677522")</f>
        <v>75677522</v>
      </c>
      <c r="C7748" s="3" t="str">
        <f>HYPERLINK("http://www.ncbi.nlm.nih.gov/protein/75677522","Tradd")</f>
        <v>Tradd</v>
      </c>
      <c r="E7748" t="str">
        <f>HYPERLINK("J:\Depot - mpkCCD Fractions\Main Web Page\Web Pages_old\proteomic_fractions_linear_files/Yang_linear_img/75677522.jpg","show blot")</f>
        <v>show blot</v>
      </c>
      <c r="G7748" t="s">
        <v>7503</v>
      </c>
      <c r="I7748" s="6">
        <v>4.8288015146070791</v>
      </c>
      <c r="K7748" s="8"/>
    </row>
    <row r="7749" spans="1:11" ht="15" x14ac:dyDescent="0.25">
      <c r="A7749" s="3" t="str">
        <f>HYPERLINK("proteomic_fractions_linear_files/Yang_linear_img/83921633.jpg", "83921633")</f>
        <v>83921633</v>
      </c>
      <c r="C7749" s="3" t="str">
        <f>HYPERLINK("http://www.ncbi.nlm.nih.gov/protein/83921633","Traf2")</f>
        <v>Traf2</v>
      </c>
      <c r="E7749" t="str">
        <f>HYPERLINK("J:\Depot - mpkCCD Fractions\Main Web Page\Web Pages_old\proteomic_fractions_linear_files/Yang_linear_img/83921633.jpg","show blot")</f>
        <v>show blot</v>
      </c>
      <c r="G7749" t="s">
        <v>7504</v>
      </c>
      <c r="I7749" s="6">
        <v>4.118323904903459</v>
      </c>
      <c r="K7749" s="8"/>
    </row>
    <row r="7750" spans="1:11" ht="15" x14ac:dyDescent="0.25">
      <c r="A7750" s="3" t="str">
        <f>HYPERLINK("proteomic_fractions_linear_files/Yang_linear_img/6755867.jpg", "6755867")</f>
        <v>6755867</v>
      </c>
      <c r="C7750" s="3" t="str">
        <f>HYPERLINK("http://www.ncbi.nlm.nih.gov/protein/6755867","Traf5")</f>
        <v>Traf5</v>
      </c>
      <c r="E7750" t="str">
        <f>HYPERLINK("J:\Depot - mpkCCD Fractions\Main Web Page\Web Pages_old\proteomic_fractions_linear_files/Yang_linear_img/6755867.jpg","show blot")</f>
        <v>show blot</v>
      </c>
      <c r="G7750" t="s">
        <v>7505</v>
      </c>
      <c r="I7750" s="6">
        <v>2.6935758206798943</v>
      </c>
      <c r="K7750" s="8"/>
    </row>
    <row r="7751" spans="1:11" ht="15" x14ac:dyDescent="0.25">
      <c r="A7751" s="3" t="str">
        <f>HYPERLINK("proteomic_fractions_linear_files/Yang_linear_img/30794386.jpg", "30794386")</f>
        <v>30794386</v>
      </c>
      <c r="C7751" s="3" t="str">
        <f>HYPERLINK("http://www.ncbi.nlm.nih.gov/protein/30794386","Tram1")</f>
        <v>Tram1</v>
      </c>
      <c r="E7751" t="str">
        <f>HYPERLINK("J:\Depot - mpkCCD Fractions\Main Web Page\Web Pages_old\proteomic_fractions_linear_files/Yang_linear_img/30794386.jpg","show blot")</f>
        <v>show blot</v>
      </c>
      <c r="G7751" t="s">
        <v>7506</v>
      </c>
      <c r="I7751" s="6">
        <v>3.8553000325346432</v>
      </c>
      <c r="K7751" s="8"/>
    </row>
    <row r="7752" spans="1:11" ht="15" x14ac:dyDescent="0.25">
      <c r="A7752" s="3" t="str">
        <f>HYPERLINK("proteomic_fractions_linear_files/Yang_linear_img/13385998.jpg", "13385998")</f>
        <v>13385998</v>
      </c>
      <c r="C7752" s="3" t="str">
        <f>HYPERLINK("http://www.ncbi.nlm.nih.gov/protein/13385998","Trap1")</f>
        <v>Trap1</v>
      </c>
      <c r="E7752" t="str">
        <f>HYPERLINK("J:\Depot - mpkCCD Fractions\Main Web Page\Web Pages_old\proteomic_fractions_linear_files/Yang_linear_img/13385998.jpg","show blot")</f>
        <v>show blot</v>
      </c>
      <c r="G7752" t="s">
        <v>7507</v>
      </c>
      <c r="I7752" s="6">
        <v>6.3225607118242575</v>
      </c>
      <c r="K7752" s="8"/>
    </row>
    <row r="7753" spans="1:11" ht="15" x14ac:dyDescent="0.25">
      <c r="A7753" s="3" t="str">
        <f>HYPERLINK("proteomic_fractions_linear_files/Yang_linear_img/66730565.jpg", "66730565")</f>
        <v>66730565</v>
      </c>
      <c r="C7753" s="3" t="str">
        <f>HYPERLINK("http://www.ncbi.nlm.nih.gov/protein/66730565","Trappc1")</f>
        <v>Trappc1</v>
      </c>
      <c r="E7753" t="str">
        <f>HYPERLINK("J:\Depot - mpkCCD Fractions\Main Web Page\Web Pages_old\proteomic_fractions_linear_files/Yang_linear_img/66730565.jpg","show blot")</f>
        <v>show blot</v>
      </c>
      <c r="G7753" t="s">
        <v>7508</v>
      </c>
      <c r="I7753" s="6">
        <v>5.04388298305002</v>
      </c>
      <c r="K7753" s="8"/>
    </row>
    <row r="7754" spans="1:11" ht="15" x14ac:dyDescent="0.25">
      <c r="A7754" s="3" t="str">
        <f>HYPERLINK("proteomic_fractions_linear_files/Yang_linear_img/124486684.jpg", "124486684")</f>
        <v>124486684</v>
      </c>
      <c r="C7754" s="3" t="str">
        <f>HYPERLINK("http://www.ncbi.nlm.nih.gov/protein/124486684","Trappc10")</f>
        <v>Trappc10</v>
      </c>
      <c r="E7754" t="str">
        <f>HYPERLINK("J:\Depot - mpkCCD Fractions\Main Web Page\Web Pages_old\proteomic_fractions_linear_files/Yang_linear_img/124486684.jpg","show blot")</f>
        <v>show blot</v>
      </c>
      <c r="G7754" t="s">
        <v>7509</v>
      </c>
      <c r="I7754" s="6">
        <v>3.8791023881422668</v>
      </c>
      <c r="K7754" s="8"/>
    </row>
    <row r="7755" spans="1:11" ht="15" x14ac:dyDescent="0.25">
      <c r="A7755" s="3" t="str">
        <f>HYPERLINK("proteomic_fractions_linear_files/Yang_linear_img/62241019.jpg", "62241019")</f>
        <v>62241019</v>
      </c>
      <c r="C7755" s="3" t="str">
        <f>HYPERLINK("http://www.ncbi.nlm.nih.gov/protein/62241019","Trappc11")</f>
        <v>Trappc11</v>
      </c>
      <c r="E7755" t="str">
        <f>HYPERLINK("J:\Depot - mpkCCD Fractions\Main Web Page\Web Pages_old\proteomic_fractions_linear_files/Yang_linear_img/62241019.jpg","show blot")</f>
        <v>show blot</v>
      </c>
      <c r="G7755" t="s">
        <v>7510</v>
      </c>
      <c r="I7755" s="6">
        <v>3.3717906034252936</v>
      </c>
      <c r="K7755" s="8"/>
    </row>
    <row r="7756" spans="1:11" ht="15" x14ac:dyDescent="0.25">
      <c r="A7756" s="3" t="str">
        <f>HYPERLINK("proteomic_fractions_linear_files/Yang_linear_img/238637273;238637271.jpg", "238637273;238637271")</f>
        <v>238637273;238637271</v>
      </c>
      <c r="C7756" s="3" t="str">
        <f>HYPERLINK("http://www.ncbi.nlm.nih.gov/protein/238637273;238637271","Trappc12")</f>
        <v>Trappc12</v>
      </c>
      <c r="E7756" t="str">
        <f>HYPERLINK("J:\Depot - mpkCCD Fractions\Main Web Page\Web Pages_old\proteomic_fractions_linear_files/Yang_linear_img/238637273;238637271.jpg","show blot")</f>
        <v>show blot</v>
      </c>
      <c r="G7756" t="s">
        <v>7511</v>
      </c>
      <c r="I7756" s="6">
        <v>3.0806264869218056</v>
      </c>
      <c r="K7756" s="8"/>
    </row>
    <row r="7757" spans="1:11" ht="15" x14ac:dyDescent="0.25">
      <c r="A7757" s="3" t="str">
        <f>HYPERLINK("proteomic_fractions_linear_files/Yang_linear_img/238637273.jpg", "238637273")</f>
        <v>238637273</v>
      </c>
      <c r="C7757" s="3" t="str">
        <f>HYPERLINK("http://www.ncbi.nlm.nih.gov/protein/238637273","Trappc12")</f>
        <v>Trappc12</v>
      </c>
      <c r="E7757" t="str">
        <f>HYPERLINK("J:\Depot - mpkCCD Fractions\Main Web Page\Web Pages_old\proteomic_fractions_linear_files/Yang_linear_img/238637273.jpg","show blot")</f>
        <v>show blot</v>
      </c>
      <c r="G7757" t="s">
        <v>7511</v>
      </c>
      <c r="I7757" s="6">
        <v>3.0806264869218056</v>
      </c>
      <c r="K7757" s="8"/>
    </row>
    <row r="7758" spans="1:11" ht="15" x14ac:dyDescent="0.25">
      <c r="A7758" s="3" t="str">
        <f>HYPERLINK("proteomic_fractions_linear_files/Yang_linear_img/238637275.jpg", "238637275")</f>
        <v>238637275</v>
      </c>
      <c r="C7758" s="3" t="str">
        <f>HYPERLINK("http://www.ncbi.nlm.nih.gov/protein/238637275","Trappc12")</f>
        <v>Trappc12</v>
      </c>
      <c r="E7758" t="str">
        <f>HYPERLINK("J:\Depot - mpkCCD Fractions\Main Web Page\Web Pages_old\proteomic_fractions_linear_files/Yang_linear_img/238637275.jpg","show blot")</f>
        <v>show blot</v>
      </c>
      <c r="G7758" t="s">
        <v>7512</v>
      </c>
      <c r="I7758" s="6">
        <v>3.0806264869218056</v>
      </c>
      <c r="K7758" s="8"/>
    </row>
    <row r="7759" spans="1:11" ht="15" x14ac:dyDescent="0.25">
      <c r="A7759" s="3" t="str">
        <f>HYPERLINK("proteomic_fractions_linear_files/Yang_linear_img/153791919.jpg", "153791919")</f>
        <v>153791919</v>
      </c>
      <c r="C7759" s="3" t="str">
        <f>HYPERLINK("http://www.ncbi.nlm.nih.gov/protein/153791919","Trappc2")</f>
        <v>Trappc2</v>
      </c>
      <c r="E7759" t="str">
        <f>HYPERLINK("J:\Depot - mpkCCD Fractions\Main Web Page\Web Pages_old\proteomic_fractions_linear_files/Yang_linear_img/153791919.jpg","show blot")</f>
        <v>show blot</v>
      </c>
      <c r="G7759" t="s">
        <v>7513</v>
      </c>
      <c r="I7759" s="6">
        <v>4.898051626649389</v>
      </c>
      <c r="K7759" s="8"/>
    </row>
    <row r="7760" spans="1:11" ht="15" x14ac:dyDescent="0.25">
      <c r="A7760" s="3" t="str">
        <f>HYPERLINK("proteomic_fractions_linear_files/Yang_linear_img/10946914.jpg", "10946914")</f>
        <v>10946914</v>
      </c>
      <c r="C7760" s="3" t="str">
        <f>HYPERLINK("http://www.ncbi.nlm.nih.gov/protein/10946914","Trappc2l")</f>
        <v>Trappc2l</v>
      </c>
      <c r="E7760" t="str">
        <f>HYPERLINK("J:\Depot - mpkCCD Fractions\Main Web Page\Web Pages_old\proteomic_fractions_linear_files/Yang_linear_img/10946914.jpg","show blot")</f>
        <v>show blot</v>
      </c>
      <c r="G7760" t="s">
        <v>7514</v>
      </c>
      <c r="I7760" s="6">
        <v>5.0012087035123125</v>
      </c>
      <c r="K7760" s="8"/>
    </row>
    <row r="7761" spans="1:11" ht="15" x14ac:dyDescent="0.25">
      <c r="A7761" s="3" t="str">
        <f>HYPERLINK("proteomic_fractions_linear_files/Yang_linear_img/7304929.jpg", "7304929")</f>
        <v>7304929</v>
      </c>
      <c r="C7761" s="3" t="str">
        <f>HYPERLINK("http://www.ncbi.nlm.nih.gov/protein/7304929","Trappc3")</f>
        <v>Trappc3</v>
      </c>
      <c r="E7761" t="str">
        <f>HYPERLINK("J:\Depot - mpkCCD Fractions\Main Web Page\Web Pages_old\proteomic_fractions_linear_files/Yang_linear_img/7304929.jpg","show blot")</f>
        <v>show blot</v>
      </c>
      <c r="G7761" t="s">
        <v>7515</v>
      </c>
      <c r="I7761" s="6">
        <v>5.7492442324791586</v>
      </c>
      <c r="K7761" s="8"/>
    </row>
    <row r="7762" spans="1:11" ht="15" x14ac:dyDescent="0.25">
      <c r="A7762" s="3" t="str">
        <f>HYPERLINK("proteomic_fractions_linear_files/Yang_linear_img/11140825.jpg", "11140825")</f>
        <v>11140825</v>
      </c>
      <c r="C7762" s="3" t="str">
        <f>HYPERLINK("http://www.ncbi.nlm.nih.gov/protein/11140825","Trappc4")</f>
        <v>Trappc4</v>
      </c>
      <c r="E7762" t="str">
        <f>HYPERLINK("J:\Depot - mpkCCD Fractions\Main Web Page\Web Pages_old\proteomic_fractions_linear_files/Yang_linear_img/11140825.jpg","show blot")</f>
        <v>show blot</v>
      </c>
      <c r="G7762" t="s">
        <v>7516</v>
      </c>
      <c r="I7762" s="6">
        <v>5.00948736629707</v>
      </c>
      <c r="K7762" s="8"/>
    </row>
    <row r="7763" spans="1:11" ht="15" x14ac:dyDescent="0.25">
      <c r="A7763" s="3" t="str">
        <f>HYPERLINK("proteomic_fractions_linear_files/Yang_linear_img/157266281.jpg", "157266281")</f>
        <v>157266281</v>
      </c>
      <c r="C7763" s="3" t="str">
        <f>HYPERLINK("http://www.ncbi.nlm.nih.gov/protein/157266281","Trappc5")</f>
        <v>Trappc5</v>
      </c>
      <c r="E7763" t="str">
        <f>HYPERLINK("J:\Depot - mpkCCD Fractions\Main Web Page\Web Pages_old\proteomic_fractions_linear_files/Yang_linear_img/157266281.jpg","show blot")</f>
        <v>show blot</v>
      </c>
      <c r="G7763" t="s">
        <v>7517</v>
      </c>
      <c r="I7763" s="6">
        <v>5.6089629163068739</v>
      </c>
      <c r="K7763" s="8"/>
    </row>
    <row r="7764" spans="1:11" ht="15" x14ac:dyDescent="0.25">
      <c r="A7764" s="3" t="str">
        <f>HYPERLINK("proteomic_fractions_linear_files/Yang_linear_img/31981104.jpg", "31981104")</f>
        <v>31981104</v>
      </c>
      <c r="C7764" s="3" t="str">
        <f>HYPERLINK("http://www.ncbi.nlm.nih.gov/protein/31981104","Trappc6a")</f>
        <v>Trappc6a</v>
      </c>
      <c r="E7764" t="str">
        <f>HYPERLINK("J:\Depot - mpkCCD Fractions\Main Web Page\Web Pages_old\proteomic_fractions_linear_files/Yang_linear_img/31981104.jpg","show blot")</f>
        <v>show blot</v>
      </c>
      <c r="G7764" t="s">
        <v>7518</v>
      </c>
      <c r="I7764" s="6">
        <v>2.9500693306649048</v>
      </c>
      <c r="K7764" s="8"/>
    </row>
    <row r="7765" spans="1:11" ht="15" x14ac:dyDescent="0.25">
      <c r="A7765" s="3" t="str">
        <f>HYPERLINK("proteomic_fractions_linear_files/Yang_linear_img/58037519.jpg", "58037519")</f>
        <v>58037519</v>
      </c>
      <c r="C7765" s="3" t="str">
        <f>HYPERLINK("http://www.ncbi.nlm.nih.gov/protein/58037519","Trappc6b")</f>
        <v>Trappc6b</v>
      </c>
      <c r="E7765" t="str">
        <f>HYPERLINK("J:\Depot - mpkCCD Fractions\Main Web Page\Web Pages_old\proteomic_fractions_linear_files/Yang_linear_img/58037519.jpg","show blot")</f>
        <v>show blot</v>
      </c>
      <c r="G7765" t="s">
        <v>7519</v>
      </c>
      <c r="I7765" s="6">
        <v>5.5519684713077027</v>
      </c>
      <c r="K7765" s="8"/>
    </row>
    <row r="7766" spans="1:11" ht="15" x14ac:dyDescent="0.25">
      <c r="A7766" s="3" t="str">
        <f>HYPERLINK("proteomic_fractions_linear_files/Yang_linear_img/291621688.jpg", "291621688")</f>
        <v>291621688</v>
      </c>
      <c r="C7766" s="3" t="str">
        <f>HYPERLINK("http://www.ncbi.nlm.nih.gov/protein/291621688","Trappc8")</f>
        <v>Trappc8</v>
      </c>
      <c r="E7766" t="str">
        <f>HYPERLINK("J:\Depot - mpkCCD Fractions\Main Web Page\Web Pages_old\proteomic_fractions_linear_files/Yang_linear_img/291621688.jpg","show blot")</f>
        <v>show blot</v>
      </c>
      <c r="G7766" t="s">
        <v>7520</v>
      </c>
      <c r="I7766" s="6">
        <v>2.4965711212916664</v>
      </c>
      <c r="K7766" s="8"/>
    </row>
    <row r="7767" spans="1:11" ht="15" x14ac:dyDescent="0.25">
      <c r="A7767" s="3" t="str">
        <f>HYPERLINK("proteomic_fractions_linear_files/Yang_linear_img/257467575.jpg", "257467575")</f>
        <v>257467575</v>
      </c>
      <c r="C7767" s="3" t="str">
        <f>HYPERLINK("http://www.ncbi.nlm.nih.gov/protein/257467575","Trappc9")</f>
        <v>Trappc9</v>
      </c>
      <c r="E7767" t="str">
        <f>HYPERLINK("J:\Depot - mpkCCD Fractions\Main Web Page\Web Pages_old\proteomic_fractions_linear_files/Yang_linear_img/257467575.jpg","show blot")</f>
        <v>show blot</v>
      </c>
      <c r="G7767" t="s">
        <v>7521</v>
      </c>
      <c r="I7767" s="6">
        <v>4.599242177839769</v>
      </c>
      <c r="K7767" s="8"/>
    </row>
    <row r="7768" spans="1:11" ht="15" x14ac:dyDescent="0.25">
      <c r="A7768" s="3" t="str">
        <f>HYPERLINK("proteomic_fractions_linear_files/Yang_linear_img/257467578.jpg", "257467578")</f>
        <v>257467578</v>
      </c>
      <c r="C7768" s="3" t="str">
        <f>HYPERLINK("http://www.ncbi.nlm.nih.gov/protein/257467578","Trappc9")</f>
        <v>Trappc9</v>
      </c>
      <c r="E7768" t="str">
        <f>HYPERLINK("J:\Depot - mpkCCD Fractions\Main Web Page\Web Pages_old\proteomic_fractions_linear_files/Yang_linear_img/257467578.jpg","show blot")</f>
        <v>show blot</v>
      </c>
      <c r="G7768" t="s">
        <v>7522</v>
      </c>
      <c r="I7768" s="6">
        <v>4.599242177839769</v>
      </c>
      <c r="K7768" s="8"/>
    </row>
    <row r="7769" spans="1:11" ht="15" x14ac:dyDescent="0.25">
      <c r="A7769" s="3" t="str">
        <f>HYPERLINK("proteomic_fractions_linear_files/Yang_linear_img/257467580.jpg", "257467580")</f>
        <v>257467580</v>
      </c>
      <c r="C7769" s="3" t="str">
        <f>HYPERLINK("http://www.ncbi.nlm.nih.gov/protein/257467580","Trappc9")</f>
        <v>Trappc9</v>
      </c>
      <c r="E7769" t="str">
        <f>HYPERLINK("J:\Depot - mpkCCD Fractions\Main Web Page\Web Pages_old\proteomic_fractions_linear_files/Yang_linear_img/257467580.jpg","show blot")</f>
        <v>show blot</v>
      </c>
      <c r="G7769" t="s">
        <v>7523</v>
      </c>
      <c r="I7769" s="6">
        <v>4.599242177839769</v>
      </c>
      <c r="K7769" s="8"/>
    </row>
    <row r="7770" spans="1:11" ht="15" x14ac:dyDescent="0.25">
      <c r="A7770" s="3" t="str">
        <f>HYPERLINK("proteomic_fractions_linear_files/Yang_linear_img/257467582.jpg", "257467582")</f>
        <v>257467582</v>
      </c>
      <c r="C7770" s="3" t="str">
        <f>HYPERLINK("http://www.ncbi.nlm.nih.gov/protein/257467582","Trappc9")</f>
        <v>Trappc9</v>
      </c>
      <c r="E7770" t="str">
        <f>HYPERLINK("J:\Depot - mpkCCD Fractions\Main Web Page\Web Pages_old\proteomic_fractions_linear_files/Yang_linear_img/257467582.jpg","show blot")</f>
        <v>show blot</v>
      </c>
      <c r="G7770" t="s">
        <v>7524</v>
      </c>
      <c r="I7770" s="6">
        <v>4.599242177839769</v>
      </c>
      <c r="K7770" s="8"/>
    </row>
    <row r="7771" spans="1:11" ht="15" x14ac:dyDescent="0.25">
      <c r="A7771" s="3" t="str">
        <f>HYPERLINK("proteomic_fractions_linear_files/Yang_linear_img/30840992.jpg", "30840992")</f>
        <v>30840992</v>
      </c>
      <c r="C7771" s="3" t="str">
        <f>HYPERLINK("http://www.ncbi.nlm.nih.gov/protein/30840992","Trappc9")</f>
        <v>Trappc9</v>
      </c>
      <c r="E7771" t="str">
        <f>HYPERLINK("J:\Depot - mpkCCD Fractions\Main Web Page\Web Pages_old\proteomic_fractions_linear_files/Yang_linear_img/30840992.jpg","show blot")</f>
        <v>show blot</v>
      </c>
      <c r="G7771" t="s">
        <v>7525</v>
      </c>
      <c r="I7771" s="6">
        <v>4.599242177839769</v>
      </c>
      <c r="K7771" s="8"/>
    </row>
    <row r="7772" spans="1:11" ht="15" x14ac:dyDescent="0.25">
      <c r="A7772" s="3" t="str">
        <f>HYPERLINK("proteomic_fractions_linear_files/Yang_linear_img/21312202.jpg", "21312202")</f>
        <v>21312202</v>
      </c>
      <c r="C7772" s="3" t="str">
        <f>HYPERLINK("http://www.ncbi.nlm.nih.gov/protein/21312202","Triap1")</f>
        <v>Triap1</v>
      </c>
      <c r="E7772" t="str">
        <f>HYPERLINK("J:\Depot - mpkCCD Fractions\Main Web Page\Web Pages_old\proteomic_fractions_linear_files/Yang_linear_img/21312202.jpg","show blot")</f>
        <v>show blot</v>
      </c>
      <c r="G7772" t="s">
        <v>7526</v>
      </c>
      <c r="I7772" s="6">
        <v>3.5852256326976866</v>
      </c>
      <c r="K7772" s="8"/>
    </row>
    <row r="7773" spans="1:11" ht="15" x14ac:dyDescent="0.25">
      <c r="A7773" s="3" t="str">
        <f>HYPERLINK("proteomic_fractions_linear_files/Yang_linear_img/70778828.jpg", "70778828")</f>
        <v>70778828</v>
      </c>
      <c r="C7773" s="3" t="str">
        <f>HYPERLINK("http://www.ncbi.nlm.nih.gov/protein/70778828","Trim16")</f>
        <v>Trim16</v>
      </c>
      <c r="E7773" t="str">
        <f>HYPERLINK("J:\Depot - mpkCCD Fractions\Main Web Page\Web Pages_old\proteomic_fractions_linear_files/Yang_linear_img/70778828.jpg","show blot")</f>
        <v>show blot</v>
      </c>
      <c r="G7773" t="s">
        <v>7527</v>
      </c>
      <c r="I7773" s="6">
        <v>4.0293774216242282</v>
      </c>
      <c r="K7773" s="8"/>
    </row>
    <row r="7774" spans="1:11" ht="15" x14ac:dyDescent="0.25">
      <c r="A7774" s="3" t="str">
        <f>HYPERLINK("proteomic_fractions_linear_files/Yang_linear_img/29789263.jpg", "29789263")</f>
        <v>29789263</v>
      </c>
      <c r="C7774" s="3" t="str">
        <f>HYPERLINK("http://www.ncbi.nlm.nih.gov/protein/29789263","Trim23")</f>
        <v>Trim23</v>
      </c>
      <c r="E7774" t="str">
        <f>HYPERLINK("J:\Depot - mpkCCD Fractions\Main Web Page\Web Pages_old\proteomic_fractions_linear_files/Yang_linear_img/29789263.jpg","show blot")</f>
        <v>show blot</v>
      </c>
      <c r="G7774" t="s">
        <v>7528</v>
      </c>
      <c r="I7774" s="6">
        <v>4.0412635082212471</v>
      </c>
      <c r="K7774" s="8"/>
    </row>
    <row r="7775" spans="1:11" ht="15" x14ac:dyDescent="0.25">
      <c r="A7775" s="3" t="str">
        <f>HYPERLINK("proteomic_fractions_linear_files/Yang_linear_img/440918679.jpg", "440918679")</f>
        <v>440918679</v>
      </c>
      <c r="C7775" s="3" t="str">
        <f>HYPERLINK("http://www.ncbi.nlm.nih.gov/protein/440918679","Trim24")</f>
        <v>Trim24</v>
      </c>
      <c r="E7775" t="str">
        <f>HYPERLINK("J:\Depot - mpkCCD Fractions\Main Web Page\Web Pages_old\proteomic_fractions_linear_files/Yang_linear_img/440918679.jpg","show blot")</f>
        <v>show blot</v>
      </c>
      <c r="G7775" t="s">
        <v>7529</v>
      </c>
      <c r="I7775" s="6">
        <v>3.4925787828597676</v>
      </c>
      <c r="K7775" s="8"/>
    </row>
    <row r="7776" spans="1:11" ht="15" x14ac:dyDescent="0.25">
      <c r="A7776" s="3" t="str">
        <f>HYPERLINK("proteomic_fractions_linear_files/Yang_linear_img/440918697.jpg", "440918697")</f>
        <v>440918697</v>
      </c>
      <c r="C7776" s="3" t="str">
        <f>HYPERLINK("http://www.ncbi.nlm.nih.gov/protein/440918697","Trim24")</f>
        <v>Trim24</v>
      </c>
      <c r="E7776" t="str">
        <f>HYPERLINK("J:\Depot - mpkCCD Fractions\Main Web Page\Web Pages_old\proteomic_fractions_linear_files/Yang_linear_img/440918697.jpg","show blot")</f>
        <v>show blot</v>
      </c>
      <c r="G7776" t="s">
        <v>7530</v>
      </c>
      <c r="I7776" s="6">
        <v>3.4925787828597676</v>
      </c>
      <c r="K7776" s="8"/>
    </row>
    <row r="7777" spans="1:11" ht="15" x14ac:dyDescent="0.25">
      <c r="A7777" s="3" t="str">
        <f>HYPERLINK("proteomic_fractions_linear_files/Yang_linear_img/94420998.jpg", "94420998")</f>
        <v>94420998</v>
      </c>
      <c r="C7777" s="3" t="str">
        <f>HYPERLINK("http://www.ncbi.nlm.nih.gov/protein/94420998","Trim24")</f>
        <v>Trim24</v>
      </c>
      <c r="E7777" t="str">
        <f>HYPERLINK("J:\Depot - mpkCCD Fractions\Main Web Page\Web Pages_old\proteomic_fractions_linear_files/Yang_linear_img/94420998.jpg","show blot")</f>
        <v>show blot</v>
      </c>
      <c r="G7777" t="s">
        <v>7531</v>
      </c>
      <c r="I7777" s="6">
        <v>3.4925787828597676</v>
      </c>
      <c r="K7777" s="8"/>
    </row>
    <row r="7778" spans="1:11" ht="15" x14ac:dyDescent="0.25">
      <c r="A7778" s="3" t="str">
        <f>HYPERLINK("proteomic_fractions_linear_files/Yang_linear_img/145207948.jpg", "145207948")</f>
        <v>145207948</v>
      </c>
      <c r="C7778" s="3" t="str">
        <f>HYPERLINK("http://www.ncbi.nlm.nih.gov/protein/145207948","Trim25")</f>
        <v>Trim25</v>
      </c>
      <c r="E7778" t="str">
        <f>HYPERLINK("J:\Depot - mpkCCD Fractions\Main Web Page\Web Pages_old\proteomic_fractions_linear_files/Yang_linear_img/145207948.jpg","show blot")</f>
        <v>show blot</v>
      </c>
      <c r="G7778" t="s">
        <v>7532</v>
      </c>
      <c r="I7778" s="6">
        <v>5.1371318469929985</v>
      </c>
      <c r="K7778" s="8"/>
    </row>
    <row r="7779" spans="1:11" ht="15" x14ac:dyDescent="0.25">
      <c r="A7779" s="3" t="str">
        <f>HYPERLINK("proteomic_fractions_linear_files/Yang_linear_img/125347389.jpg", "125347389")</f>
        <v>125347389</v>
      </c>
      <c r="C7779" s="3" t="str">
        <f>HYPERLINK("http://www.ncbi.nlm.nih.gov/protein/125347389","Trim27")</f>
        <v>Trim27</v>
      </c>
      <c r="E7779" t="str">
        <f>HYPERLINK("J:\Depot - mpkCCD Fractions\Main Web Page\Web Pages_old\proteomic_fractions_linear_files/Yang_linear_img/125347389.jpg","show blot")</f>
        <v>show blot</v>
      </c>
      <c r="G7779" t="s">
        <v>7533</v>
      </c>
      <c r="I7779" s="6">
        <v>3.2204970085357365</v>
      </c>
      <c r="K7779" s="8"/>
    </row>
    <row r="7780" spans="1:11" ht="15" x14ac:dyDescent="0.25">
      <c r="A7780" s="3" t="str">
        <f>HYPERLINK("proteomic_fractions_linear_files/Yang_linear_img/170295840.jpg", "170295840")</f>
        <v>170295840</v>
      </c>
      <c r="C7780" s="3" t="str">
        <f>HYPERLINK("http://www.ncbi.nlm.nih.gov/protein/170295840","Trim28")</f>
        <v>Trim28</v>
      </c>
      <c r="E7780" t="str">
        <f>HYPERLINK("J:\Depot - mpkCCD Fractions\Main Web Page\Web Pages_old\proteomic_fractions_linear_files/Yang_linear_img/170295840.jpg","show blot")</f>
        <v>show blot</v>
      </c>
      <c r="G7780" t="s">
        <v>7534</v>
      </c>
      <c r="I7780" s="6">
        <v>6.0119789079285058</v>
      </c>
      <c r="K7780" s="8"/>
    </row>
    <row r="7781" spans="1:11" ht="15" x14ac:dyDescent="0.25">
      <c r="A7781" s="3" t="str">
        <f>HYPERLINK("proteomic_fractions_linear_files/Yang_linear_img/33468961.jpg", "33468961")</f>
        <v>33468961</v>
      </c>
      <c r="C7781" s="3" t="str">
        <f>HYPERLINK("http://www.ncbi.nlm.nih.gov/protein/33468961","Trim3")</f>
        <v>Trim3</v>
      </c>
      <c r="E7781" t="str">
        <f>HYPERLINK("J:\Depot - mpkCCD Fractions\Main Web Page\Web Pages_old\proteomic_fractions_linear_files/Yang_linear_img/33468961.jpg","show blot")</f>
        <v>show blot</v>
      </c>
      <c r="G7781" t="s">
        <v>7535</v>
      </c>
      <c r="I7781" s="6">
        <v>3.6725151823965301</v>
      </c>
      <c r="K7781" s="8"/>
    </row>
    <row r="7782" spans="1:11" ht="15" x14ac:dyDescent="0.25">
      <c r="A7782" s="3" t="str">
        <f>HYPERLINK("proteomic_fractions_linear_files/Yang_linear_img/239937489.jpg", "239937489")</f>
        <v>239937489</v>
      </c>
      <c r="C7782" s="3" t="str">
        <f>HYPERLINK("http://www.ncbi.nlm.nih.gov/protein/239937489","Trim32")</f>
        <v>Trim32</v>
      </c>
      <c r="E7782" t="str">
        <f>HYPERLINK("J:\Depot - mpkCCD Fractions\Main Web Page\Web Pages_old\proteomic_fractions_linear_files/Yang_linear_img/239937489.jpg","show blot")</f>
        <v>show blot</v>
      </c>
      <c r="G7782" t="s">
        <v>7536</v>
      </c>
      <c r="I7782" s="6">
        <v>2.9265853686091985</v>
      </c>
      <c r="K7782" s="8"/>
    </row>
    <row r="7783" spans="1:11" ht="15" x14ac:dyDescent="0.25">
      <c r="A7783" s="3" t="str">
        <f>HYPERLINK("proteomic_fractions_linear_files/Yang_linear_img/119637828.jpg", "119637828")</f>
        <v>119637828</v>
      </c>
      <c r="C7783" s="3" t="str">
        <f>HYPERLINK("http://www.ncbi.nlm.nih.gov/protein/119637828","Trim33")</f>
        <v>Trim33</v>
      </c>
      <c r="E7783" t="str">
        <f>HYPERLINK("J:\Depot - mpkCCD Fractions\Main Web Page\Web Pages_old\proteomic_fractions_linear_files/Yang_linear_img/119637828.jpg","show blot")</f>
        <v>show blot</v>
      </c>
      <c r="G7783" t="s">
        <v>7537</v>
      </c>
      <c r="I7783" s="6">
        <v>4.4016123316404441</v>
      </c>
      <c r="K7783" s="8"/>
    </row>
    <row r="7784" spans="1:11" ht="15" x14ac:dyDescent="0.25">
      <c r="A7784" s="3" t="str">
        <f>HYPERLINK("proteomic_fractions_linear_files/Yang_linear_img/119637830.jpg", "119637830")</f>
        <v>119637830</v>
      </c>
      <c r="C7784" s="3" t="str">
        <f>HYPERLINK("http://www.ncbi.nlm.nih.gov/protein/119637830","Trim33")</f>
        <v>Trim33</v>
      </c>
      <c r="E7784" t="str">
        <f>HYPERLINK("J:\Depot - mpkCCD Fractions\Main Web Page\Web Pages_old\proteomic_fractions_linear_files/Yang_linear_img/119637830.jpg","show blot")</f>
        <v>show blot</v>
      </c>
      <c r="G7784" t="s">
        <v>7538</v>
      </c>
      <c r="I7784" s="6">
        <v>4.4016123316404441</v>
      </c>
      <c r="K7784" s="8"/>
    </row>
    <row r="7785" spans="1:11" ht="15" x14ac:dyDescent="0.25">
      <c r="A7785" s="3" t="str">
        <f>HYPERLINK("proteomic_fractions_linear_files/Yang_linear_img/326537318.jpg", "326537318")</f>
        <v>326537318</v>
      </c>
      <c r="C7785" s="3" t="str">
        <f>HYPERLINK("http://www.ncbi.nlm.nih.gov/protein/326537318","Trim47")</f>
        <v>Trim47</v>
      </c>
      <c r="E7785" t="str">
        <f>HYPERLINK("J:\Depot - mpkCCD Fractions\Main Web Page\Web Pages_old\proteomic_fractions_linear_files/Yang_linear_img/326537318.jpg","show blot")</f>
        <v>show blot</v>
      </c>
      <c r="G7785" t="s">
        <v>7539</v>
      </c>
      <c r="I7785" s="6">
        <v>4.5990330713594458</v>
      </c>
      <c r="K7785" s="8"/>
    </row>
    <row r="7786" spans="1:11" ht="15" x14ac:dyDescent="0.25">
      <c r="A7786" s="3" t="str">
        <f>HYPERLINK("proteomic_fractions_linear_files/Yang_linear_img/326537320.jpg", "326537320")</f>
        <v>326537320</v>
      </c>
      <c r="C7786" s="3" t="str">
        <f>HYPERLINK("http://www.ncbi.nlm.nih.gov/protein/326537320","Trim47")</f>
        <v>Trim47</v>
      </c>
      <c r="E7786" t="str">
        <f>HYPERLINK("J:\Depot - mpkCCD Fractions\Main Web Page\Web Pages_old\proteomic_fractions_linear_files/Yang_linear_img/326537320.jpg","show blot")</f>
        <v>show blot</v>
      </c>
      <c r="G7786" t="s">
        <v>7540</v>
      </c>
      <c r="I7786" s="6">
        <v>4.5990330713594458</v>
      </c>
      <c r="K7786" s="8"/>
    </row>
    <row r="7787" spans="1:11" ht="15" x14ac:dyDescent="0.25">
      <c r="A7787" s="3" t="str">
        <f>HYPERLINK("proteomic_fractions_linear_files/Yang_linear_img/41235779.jpg", "41235779")</f>
        <v>41235779</v>
      </c>
      <c r="C7787" s="3" t="str">
        <f>HYPERLINK("http://www.ncbi.nlm.nih.gov/protein/41235779","Trim56")</f>
        <v>Trim56</v>
      </c>
      <c r="E7787" t="str">
        <f>HYPERLINK("J:\Depot - mpkCCD Fractions\Main Web Page\Web Pages_old\proteomic_fractions_linear_files/Yang_linear_img/41235779.jpg","show blot")</f>
        <v>show blot</v>
      </c>
      <c r="G7787" t="s">
        <v>7541</v>
      </c>
      <c r="I7787" s="6">
        <v>4.2842219262050536</v>
      </c>
      <c r="K7787" s="8"/>
    </row>
    <row r="7788" spans="1:11" ht="15" x14ac:dyDescent="0.25">
      <c r="A7788" s="3" t="str">
        <f>HYPERLINK("proteomic_fractions_linear_files/Yang_linear_img/170295836.jpg", "170295836")</f>
        <v>170295836</v>
      </c>
      <c r="C7788" s="3" t="str">
        <f>HYPERLINK("http://www.ncbi.nlm.nih.gov/protein/170295836","Trim59")</f>
        <v>Trim59</v>
      </c>
      <c r="E7788" t="str">
        <f>HYPERLINK("J:\Depot - mpkCCD Fractions\Main Web Page\Web Pages_old\proteomic_fractions_linear_files/Yang_linear_img/170295836.jpg","show blot")</f>
        <v>show blot</v>
      </c>
      <c r="G7788" t="s">
        <v>7542</v>
      </c>
      <c r="I7788" s="6">
        <v>2.831774502922896</v>
      </c>
      <c r="K7788" s="8"/>
    </row>
    <row r="7789" spans="1:11" ht="15" x14ac:dyDescent="0.25">
      <c r="A7789" s="3" t="str">
        <f>HYPERLINK("proteomic_fractions_linear_files/Yang_linear_img/164518923.jpg", "164518923")</f>
        <v>164518923</v>
      </c>
      <c r="C7789" s="3" t="str">
        <f>HYPERLINK("http://www.ncbi.nlm.nih.gov/protein/164518923","Trim65")</f>
        <v>Trim65</v>
      </c>
      <c r="E7789" t="str">
        <f>HYPERLINK("J:\Depot - mpkCCD Fractions\Main Web Page\Web Pages_old\proteomic_fractions_linear_files/Yang_linear_img/164518923.jpg","show blot")</f>
        <v>show blot</v>
      </c>
      <c r="G7789" t="s">
        <v>7543</v>
      </c>
      <c r="I7789" s="6">
        <v>3.8521732482780213</v>
      </c>
      <c r="K7789" s="8"/>
    </row>
    <row r="7790" spans="1:11" ht="15" x14ac:dyDescent="0.25">
      <c r="A7790" s="3" t="str">
        <f>HYPERLINK("proteomic_fractions_linear_files/Yang_linear_img/85701941.jpg", "85701941")</f>
        <v>85701941</v>
      </c>
      <c r="C7790" s="3" t="str">
        <f>HYPERLINK("http://www.ncbi.nlm.nih.gov/protein/85701941","Trim75")</f>
        <v>Trim75</v>
      </c>
      <c r="E7790" t="str">
        <f>HYPERLINK("J:\Depot - mpkCCD Fractions\Main Web Page\Web Pages_old\proteomic_fractions_linear_files/Yang_linear_img/85701941.jpg","show blot")</f>
        <v>show blot</v>
      </c>
      <c r="G7790" t="s">
        <v>7544</v>
      </c>
      <c r="I7790" s="6">
        <v>2.245652319827327</v>
      </c>
      <c r="K7790" s="8"/>
    </row>
    <row r="7791" spans="1:11" ht="15" x14ac:dyDescent="0.25">
      <c r="A7791" s="3" t="str">
        <f>HYPERLINK("proteomic_fractions_linear_files/Yang_linear_img/154240708.jpg", "154240708")</f>
        <v>154240708</v>
      </c>
      <c r="C7791" s="3" t="str">
        <f>HYPERLINK("http://www.ncbi.nlm.nih.gov/protein/154240708","Trim8")</f>
        <v>Trim8</v>
      </c>
      <c r="E7791" t="str">
        <f>HYPERLINK("J:\Depot - mpkCCD Fractions\Main Web Page\Web Pages_old\proteomic_fractions_linear_files/Yang_linear_img/154240708.jpg","show blot")</f>
        <v>show blot</v>
      </c>
      <c r="G7791" t="s">
        <v>7545</v>
      </c>
      <c r="I7791" s="6">
        <v>2.6716100618922991</v>
      </c>
      <c r="K7791" s="8"/>
    </row>
    <row r="7792" spans="1:11" ht="15" x14ac:dyDescent="0.25">
      <c r="A7792" s="3" t="str">
        <f>HYPERLINK("proteomic_fractions_linear_files/Yang_linear_img/145587082.jpg", "145587082")</f>
        <v>145587082</v>
      </c>
      <c r="C7792" s="3" t="str">
        <f>HYPERLINK("http://www.ncbi.nlm.nih.gov/protein/145587082","Trio")</f>
        <v>Trio</v>
      </c>
      <c r="E7792" t="str">
        <f>HYPERLINK("J:\Depot - mpkCCD Fractions\Main Web Page\Web Pages_old\proteomic_fractions_linear_files/Yang_linear_img/145587082.jpg","show blot")</f>
        <v>show blot</v>
      </c>
      <c r="G7792" t="s">
        <v>7546</v>
      </c>
      <c r="I7792" s="6">
        <v>2.8437937069394872</v>
      </c>
      <c r="K7792" s="8"/>
    </row>
    <row r="7793" spans="1:11" ht="15" x14ac:dyDescent="0.25">
      <c r="A7793" s="3" t="str">
        <f>HYPERLINK("proteomic_fractions_linear_files/Yang_linear_img/88501743.jpg", "88501743")</f>
        <v>88501743</v>
      </c>
      <c r="C7793" s="3" t="str">
        <f>HYPERLINK("http://www.ncbi.nlm.nih.gov/protein/88501743","Triobp")</f>
        <v>Triobp</v>
      </c>
      <c r="E7793" t="str">
        <f>HYPERLINK("J:\Depot - mpkCCD Fractions\Main Web Page\Web Pages_old\proteomic_fractions_linear_files/Yang_linear_img/88501743.jpg","show blot")</f>
        <v>show blot</v>
      </c>
      <c r="G7793" t="s">
        <v>7547</v>
      </c>
      <c r="I7793" s="6">
        <v>3.8284709357013007</v>
      </c>
      <c r="K7793" s="8"/>
    </row>
    <row r="7794" spans="1:11" ht="15" x14ac:dyDescent="0.25">
      <c r="A7794" s="3" t="str">
        <f>HYPERLINK("proteomic_fractions_linear_files/Yang_linear_img/88501745.jpg", "88501745")</f>
        <v>88501745</v>
      </c>
      <c r="C7794" s="3" t="str">
        <f>HYPERLINK("http://www.ncbi.nlm.nih.gov/protein/88501745","Triobp")</f>
        <v>Triobp</v>
      </c>
      <c r="E7794" t="str">
        <f>HYPERLINK("J:\Depot - mpkCCD Fractions\Main Web Page\Web Pages_old\proteomic_fractions_linear_files/Yang_linear_img/88501745.jpg","show blot")</f>
        <v>show blot</v>
      </c>
      <c r="G7794" t="s">
        <v>7548</v>
      </c>
      <c r="I7794" s="6">
        <v>3.8284709357013007</v>
      </c>
      <c r="K7794" s="8"/>
    </row>
    <row r="7795" spans="1:11" ht="15" x14ac:dyDescent="0.25">
      <c r="A7795" s="3" t="str">
        <f>HYPERLINK("proteomic_fractions_linear_files/Yang_linear_img/88501749.jpg", "88501749")</f>
        <v>88501749</v>
      </c>
      <c r="C7795" s="3" t="str">
        <f>HYPERLINK("http://www.ncbi.nlm.nih.gov/protein/88501749","Triobp")</f>
        <v>Triobp</v>
      </c>
      <c r="E7795" t="str">
        <f>HYPERLINK("J:\Depot - mpkCCD Fractions\Main Web Page\Web Pages_old\proteomic_fractions_linear_files/Yang_linear_img/88501749.jpg","show blot")</f>
        <v>show blot</v>
      </c>
      <c r="G7795" t="s">
        <v>7549</v>
      </c>
      <c r="I7795" s="6">
        <v>3.8284709357013007</v>
      </c>
      <c r="K7795" s="8"/>
    </row>
    <row r="7796" spans="1:11" ht="15" x14ac:dyDescent="0.25">
      <c r="A7796" s="3" t="str">
        <f>HYPERLINK("proteomic_fractions_linear_files/Yang_linear_img/19527354.jpg", "19527354")</f>
        <v>19527354</v>
      </c>
      <c r="C7796" s="3" t="str">
        <f>HYPERLINK("http://www.ncbi.nlm.nih.gov/protein/19527354","Trip10")</f>
        <v>Trip10</v>
      </c>
      <c r="E7796" t="str">
        <f>HYPERLINK("J:\Depot - mpkCCD Fractions\Main Web Page\Web Pages_old\proteomic_fractions_linear_files/Yang_linear_img/19527354.jpg","show blot")</f>
        <v>show blot</v>
      </c>
      <c r="G7796" t="s">
        <v>7550</v>
      </c>
      <c r="I7796" s="6">
        <v>5.4157857433151504</v>
      </c>
      <c r="K7796" s="8"/>
    </row>
    <row r="7797" spans="1:11" ht="15" x14ac:dyDescent="0.25">
      <c r="A7797" s="3" t="str">
        <f>HYPERLINK("proteomic_fractions_linear_files/Yang_linear_img/334724448.jpg", "334724448")</f>
        <v>334724448</v>
      </c>
      <c r="C7797" s="3" t="str">
        <f>HYPERLINK("http://www.ncbi.nlm.nih.gov/protein/334724448","Trip10")</f>
        <v>Trip10</v>
      </c>
      <c r="E7797" t="str">
        <f>HYPERLINK("J:\Depot - mpkCCD Fractions\Main Web Page\Web Pages_old\proteomic_fractions_linear_files/Yang_linear_img/334724448.jpg","show blot")</f>
        <v>show blot</v>
      </c>
      <c r="G7797" t="s">
        <v>7551</v>
      </c>
      <c r="I7797" s="6">
        <v>5.4157857433151504</v>
      </c>
      <c r="K7797" s="8"/>
    </row>
    <row r="7798" spans="1:11" ht="15" x14ac:dyDescent="0.25">
      <c r="A7798" s="3" t="str">
        <f>HYPERLINK("proteomic_fractions_linear_files/Yang_linear_img/334724450.jpg", "334724450")</f>
        <v>334724450</v>
      </c>
      <c r="C7798" s="3" t="str">
        <f>HYPERLINK("http://www.ncbi.nlm.nih.gov/protein/334724450","Trip10")</f>
        <v>Trip10</v>
      </c>
      <c r="E7798" t="str">
        <f>HYPERLINK("J:\Depot - mpkCCD Fractions\Main Web Page\Web Pages_old\proteomic_fractions_linear_files/Yang_linear_img/334724450.jpg","show blot")</f>
        <v>show blot</v>
      </c>
      <c r="G7798" t="s">
        <v>7552</v>
      </c>
      <c r="I7798" s="6">
        <v>5.4157857433151504</v>
      </c>
      <c r="K7798" s="8"/>
    </row>
    <row r="7799" spans="1:11" ht="15" x14ac:dyDescent="0.25">
      <c r="A7799" s="3" t="str">
        <f>HYPERLINK("proteomic_fractions_linear_files/Yang_linear_img/334724453.jpg", "334724453")</f>
        <v>334724453</v>
      </c>
      <c r="C7799" s="3" t="str">
        <f>HYPERLINK("http://www.ncbi.nlm.nih.gov/protein/334724453","Trip10")</f>
        <v>Trip10</v>
      </c>
      <c r="E7799" t="str">
        <f>HYPERLINK("J:\Depot - mpkCCD Fractions\Main Web Page\Web Pages_old\proteomic_fractions_linear_files/Yang_linear_img/334724453.jpg","show blot")</f>
        <v>show blot</v>
      </c>
      <c r="G7799" t="s">
        <v>7553</v>
      </c>
      <c r="I7799" s="6">
        <v>5.4157857433151504</v>
      </c>
      <c r="K7799" s="8"/>
    </row>
    <row r="7800" spans="1:11" ht="15" x14ac:dyDescent="0.25">
      <c r="A7800" s="3" t="str">
        <f>HYPERLINK("proteomic_fractions_linear_files/Yang_linear_img/226531227.jpg", "226531227")</f>
        <v>226531227</v>
      </c>
      <c r="C7800" s="3" t="str">
        <f>HYPERLINK("http://www.ncbi.nlm.nih.gov/protein/226531227","Trip11")</f>
        <v>Trip11</v>
      </c>
      <c r="E7800" t="str">
        <f>HYPERLINK("J:\Depot - mpkCCD Fractions\Main Web Page\Web Pages_old\proteomic_fractions_linear_files/Yang_linear_img/226531227.jpg","show blot")</f>
        <v>show blot</v>
      </c>
      <c r="G7800" t="s">
        <v>7554</v>
      </c>
      <c r="I7800" s="6">
        <v>3.9599776620863061</v>
      </c>
      <c r="K7800" s="8"/>
    </row>
    <row r="7801" spans="1:11" ht="15" x14ac:dyDescent="0.25">
      <c r="A7801" s="3" t="str">
        <f>HYPERLINK("proteomic_fractions_linear_files/Yang_linear_img/91932791.jpg", "91932791")</f>
        <v>91932791</v>
      </c>
      <c r="C7801" s="3" t="str">
        <f>HYPERLINK("http://www.ncbi.nlm.nih.gov/protein/91932791","Trip12")</f>
        <v>Trip12</v>
      </c>
      <c r="E7801" t="str">
        <f>HYPERLINK("J:\Depot - mpkCCD Fractions\Main Web Page\Web Pages_old\proteomic_fractions_linear_files/Yang_linear_img/91932791.jpg","show blot")</f>
        <v>show blot</v>
      </c>
      <c r="G7801" t="s">
        <v>7555</v>
      </c>
      <c r="I7801" s="6">
        <v>4.2785139337371358</v>
      </c>
      <c r="K7801" s="8"/>
    </row>
    <row r="7802" spans="1:11" ht="15" x14ac:dyDescent="0.25">
      <c r="A7802" s="3" t="str">
        <f>HYPERLINK("proteomic_fractions_linear_files/Yang_linear_img/110625724.jpg", "110625724")</f>
        <v>110625724</v>
      </c>
      <c r="C7802" s="3" t="str">
        <f>HYPERLINK("http://www.ncbi.nlm.nih.gov/protein/110625724","Trip13")</f>
        <v>Trip13</v>
      </c>
      <c r="E7802" t="str">
        <f>HYPERLINK("J:\Depot - mpkCCD Fractions\Main Web Page\Web Pages_old\proteomic_fractions_linear_files/Yang_linear_img/110625724.jpg","show blot")</f>
        <v>show blot</v>
      </c>
      <c r="G7802" t="s">
        <v>7556</v>
      </c>
      <c r="I7802" s="6">
        <v>3.3338531651563597</v>
      </c>
      <c r="K7802" s="8"/>
    </row>
    <row r="7803" spans="1:11" ht="15" x14ac:dyDescent="0.25">
      <c r="A7803" s="3" t="str">
        <f>HYPERLINK("proteomic_fractions_linear_files/Yang_linear_img/283945454.jpg", "283945454")</f>
        <v>283945454</v>
      </c>
      <c r="C7803" s="3" t="str">
        <f>HYPERLINK("http://www.ncbi.nlm.nih.gov/protein/283945454","Trip4")</f>
        <v>Trip4</v>
      </c>
      <c r="E7803" t="str">
        <f>HYPERLINK("J:\Depot - mpkCCD Fractions\Main Web Page\Web Pages_old\proteomic_fractions_linear_files/Yang_linear_img/283945454.jpg","show blot")</f>
        <v>show blot</v>
      </c>
      <c r="G7803" t="s">
        <v>7557</v>
      </c>
      <c r="I7803" s="6">
        <v>3.1761102441918303</v>
      </c>
      <c r="K7803" s="8"/>
    </row>
    <row r="7804" spans="1:11" ht="15" x14ac:dyDescent="0.25">
      <c r="A7804" s="3" t="str">
        <f>HYPERLINK("proteomic_fractions_linear_files/Yang_linear_img/71773829.jpg", "71773829")</f>
        <v>71773829</v>
      </c>
      <c r="C7804" s="3" t="str">
        <f>HYPERLINK("http://www.ncbi.nlm.nih.gov/protein/71773829","Trip4")</f>
        <v>Trip4</v>
      </c>
      <c r="E7804" t="str">
        <f>HYPERLINK("J:\Depot - mpkCCD Fractions\Main Web Page\Web Pages_old\proteomic_fractions_linear_files/Yang_linear_img/71773829.jpg","show blot")</f>
        <v>show blot</v>
      </c>
      <c r="G7804" t="s">
        <v>7558</v>
      </c>
      <c r="I7804" s="6">
        <v>3.1761102441918303</v>
      </c>
      <c r="K7804" s="8"/>
    </row>
    <row r="7805" spans="1:11" ht="15" x14ac:dyDescent="0.25">
      <c r="A7805" s="3" t="str">
        <f>HYPERLINK("proteomic_fractions_linear_files/Yang_linear_img/6755879.jpg", "6755879")</f>
        <v>6755879</v>
      </c>
      <c r="C7805" s="3" t="str">
        <f>HYPERLINK("http://www.ncbi.nlm.nih.gov/protein/6755879","Trip6")</f>
        <v>Trip6</v>
      </c>
      <c r="E7805" t="str">
        <f>HYPERLINK("J:\Depot - mpkCCD Fractions\Main Web Page\Web Pages_old\proteomic_fractions_linear_files/Yang_linear_img/6755879.jpg","show blot")</f>
        <v>show blot</v>
      </c>
      <c r="G7805" t="s">
        <v>7559</v>
      </c>
      <c r="I7805" s="6">
        <v>4.4299144151574623</v>
      </c>
      <c r="K7805" s="8"/>
    </row>
    <row r="7806" spans="1:11" ht="15" x14ac:dyDescent="0.25">
      <c r="A7806" s="3" t="str">
        <f>HYPERLINK("proteomic_fractions_linear_files/Yang_linear_img/257095998.jpg", "257095998")</f>
        <v>257095998</v>
      </c>
      <c r="C7806" s="3" t="str">
        <f>HYPERLINK("http://www.ncbi.nlm.nih.gov/protein/257095998","Trmt1")</f>
        <v>Trmt1</v>
      </c>
      <c r="E7806" t="str">
        <f>HYPERLINK("J:\Depot - mpkCCD Fractions\Main Web Page\Web Pages_old\proteomic_fractions_linear_files/Yang_linear_img/257095998.jpg","show blot")</f>
        <v>show blot</v>
      </c>
      <c r="G7806" t="s">
        <v>7560</v>
      </c>
      <c r="I7806" s="6">
        <v>4.1032449030011886</v>
      </c>
      <c r="K7806" s="8"/>
    </row>
    <row r="7807" spans="1:11" ht="15" x14ac:dyDescent="0.25">
      <c r="A7807" s="3" t="str">
        <f>HYPERLINK("proteomic_fractions_linear_files/Yang_linear_img/257096002.jpg", "257096002")</f>
        <v>257096002</v>
      </c>
      <c r="C7807" s="3" t="str">
        <f>HYPERLINK("http://www.ncbi.nlm.nih.gov/protein/257096002","Trmt1")</f>
        <v>Trmt1</v>
      </c>
      <c r="E7807" t="str">
        <f>HYPERLINK("J:\Depot - mpkCCD Fractions\Main Web Page\Web Pages_old\proteomic_fractions_linear_files/Yang_linear_img/257096002.jpg","show blot")</f>
        <v>show blot</v>
      </c>
      <c r="G7807" t="s">
        <v>7561</v>
      </c>
      <c r="I7807" s="6">
        <v>4.1032449030011886</v>
      </c>
      <c r="K7807" s="8"/>
    </row>
    <row r="7808" spans="1:11" ht="15" x14ac:dyDescent="0.25">
      <c r="A7808" s="3" t="str">
        <f>HYPERLINK("proteomic_fractions_linear_files/Yang_linear_img/60593005.jpg", "60593005")</f>
        <v>60593005</v>
      </c>
      <c r="C7808" s="3" t="str">
        <f>HYPERLINK("http://www.ncbi.nlm.nih.gov/protein/60593005","Trmt10a")</f>
        <v>Trmt10a</v>
      </c>
      <c r="E7808" t="str">
        <f>HYPERLINK("J:\Depot - mpkCCD Fractions\Main Web Page\Web Pages_old\proteomic_fractions_linear_files/Yang_linear_img/60593005.jpg","show blot")</f>
        <v>show blot</v>
      </c>
      <c r="G7808" t="s">
        <v>7562</v>
      </c>
      <c r="I7808" s="6">
        <v>3.3389280419677085</v>
      </c>
      <c r="K7808" s="8"/>
    </row>
    <row r="7809" spans="1:11" ht="15" x14ac:dyDescent="0.25">
      <c r="A7809" s="3" t="str">
        <f>HYPERLINK("proteomic_fractions_linear_files/Yang_linear_img/21312876.jpg", "21312876")</f>
        <v>21312876</v>
      </c>
      <c r="C7809" s="3" t="str">
        <f>HYPERLINK("http://www.ncbi.nlm.nih.gov/protein/21312876","Trmt10c")</f>
        <v>Trmt10c</v>
      </c>
      <c r="E7809" t="str">
        <f>HYPERLINK("J:\Depot - mpkCCD Fractions\Main Web Page\Web Pages_old\proteomic_fractions_linear_files/Yang_linear_img/21312876.jpg","show blot")</f>
        <v>show blot</v>
      </c>
      <c r="G7809" t="s">
        <v>7563</v>
      </c>
      <c r="I7809" s="6">
        <v>3.882054941385169</v>
      </c>
      <c r="K7809" s="8"/>
    </row>
    <row r="7810" spans="1:11" ht="15" x14ac:dyDescent="0.25">
      <c r="A7810" s="3" t="str">
        <f>HYPERLINK("proteomic_fractions_linear_files/Yang_linear_img/114051171.jpg", "114051171")</f>
        <v>114051171</v>
      </c>
      <c r="C7810" s="3" t="str">
        <f>HYPERLINK("http://www.ncbi.nlm.nih.gov/protein/114051171","Trmt11")</f>
        <v>Trmt11</v>
      </c>
      <c r="E7810" t="str">
        <f>HYPERLINK("J:\Depot - mpkCCD Fractions\Main Web Page\Web Pages_old\proteomic_fractions_linear_files/Yang_linear_img/114051171.jpg","show blot")</f>
        <v>show blot</v>
      </c>
      <c r="G7810" t="s">
        <v>7564</v>
      </c>
      <c r="I7810" s="6">
        <v>2.8686447747134873</v>
      </c>
      <c r="K7810" s="8"/>
    </row>
    <row r="7811" spans="1:11" ht="15" x14ac:dyDescent="0.25">
      <c r="A7811" s="3" t="str">
        <f>HYPERLINK("proteomic_fractions_linear_files/Yang_linear_img/261823938;261823936.jpg", "261823938;261823936")</f>
        <v>261823938;261823936</v>
      </c>
      <c r="C7811" s="3" t="str">
        <f>HYPERLINK("http://www.ncbi.nlm.nih.gov/protein/261823938;261823936","Trmt112")</f>
        <v>Trmt112</v>
      </c>
      <c r="E7811" t="str">
        <f>HYPERLINK("J:\Depot - mpkCCD Fractions\Main Web Page\Web Pages_old\proteomic_fractions_linear_files/Yang_linear_img/261823938;261823936.jpg","show blot")</f>
        <v>show blot</v>
      </c>
      <c r="G7811" t="s">
        <v>7565</v>
      </c>
      <c r="I7811" s="6">
        <v>4.8040188826143915</v>
      </c>
      <c r="K7811" s="8"/>
    </row>
    <row r="7812" spans="1:11" ht="15" x14ac:dyDescent="0.25">
      <c r="A7812" s="3" t="str">
        <f>HYPERLINK("proteomic_fractions_linear_files/Yang_linear_img/261823936.jpg", "261823936")</f>
        <v>261823936</v>
      </c>
      <c r="C7812" s="3" t="str">
        <f>HYPERLINK("http://www.ncbi.nlm.nih.gov/protein/261823936","Trmt112")</f>
        <v>Trmt112</v>
      </c>
      <c r="E7812" t="str">
        <f>HYPERLINK("J:\Depot - mpkCCD Fractions\Main Web Page\Web Pages_old\proteomic_fractions_linear_files/Yang_linear_img/261823936.jpg","show blot")</f>
        <v>show blot</v>
      </c>
      <c r="G7812" t="s">
        <v>7565</v>
      </c>
      <c r="I7812" s="6">
        <v>4.8040188826143915</v>
      </c>
      <c r="K7812" s="8"/>
    </row>
    <row r="7813" spans="1:11" ht="15" x14ac:dyDescent="0.25">
      <c r="A7813" s="3" t="str">
        <f>HYPERLINK("proteomic_fractions_linear_files/Yang_linear_img/229608908.jpg", "229608908")</f>
        <v>229608908</v>
      </c>
      <c r="C7813" s="3" t="str">
        <f>HYPERLINK("http://www.ncbi.nlm.nih.gov/protein/229608908","Trmt1l")</f>
        <v>Trmt1l</v>
      </c>
      <c r="E7813" t="str">
        <f>HYPERLINK("J:\Depot - mpkCCD Fractions\Main Web Page\Web Pages_old\proteomic_fractions_linear_files/Yang_linear_img/229608908.jpg","show blot")</f>
        <v>show blot</v>
      </c>
      <c r="G7813" t="s">
        <v>7566</v>
      </c>
      <c r="I7813" s="6">
        <v>4.0855381228442678</v>
      </c>
      <c r="K7813" s="8"/>
    </row>
    <row r="7814" spans="1:11" ht="15" x14ac:dyDescent="0.25">
      <c r="A7814" s="3" t="str">
        <f>HYPERLINK("proteomic_fractions_linear_files/Yang_linear_img/124487421.jpg", "124487421")</f>
        <v>124487421</v>
      </c>
      <c r="C7814" s="3" t="str">
        <f>HYPERLINK("http://www.ncbi.nlm.nih.gov/protein/124487421","Trmt2a")</f>
        <v>Trmt2a</v>
      </c>
      <c r="E7814" t="str">
        <f>HYPERLINK("J:\Depot - mpkCCD Fractions\Main Web Page\Web Pages_old\proteomic_fractions_linear_files/Yang_linear_img/124487421.jpg","show blot")</f>
        <v>show blot</v>
      </c>
      <c r="G7814" t="s">
        <v>7567</v>
      </c>
      <c r="I7814" s="6">
        <v>5.4613171060446861</v>
      </c>
      <c r="K7814" s="8"/>
    </row>
    <row r="7815" spans="1:11" ht="15" x14ac:dyDescent="0.25">
      <c r="A7815" s="3" t="str">
        <f>HYPERLINK("proteomic_fractions_linear_files/Yang_linear_img/124487423.jpg", "124487423")</f>
        <v>124487423</v>
      </c>
      <c r="C7815" s="3" t="str">
        <f>HYPERLINK("http://www.ncbi.nlm.nih.gov/protein/124487423","Trmt2a")</f>
        <v>Trmt2a</v>
      </c>
      <c r="E7815" t="str">
        <f>HYPERLINK("J:\Depot - mpkCCD Fractions\Main Web Page\Web Pages_old\proteomic_fractions_linear_files/Yang_linear_img/124487423.jpg","show blot")</f>
        <v>show blot</v>
      </c>
      <c r="G7815" t="s">
        <v>7568</v>
      </c>
      <c r="I7815" s="6">
        <v>5.4613171060446861</v>
      </c>
      <c r="K7815" s="8"/>
    </row>
    <row r="7816" spans="1:11" ht="15" x14ac:dyDescent="0.25">
      <c r="A7816" s="3" t="str">
        <f>HYPERLINK("proteomic_fractions_linear_files/Yang_linear_img/304555603.jpg", "304555603")</f>
        <v>304555603</v>
      </c>
      <c r="C7816" s="3" t="str">
        <f>HYPERLINK("http://www.ncbi.nlm.nih.gov/protein/304555603","Trmt2a")</f>
        <v>Trmt2a</v>
      </c>
      <c r="E7816" t="str">
        <f>HYPERLINK("J:\Depot - mpkCCD Fractions\Main Web Page\Web Pages_old\proteomic_fractions_linear_files/Yang_linear_img/304555603.jpg","show blot")</f>
        <v>show blot</v>
      </c>
      <c r="G7816" t="s">
        <v>7569</v>
      </c>
      <c r="I7816" s="6">
        <v>5.4613171060446861</v>
      </c>
      <c r="K7816" s="8"/>
    </row>
    <row r="7817" spans="1:11" ht="15" x14ac:dyDescent="0.25">
      <c r="A7817" s="3" t="str">
        <f>HYPERLINK("proteomic_fractions_linear_files/Yang_linear_img/21313170.jpg", "21313170")</f>
        <v>21313170</v>
      </c>
      <c r="C7817" s="3" t="str">
        <f>HYPERLINK("http://www.ncbi.nlm.nih.gov/protein/21313170","Trmt5")</f>
        <v>Trmt5</v>
      </c>
      <c r="E7817" t="str">
        <f>HYPERLINK("J:\Depot - mpkCCD Fractions\Main Web Page\Web Pages_old\proteomic_fractions_linear_files/Yang_linear_img/21313170.jpg","show blot")</f>
        <v>show blot</v>
      </c>
      <c r="G7817" t="s">
        <v>7570</v>
      </c>
      <c r="I7817" s="6">
        <v>5.1720217103384005</v>
      </c>
      <c r="K7817" s="8"/>
    </row>
    <row r="7818" spans="1:11" ht="15" x14ac:dyDescent="0.25">
      <c r="A7818" s="3" t="str">
        <f>HYPERLINK("proteomic_fractions_linear_files/Yang_linear_img/148747333.jpg", "148747333")</f>
        <v>148747333</v>
      </c>
      <c r="C7818" s="3" t="str">
        <f>HYPERLINK("http://www.ncbi.nlm.nih.gov/protein/148747333","Trmt6")</f>
        <v>Trmt6</v>
      </c>
      <c r="E7818" t="str">
        <f>HYPERLINK("J:\Depot - mpkCCD Fractions\Main Web Page\Web Pages_old\proteomic_fractions_linear_files/Yang_linear_img/148747333.jpg","show blot")</f>
        <v>show blot</v>
      </c>
      <c r="G7818" t="s">
        <v>7571</v>
      </c>
      <c r="I7818" s="6">
        <v>4.9452023960265388</v>
      </c>
      <c r="K7818" s="8"/>
    </row>
    <row r="7819" spans="1:11" ht="15" x14ac:dyDescent="0.25">
      <c r="A7819" s="3" t="str">
        <f>HYPERLINK("proteomic_fractions_linear_files/Yang_linear_img/152963551.jpg", "152963551")</f>
        <v>152963551</v>
      </c>
      <c r="C7819" s="3" t="str">
        <f>HYPERLINK("http://www.ncbi.nlm.nih.gov/protein/152963551","Trmt61a")</f>
        <v>Trmt61a</v>
      </c>
      <c r="E7819" t="str">
        <f>HYPERLINK("J:\Depot - mpkCCD Fractions\Main Web Page\Web Pages_old\proteomic_fractions_linear_files/Yang_linear_img/152963551.jpg","show blot")</f>
        <v>show blot</v>
      </c>
      <c r="G7819" t="s">
        <v>7572</v>
      </c>
      <c r="I7819" s="6">
        <v>4.5118092434880532</v>
      </c>
      <c r="K7819" s="8"/>
    </row>
    <row r="7820" spans="1:11" ht="15" x14ac:dyDescent="0.25">
      <c r="A7820" s="3" t="str">
        <f>HYPERLINK("proteomic_fractions_linear_files/Yang_linear_img/334358911.jpg", "334358911")</f>
        <v>334358911</v>
      </c>
      <c r="C7820" s="3" t="str">
        <f>HYPERLINK("http://www.ncbi.nlm.nih.gov/protein/334358911","Trnt1")</f>
        <v>Trnt1</v>
      </c>
      <c r="E7820" t="str">
        <f>HYPERLINK("J:\Depot - mpkCCD Fractions\Main Web Page\Web Pages_old\proteomic_fractions_linear_files/Yang_linear_img/334358911.jpg","show blot")</f>
        <v>show blot</v>
      </c>
      <c r="G7820" t="s">
        <v>7573</v>
      </c>
      <c r="I7820" s="6">
        <v>5.5760199113159361</v>
      </c>
      <c r="K7820" s="8"/>
    </row>
    <row r="7821" spans="1:11" ht="15" x14ac:dyDescent="0.25">
      <c r="A7821" s="3" t="str">
        <f>HYPERLINK("proteomic_fractions_linear_files/Yang_linear_img/33859692.jpg", "33859692")</f>
        <v>33859692</v>
      </c>
      <c r="C7821" s="3" t="str">
        <f>HYPERLINK("http://www.ncbi.nlm.nih.gov/protein/33859692","Trnt1")</f>
        <v>Trnt1</v>
      </c>
      <c r="E7821" t="str">
        <f>HYPERLINK("J:\Depot - mpkCCD Fractions\Main Web Page\Web Pages_old\proteomic_fractions_linear_files/Yang_linear_img/33859692.jpg","show blot")</f>
        <v>show blot</v>
      </c>
      <c r="G7821" t="s">
        <v>7574</v>
      </c>
      <c r="I7821" s="6">
        <v>5.5760199113159361</v>
      </c>
      <c r="K7821" s="8"/>
    </row>
    <row r="7822" spans="1:11" ht="15" x14ac:dyDescent="0.25">
      <c r="A7822" s="3" t="str">
        <f>HYPERLINK("proteomic_fractions_linear_files/Yang_linear_img/7305523.jpg", "7305523")</f>
        <v>7305523</v>
      </c>
      <c r="C7822" s="3" t="str">
        <f>HYPERLINK("http://www.ncbi.nlm.nih.gov/protein/7305523","Trove2")</f>
        <v>Trove2</v>
      </c>
      <c r="E7822" t="str">
        <f>HYPERLINK("J:\Depot - mpkCCD Fractions\Main Web Page\Web Pages_old\proteomic_fractions_linear_files/Yang_linear_img/7305523.jpg","show blot")</f>
        <v>show blot</v>
      </c>
      <c r="G7822" t="s">
        <v>7575</v>
      </c>
      <c r="I7822" s="6">
        <v>4.7977034666578842</v>
      </c>
      <c r="K7822" s="8"/>
    </row>
    <row r="7823" spans="1:11" ht="15" x14ac:dyDescent="0.25">
      <c r="A7823" s="3" t="str">
        <f>HYPERLINK("proteomic_fractions_linear_files/Yang_linear_img/148747262.jpg", "148747262")</f>
        <v>148747262</v>
      </c>
      <c r="C7823" s="3" t="str">
        <f>HYPERLINK("http://www.ncbi.nlm.nih.gov/protein/148747262","Trp53")</f>
        <v>Trp53</v>
      </c>
      <c r="E7823" t="str">
        <f>HYPERLINK("J:\Depot - mpkCCD Fractions\Main Web Page\Web Pages_old\proteomic_fractions_linear_files/Yang_linear_img/148747262.jpg","show blot")</f>
        <v>show blot</v>
      </c>
      <c r="G7823" t="s">
        <v>7576</v>
      </c>
      <c r="I7823" s="6">
        <v>6.0217820840236476</v>
      </c>
      <c r="K7823" s="8"/>
    </row>
    <row r="7824" spans="1:11" ht="15" x14ac:dyDescent="0.25">
      <c r="A7824" s="3" t="str">
        <f>HYPERLINK("proteomic_fractions_linear_files/Yang_linear_img/187960040.jpg", "187960040")</f>
        <v>187960040</v>
      </c>
      <c r="C7824" s="3" t="str">
        <f>HYPERLINK("http://www.ncbi.nlm.nih.gov/protein/187960040","Trp53")</f>
        <v>Trp53</v>
      </c>
      <c r="E7824" t="str">
        <f>HYPERLINK("J:\Depot - mpkCCD Fractions\Main Web Page\Web Pages_old\proteomic_fractions_linear_files/Yang_linear_img/187960040.jpg","show blot")</f>
        <v>show blot</v>
      </c>
      <c r="G7824" t="s">
        <v>7577</v>
      </c>
      <c r="I7824" s="6">
        <v>6.0217820840236476</v>
      </c>
      <c r="K7824" s="8"/>
    </row>
    <row r="7825" spans="1:11" ht="15" x14ac:dyDescent="0.25">
      <c r="A7825" s="3" t="str">
        <f>HYPERLINK("proteomic_fractions_linear_files/Yang_linear_img/160333077.jpg", "160333077")</f>
        <v>160333077</v>
      </c>
      <c r="C7825" s="3" t="str">
        <f>HYPERLINK("http://www.ncbi.nlm.nih.gov/protein/160333077","Trp53bp1")</f>
        <v>Trp53bp1</v>
      </c>
      <c r="E7825" t="str">
        <f>HYPERLINK("J:\Depot - mpkCCD Fractions\Main Web Page\Web Pages_old\proteomic_fractions_linear_files/Yang_linear_img/160333077.jpg","show blot")</f>
        <v>show blot</v>
      </c>
      <c r="G7825" t="s">
        <v>7578</v>
      </c>
      <c r="I7825" s="6">
        <v>3.4860624949968755</v>
      </c>
      <c r="K7825" s="8"/>
    </row>
    <row r="7826" spans="1:11" ht="15" x14ac:dyDescent="0.25">
      <c r="A7826" s="3" t="str">
        <f>HYPERLINK("proteomic_fractions_linear_files/Yang_linear_img/31560052.jpg", "31560052")</f>
        <v>31560052</v>
      </c>
      <c r="C7826" s="3" t="str">
        <f>HYPERLINK("http://www.ncbi.nlm.nih.gov/protein/31560052","Trp53rk")</f>
        <v>Trp53rk</v>
      </c>
      <c r="E7826" t="str">
        <f>HYPERLINK("J:\Depot - mpkCCD Fractions\Main Web Page\Web Pages_old\proteomic_fractions_linear_files/Yang_linear_img/31560052.jpg","show blot")</f>
        <v>show blot</v>
      </c>
      <c r="G7826" t="s">
        <v>7579</v>
      </c>
      <c r="I7826" s="6">
        <v>4.2669934837592356</v>
      </c>
      <c r="K7826" s="8"/>
    </row>
    <row r="7827" spans="1:11" ht="15" x14ac:dyDescent="0.25">
      <c r="A7827" s="3" t="str">
        <f>HYPERLINK("proteomic_fractions_linear_files/Yang_linear_img/409168273.jpg", "409168273")</f>
        <v>409168273</v>
      </c>
      <c r="C7827" s="3" t="str">
        <f>HYPERLINK("http://www.ncbi.nlm.nih.gov/protein/409168273","Trp53tg5")</f>
        <v>Trp53tg5</v>
      </c>
      <c r="E7827" t="str">
        <f>HYPERLINK("J:\Depot - mpkCCD Fractions\Main Web Page\Web Pages_old\proteomic_fractions_linear_files/Yang_linear_img/409168273.jpg","show blot")</f>
        <v>show blot</v>
      </c>
      <c r="G7827" t="s">
        <v>7580</v>
      </c>
      <c r="I7827" s="6">
        <v>5.0439355342711707</v>
      </c>
      <c r="K7827" s="8"/>
    </row>
    <row r="7828" spans="1:11" ht="15" x14ac:dyDescent="0.25">
      <c r="A7828" s="3" t="str">
        <f>HYPERLINK("proteomic_fractions_linear_files/Yang_linear_img/358439497.jpg", "358439497")</f>
        <v>358439497</v>
      </c>
      <c r="C7828" s="3" t="str">
        <f>HYPERLINK("http://www.ncbi.nlm.nih.gov/protein/358439497","Trpc4")</f>
        <v>Trpc4</v>
      </c>
      <c r="E7828" t="str">
        <f>HYPERLINK("J:\Depot - mpkCCD Fractions\Main Web Page\Web Pages_old\proteomic_fractions_linear_files/Yang_linear_img/358439497.jpg","show blot")</f>
        <v>show blot</v>
      </c>
      <c r="G7828" t="s">
        <v>7581</v>
      </c>
      <c r="I7828" s="6">
        <v>4.5962551469577111</v>
      </c>
      <c r="K7828" s="8"/>
    </row>
    <row r="7829" spans="1:11" ht="15" x14ac:dyDescent="0.25">
      <c r="A7829" s="3" t="str">
        <f>HYPERLINK("proteomic_fractions_linear_files/Yang_linear_img/8394487.jpg", "8394487")</f>
        <v>8394487</v>
      </c>
      <c r="C7829" s="3" t="str">
        <f>HYPERLINK("http://www.ncbi.nlm.nih.gov/protein/8394487","Trpc4")</f>
        <v>Trpc4</v>
      </c>
      <c r="E7829" t="str">
        <f>HYPERLINK("J:\Depot - mpkCCD Fractions\Main Web Page\Web Pages_old\proteomic_fractions_linear_files/Yang_linear_img/8394487.jpg","show blot")</f>
        <v>show blot</v>
      </c>
      <c r="G7829" t="s">
        <v>7582</v>
      </c>
      <c r="I7829" s="6">
        <v>4.5962551469577111</v>
      </c>
      <c r="K7829" s="8"/>
    </row>
    <row r="7830" spans="1:11" ht="15" x14ac:dyDescent="0.25">
      <c r="A7830" s="3" t="str">
        <f>HYPERLINK("proteomic_fractions_linear_files/Yang_linear_img/6678435.jpg", "6678435")</f>
        <v>6678435</v>
      </c>
      <c r="C7830" s="3" t="str">
        <f>HYPERLINK("http://www.ncbi.nlm.nih.gov/protein/6678435","Trpc5")</f>
        <v>Trpc5</v>
      </c>
      <c r="E7830" t="str">
        <f>HYPERLINK("J:\Depot - mpkCCD Fractions\Main Web Page\Web Pages_old\proteomic_fractions_linear_files/Yang_linear_img/6678435.jpg","show blot")</f>
        <v>show blot</v>
      </c>
      <c r="G7830" t="s">
        <v>7583</v>
      </c>
      <c r="I7830" s="6">
        <v>4.5595323399329715</v>
      </c>
      <c r="K7830" s="8"/>
    </row>
    <row r="7831" spans="1:11" ht="15" x14ac:dyDescent="0.25">
      <c r="A7831" s="3" t="str">
        <f>HYPERLINK("proteomic_fractions_linear_files/Yang_linear_img/157824093.jpg", "157824093")</f>
        <v>157824093</v>
      </c>
      <c r="C7831" s="3" t="str">
        <f>HYPERLINK("http://www.ncbi.nlm.nih.gov/protein/157824093","Trpm4")</f>
        <v>Trpm4</v>
      </c>
      <c r="E7831" t="str">
        <f>HYPERLINK("J:\Depot - mpkCCD Fractions\Main Web Page\Web Pages_old\proteomic_fractions_linear_files/Yang_linear_img/157824093.jpg","show blot")</f>
        <v>show blot</v>
      </c>
      <c r="G7831" t="s">
        <v>7584</v>
      </c>
      <c r="I7831" s="6">
        <v>2.3620609265224064</v>
      </c>
      <c r="K7831" s="8"/>
    </row>
    <row r="7832" spans="1:11" ht="15" x14ac:dyDescent="0.25">
      <c r="A7832" s="3" t="str">
        <f>HYPERLINK("proteomic_fractions_linear_files/Yang_linear_img/224994263.jpg", "224994263")</f>
        <v>224994263</v>
      </c>
      <c r="C7832" s="3" t="str">
        <f>HYPERLINK("http://www.ncbi.nlm.nih.gov/protein/224994263","Trpt1")</f>
        <v>Trpt1</v>
      </c>
      <c r="E7832" t="str">
        <f>HYPERLINK("J:\Depot - mpkCCD Fractions\Main Web Page\Web Pages_old\proteomic_fractions_linear_files/Yang_linear_img/224994263.jpg","show blot")</f>
        <v>show blot</v>
      </c>
      <c r="G7832" t="s">
        <v>7585</v>
      </c>
      <c r="I7832" s="6">
        <v>4.4763294833194882</v>
      </c>
      <c r="K7832" s="8"/>
    </row>
    <row r="7833" spans="1:11" ht="15" x14ac:dyDescent="0.25">
      <c r="A7833" s="3" t="str">
        <f>HYPERLINK("proteomic_fractions_linear_files/Yang_linear_img/269784723.jpg", "269784723")</f>
        <v>269784723</v>
      </c>
      <c r="C7833" s="3" t="str">
        <f>HYPERLINK("http://www.ncbi.nlm.nih.gov/protein/269784723","Trpv4")</f>
        <v>Trpv4</v>
      </c>
      <c r="E7833" t="str">
        <f>HYPERLINK("J:\Depot - mpkCCD Fractions\Main Web Page\Web Pages_old\proteomic_fractions_linear_files/Yang_linear_img/269784723.jpg","show blot")</f>
        <v>show blot</v>
      </c>
      <c r="G7833" t="s">
        <v>7586</v>
      </c>
      <c r="I7833" s="6">
        <v>4.9207294548972174</v>
      </c>
      <c r="K7833" s="8"/>
    </row>
    <row r="7834" spans="1:11" ht="15" x14ac:dyDescent="0.25">
      <c r="A7834" s="3" t="str">
        <f>HYPERLINK("proteomic_fractions_linear_files/Yang_linear_img/124486949.jpg", "124486949")</f>
        <v>124486949</v>
      </c>
      <c r="C7834" s="3" t="str">
        <f>HYPERLINK("http://www.ncbi.nlm.nih.gov/protein/124486949","Trrap")</f>
        <v>Trrap</v>
      </c>
      <c r="E7834" t="str">
        <f>HYPERLINK("J:\Depot - mpkCCD Fractions\Main Web Page\Web Pages_old\proteomic_fractions_linear_files/Yang_linear_img/124486949.jpg","show blot")</f>
        <v>show blot</v>
      </c>
      <c r="G7834" t="s">
        <v>7587</v>
      </c>
      <c r="I7834" s="6">
        <v>3.2373645074982398</v>
      </c>
      <c r="K7834" s="8"/>
    </row>
    <row r="7835" spans="1:11" ht="15" x14ac:dyDescent="0.25">
      <c r="A7835" s="3" t="str">
        <f>HYPERLINK("proteomic_fractions_linear_files/Yang_linear_img/21312414.jpg", "21312414")</f>
        <v>21312414</v>
      </c>
      <c r="C7835" s="3" t="str">
        <f>HYPERLINK("http://www.ncbi.nlm.nih.gov/protein/21312414","Trub1")</f>
        <v>Trub1</v>
      </c>
      <c r="E7835" t="str">
        <f>HYPERLINK("J:\Depot - mpkCCD Fractions\Main Web Page\Web Pages_old\proteomic_fractions_linear_files/Yang_linear_img/21312414.jpg","show blot")</f>
        <v>show blot</v>
      </c>
      <c r="G7835" t="s">
        <v>7588</v>
      </c>
      <c r="I7835" s="6">
        <v>4.5408325819175364</v>
      </c>
      <c r="K7835" s="8"/>
    </row>
    <row r="7836" spans="1:11" ht="15" x14ac:dyDescent="0.25">
      <c r="A7836" s="3" t="str">
        <f>HYPERLINK("proteomic_fractions_linear_files/Yang_linear_img/268607501.jpg", "268607501")</f>
        <v>268607501</v>
      </c>
      <c r="C7836" s="3" t="str">
        <f>HYPERLINK("http://www.ncbi.nlm.nih.gov/protein/268607501","Trub1")</f>
        <v>Trub1</v>
      </c>
      <c r="E7836" t="str">
        <f>HYPERLINK("J:\Depot - mpkCCD Fractions\Main Web Page\Web Pages_old\proteomic_fractions_linear_files/Yang_linear_img/268607501.jpg","show blot")</f>
        <v>show blot</v>
      </c>
      <c r="G7836" t="s">
        <v>7589</v>
      </c>
      <c r="I7836" s="6">
        <v>4.5408325819175364</v>
      </c>
      <c r="K7836" s="8"/>
    </row>
    <row r="7837" spans="1:11" ht="15" x14ac:dyDescent="0.25">
      <c r="A7837" s="3" t="str">
        <f>HYPERLINK("proteomic_fractions_linear_files/Yang_linear_img/224994213.jpg", "224994213")</f>
        <v>224994213</v>
      </c>
      <c r="C7837" s="3" t="str">
        <f>HYPERLINK("http://www.ncbi.nlm.nih.gov/protein/224994213","Trub2")</f>
        <v>Trub2</v>
      </c>
      <c r="E7837" t="str">
        <f>HYPERLINK("J:\Depot - mpkCCD Fractions\Main Web Page\Web Pages_old\proteomic_fractions_linear_files/Yang_linear_img/224994213.jpg","show blot")</f>
        <v>show blot</v>
      </c>
      <c r="G7837" t="s">
        <v>7590</v>
      </c>
      <c r="I7837" s="6">
        <v>2.6879041503249614</v>
      </c>
      <c r="K7837" s="8"/>
    </row>
    <row r="7838" spans="1:11" ht="15" x14ac:dyDescent="0.25">
      <c r="A7838" s="3" t="str">
        <f>HYPERLINK("proteomic_fractions_linear_files/Yang_linear_img/79750409.jpg", "79750409")</f>
        <v>79750409</v>
      </c>
      <c r="C7838" s="3" t="str">
        <f>HYPERLINK("http://www.ncbi.nlm.nih.gov/protein/79750409","Tsc1")</f>
        <v>Tsc1</v>
      </c>
      <c r="E7838" t="str">
        <f>HYPERLINK("J:\Depot - mpkCCD Fractions\Main Web Page\Web Pages_old\proteomic_fractions_linear_files/Yang_linear_img/79750409.jpg","show blot")</f>
        <v>show blot</v>
      </c>
      <c r="G7838" t="s">
        <v>7591</v>
      </c>
      <c r="I7838" s="6">
        <v>3.2784748506196326</v>
      </c>
      <c r="K7838" s="8"/>
    </row>
    <row r="7839" spans="1:11" ht="15" x14ac:dyDescent="0.25">
      <c r="A7839" s="3" t="str">
        <f>HYPERLINK("proteomic_fractions_linear_files/Yang_linear_img/86439987.jpg", "86439987")</f>
        <v>86439987</v>
      </c>
      <c r="C7839" s="3" t="str">
        <f>HYPERLINK("http://www.ncbi.nlm.nih.gov/protein/86439987","Tsc2")</f>
        <v>Tsc2</v>
      </c>
      <c r="E7839" t="str">
        <f>HYPERLINK("J:\Depot - mpkCCD Fractions\Main Web Page\Web Pages_old\proteomic_fractions_linear_files/Yang_linear_img/86439987.jpg","show blot")</f>
        <v>show blot</v>
      </c>
      <c r="G7839" t="s">
        <v>7592</v>
      </c>
      <c r="I7839" s="6">
        <v>3.1918942168802973</v>
      </c>
      <c r="K7839" s="8"/>
    </row>
    <row r="7840" spans="1:11" ht="15" x14ac:dyDescent="0.25">
      <c r="A7840" s="3" t="str">
        <f>HYPERLINK("proteomic_fractions_linear_files/Yang_linear_img/86439992.jpg", "86439992")</f>
        <v>86439992</v>
      </c>
      <c r="C7840" s="3" t="str">
        <f>HYPERLINK("http://www.ncbi.nlm.nih.gov/protein/86439992","Tsc2")</f>
        <v>Tsc2</v>
      </c>
      <c r="E7840" t="str">
        <f>HYPERLINK("J:\Depot - mpkCCD Fractions\Main Web Page\Web Pages_old\proteomic_fractions_linear_files/Yang_linear_img/86439992.jpg","show blot")</f>
        <v>show blot</v>
      </c>
      <c r="G7840" t="s">
        <v>7593</v>
      </c>
      <c r="I7840" s="6">
        <v>3.1918942168802973</v>
      </c>
      <c r="K7840" s="8"/>
    </row>
    <row r="7841" spans="1:11" ht="15" x14ac:dyDescent="0.25">
      <c r="A7841" s="3" t="str">
        <f>HYPERLINK("proteomic_fractions_linear_files/Yang_linear_img/295293202.jpg", "295293202")</f>
        <v>295293202</v>
      </c>
      <c r="C7841" s="3" t="str">
        <f>HYPERLINK("http://www.ncbi.nlm.nih.gov/protein/295293202","Tsc22d1")</f>
        <v>Tsc22d1</v>
      </c>
      <c r="E7841" t="str">
        <f>HYPERLINK("J:\Depot - mpkCCD Fractions\Main Web Page\Web Pages_old\proteomic_fractions_linear_files/Yang_linear_img/295293202.jpg","show blot")</f>
        <v>show blot</v>
      </c>
      <c r="G7841" t="s">
        <v>7594</v>
      </c>
      <c r="I7841" s="6">
        <v>5.4606780509312651</v>
      </c>
      <c r="K7841" s="8"/>
    </row>
    <row r="7842" spans="1:11" ht="15" x14ac:dyDescent="0.25">
      <c r="A7842" s="3" t="str">
        <f>HYPERLINK("proteomic_fractions_linear_files/Yang_linear_img/295293205.jpg", "295293205")</f>
        <v>295293205</v>
      </c>
      <c r="C7842" s="3" t="str">
        <f>HYPERLINK("http://www.ncbi.nlm.nih.gov/protein/295293205","Tsc22d1")</f>
        <v>Tsc22d1</v>
      </c>
      <c r="E7842" t="str">
        <f>HYPERLINK("J:\Depot - mpkCCD Fractions\Main Web Page\Web Pages_old\proteomic_fractions_linear_files/Yang_linear_img/295293205.jpg","show blot")</f>
        <v>show blot</v>
      </c>
      <c r="G7842" t="s">
        <v>7595</v>
      </c>
      <c r="I7842" s="6">
        <v>5.4606780509312651</v>
      </c>
      <c r="K7842" s="8"/>
    </row>
    <row r="7843" spans="1:11" ht="15" x14ac:dyDescent="0.25">
      <c r="A7843" s="3" t="str">
        <f>HYPERLINK("proteomic_fractions_linear_files/Yang_linear_img/6678315.jpg", "6678315")</f>
        <v>6678315</v>
      </c>
      <c r="C7843" s="3" t="str">
        <f>HYPERLINK("http://www.ncbi.nlm.nih.gov/protein/6678315","Tsc22d1")</f>
        <v>Tsc22d1</v>
      </c>
      <c r="E7843" t="str">
        <f>HYPERLINK("J:\Depot - mpkCCD Fractions\Main Web Page\Web Pages_old\proteomic_fractions_linear_files/Yang_linear_img/6678315.jpg","show blot")</f>
        <v>show blot</v>
      </c>
      <c r="G7843" t="s">
        <v>7596</v>
      </c>
      <c r="I7843" s="6">
        <v>5.4606780509312651</v>
      </c>
      <c r="K7843" s="8"/>
    </row>
    <row r="7844" spans="1:11" ht="15" x14ac:dyDescent="0.25">
      <c r="A7844" s="3" t="str">
        <f>HYPERLINK("proteomic_fractions_linear_files/Yang_linear_img/124487001.jpg", "124487001")</f>
        <v>124487001</v>
      </c>
      <c r="C7844" s="3" t="str">
        <f>HYPERLINK("http://www.ncbi.nlm.nih.gov/protein/124487001","Tsc22d2")</f>
        <v>Tsc22d2</v>
      </c>
      <c r="E7844" t="str">
        <f>HYPERLINK("J:\Depot - mpkCCD Fractions\Main Web Page\Web Pages_old\proteomic_fractions_linear_files/Yang_linear_img/124487001.jpg","show blot")</f>
        <v>show blot</v>
      </c>
      <c r="G7844" t="s">
        <v>7597</v>
      </c>
      <c r="I7844" s="6">
        <v>4.2150780742960796</v>
      </c>
      <c r="K7844" s="8"/>
    </row>
    <row r="7845" spans="1:11" ht="15" x14ac:dyDescent="0.25">
      <c r="A7845" s="3" t="str">
        <f>HYPERLINK("proteomic_fractions_linear_files/Yang_linear_img/116517338.jpg", "116517338")</f>
        <v>116517338</v>
      </c>
      <c r="C7845" s="3" t="str">
        <f>HYPERLINK("http://www.ncbi.nlm.nih.gov/protein/116517338","Tsc22d3")</f>
        <v>Tsc22d3</v>
      </c>
      <c r="E7845" t="str">
        <f>HYPERLINK("J:\Depot - mpkCCD Fractions\Main Web Page\Web Pages_old\proteomic_fractions_linear_files/Yang_linear_img/116517338.jpg","show blot")</f>
        <v>show blot</v>
      </c>
      <c r="G7845" t="s">
        <v>7598</v>
      </c>
      <c r="I7845" s="6">
        <v>4.1467018994522613</v>
      </c>
      <c r="K7845" s="8"/>
    </row>
    <row r="7846" spans="1:11" ht="15" x14ac:dyDescent="0.25">
      <c r="A7846" s="3" t="str">
        <f>HYPERLINK("proteomic_fractions_linear_files/Yang_linear_img/116517342.jpg", "116517342")</f>
        <v>116517342</v>
      </c>
      <c r="C7846" s="3" t="str">
        <f>HYPERLINK("http://www.ncbi.nlm.nih.gov/protein/116517342","Tsc22d3")</f>
        <v>Tsc22d3</v>
      </c>
      <c r="E7846" t="str">
        <f>HYPERLINK("J:\Depot - mpkCCD Fractions\Main Web Page\Web Pages_old\proteomic_fractions_linear_files/Yang_linear_img/116517342.jpg","show blot")</f>
        <v>show blot</v>
      </c>
      <c r="G7846" t="s">
        <v>7599</v>
      </c>
      <c r="I7846" s="6">
        <v>4.1467018994522613</v>
      </c>
      <c r="K7846" s="8"/>
    </row>
    <row r="7847" spans="1:11" ht="15" x14ac:dyDescent="0.25">
      <c r="A7847" s="3" t="str">
        <f>HYPERLINK("proteomic_fractions_linear_files/Yang_linear_img/356995846.jpg", "356995846")</f>
        <v>356995846</v>
      </c>
      <c r="C7847" s="3" t="str">
        <f>HYPERLINK("http://www.ncbi.nlm.nih.gov/protein/356995846","Tsc22d4")</f>
        <v>Tsc22d4</v>
      </c>
      <c r="E7847" t="str">
        <f>HYPERLINK("J:\Depot - mpkCCD Fractions\Main Web Page\Web Pages_old\proteomic_fractions_linear_files/Yang_linear_img/356995846.jpg","show blot")</f>
        <v>show blot</v>
      </c>
      <c r="G7847" t="s">
        <v>7600</v>
      </c>
      <c r="I7847" s="6">
        <v>4.8084344781021633</v>
      </c>
      <c r="K7847" s="8"/>
    </row>
    <row r="7848" spans="1:11" ht="15" x14ac:dyDescent="0.25">
      <c r="A7848" s="3" t="str">
        <f>HYPERLINK("proteomic_fractions_linear_files/Yang_linear_img/75750501.jpg", "75750501")</f>
        <v>75750501</v>
      </c>
      <c r="C7848" s="3" t="str">
        <f>HYPERLINK("http://www.ncbi.nlm.nih.gov/protein/75750501","Tsc22d4")</f>
        <v>Tsc22d4</v>
      </c>
      <c r="E7848" t="str">
        <f>HYPERLINK("J:\Depot - mpkCCD Fractions\Main Web Page\Web Pages_old\proteomic_fractions_linear_files/Yang_linear_img/75750501.jpg","show blot")</f>
        <v>show blot</v>
      </c>
      <c r="G7848" t="s">
        <v>7601</v>
      </c>
      <c r="I7848" s="6">
        <v>4.8084344781021633</v>
      </c>
      <c r="K7848" s="8"/>
    </row>
    <row r="7849" spans="1:11" ht="15" x14ac:dyDescent="0.25">
      <c r="A7849" s="3" t="str">
        <f>HYPERLINK("proteomic_fractions_linear_files/Yang_linear_img/228008361.jpg", "228008361")</f>
        <v>228008361</v>
      </c>
      <c r="C7849" s="3" t="str">
        <f>HYPERLINK("http://www.ncbi.nlm.nih.gov/protein/228008361","Tsen15")</f>
        <v>Tsen15</v>
      </c>
      <c r="E7849" t="str">
        <f>HYPERLINK("J:\Depot - mpkCCD Fractions\Main Web Page\Web Pages_old\proteomic_fractions_linear_files/Yang_linear_img/228008361.jpg","show blot")</f>
        <v>show blot</v>
      </c>
      <c r="G7849" t="s">
        <v>7602</v>
      </c>
      <c r="I7849" s="6">
        <v>4.3683273121816502</v>
      </c>
      <c r="K7849" s="8"/>
    </row>
    <row r="7850" spans="1:11" ht="15" x14ac:dyDescent="0.25">
      <c r="A7850" s="3" t="str">
        <f>HYPERLINK("proteomic_fractions_linear_files/Yang_linear_img/255958183.jpg", "255958183")</f>
        <v>255958183</v>
      </c>
      <c r="C7850" s="3" t="str">
        <f>HYPERLINK("http://www.ncbi.nlm.nih.gov/protein/255958183","Tsen34")</f>
        <v>Tsen34</v>
      </c>
      <c r="E7850" t="str">
        <f>HYPERLINK("J:\Depot - mpkCCD Fractions\Main Web Page\Web Pages_old\proteomic_fractions_linear_files/Yang_linear_img/255958183.jpg","show blot")</f>
        <v>show blot</v>
      </c>
      <c r="G7850" t="s">
        <v>7603</v>
      </c>
      <c r="I7850" s="6">
        <v>4.6378267511113354</v>
      </c>
      <c r="K7850" s="8"/>
    </row>
    <row r="7851" spans="1:11" ht="15" x14ac:dyDescent="0.25">
      <c r="A7851" s="3" t="str">
        <f>HYPERLINK("proteomic_fractions_linear_files/Yang_linear_img/255958183;13195596.jpg", "255958183;13195596")</f>
        <v>255958183;13195596</v>
      </c>
      <c r="C7851" s="3" t="str">
        <f>HYPERLINK("http://www.ncbi.nlm.nih.gov/protein/255958183;13195596","Tsen34")</f>
        <v>Tsen34</v>
      </c>
      <c r="E7851" t="str">
        <f>HYPERLINK("J:\Depot - mpkCCD Fractions\Main Web Page\Web Pages_old\proteomic_fractions_linear_files/Yang_linear_img/255958183;13195596.jpg","show blot")</f>
        <v>show blot</v>
      </c>
      <c r="G7851" t="s">
        <v>7603</v>
      </c>
      <c r="I7851" s="6">
        <v>4.6378267511113354</v>
      </c>
      <c r="K7851" s="8"/>
    </row>
    <row r="7852" spans="1:11" ht="15" x14ac:dyDescent="0.25">
      <c r="A7852" s="3" t="str">
        <f>HYPERLINK("proteomic_fractions_linear_files/Yang_linear_img/255958185.jpg", "255958185")</f>
        <v>255958185</v>
      </c>
      <c r="C7852" s="3" t="str">
        <f>HYPERLINK("http://www.ncbi.nlm.nih.gov/protein/255958185","Tsen34")</f>
        <v>Tsen34</v>
      </c>
      <c r="E7852" t="str">
        <f>HYPERLINK("J:\Depot - mpkCCD Fractions\Main Web Page\Web Pages_old\proteomic_fractions_linear_files/Yang_linear_img/255958185.jpg","show blot")</f>
        <v>show blot</v>
      </c>
      <c r="G7852" t="s">
        <v>7604</v>
      </c>
      <c r="I7852" s="6">
        <v>4.6378267511113354</v>
      </c>
      <c r="K7852" s="8"/>
    </row>
    <row r="7853" spans="1:11" ht="15" x14ac:dyDescent="0.25">
      <c r="A7853" s="3" t="str">
        <f>HYPERLINK("proteomic_fractions_linear_files/Yang_linear_img/108389163.jpg", "108389163")</f>
        <v>108389163</v>
      </c>
      <c r="C7853" s="3" t="str">
        <f>HYPERLINK("http://www.ncbi.nlm.nih.gov/protein/108389163","Tsen54")</f>
        <v>Tsen54</v>
      </c>
      <c r="E7853" t="str">
        <f>HYPERLINK("J:\Depot - mpkCCD Fractions\Main Web Page\Web Pages_old\proteomic_fractions_linear_files/Yang_linear_img/108389163.jpg","show blot")</f>
        <v>show blot</v>
      </c>
      <c r="G7853" t="s">
        <v>7605</v>
      </c>
      <c r="I7853" s="6">
        <v>2.970084541626123</v>
      </c>
      <c r="K7853" s="8"/>
    </row>
    <row r="7854" spans="1:11" ht="15" x14ac:dyDescent="0.25">
      <c r="A7854" s="3" t="str">
        <f>HYPERLINK("proteomic_fractions_linear_files/Yang_linear_img/21313468.jpg", "21313468")</f>
        <v>21313468</v>
      </c>
      <c r="C7854" s="3" t="str">
        <f>HYPERLINK("http://www.ncbi.nlm.nih.gov/protein/21313468","Tsfm")</f>
        <v>Tsfm</v>
      </c>
      <c r="E7854" t="str">
        <f>HYPERLINK("J:\Depot - mpkCCD Fractions\Main Web Page\Web Pages_old\proteomic_fractions_linear_files/Yang_linear_img/21313468.jpg","show blot")</f>
        <v>show blot</v>
      </c>
      <c r="G7854" t="s">
        <v>7606</v>
      </c>
      <c r="I7854" s="6">
        <v>5.0782426613960201</v>
      </c>
      <c r="K7854" s="8"/>
    </row>
    <row r="7855" spans="1:11" ht="15" x14ac:dyDescent="0.25">
      <c r="A7855" s="3" t="str">
        <f>HYPERLINK("proteomic_fractions_linear_files/Yang_linear_img/11230780.jpg", "11230780")</f>
        <v>11230780</v>
      </c>
      <c r="C7855" s="3" t="str">
        <f>HYPERLINK("http://www.ncbi.nlm.nih.gov/protein/11230780","Tsg101")</f>
        <v>Tsg101</v>
      </c>
      <c r="E7855" t="str">
        <f>HYPERLINK("J:\Depot - mpkCCD Fractions\Main Web Page\Web Pages_old\proteomic_fractions_linear_files/Yang_linear_img/11230780.jpg","show blot")</f>
        <v>show blot</v>
      </c>
      <c r="G7855" t="s">
        <v>7607</v>
      </c>
      <c r="I7855" s="6">
        <v>5.1690977165186069</v>
      </c>
      <c r="K7855" s="8"/>
    </row>
    <row r="7856" spans="1:11" ht="15" x14ac:dyDescent="0.25">
      <c r="A7856" s="3" t="str">
        <f>HYPERLINK("proteomic_fractions_linear_files/Yang_linear_img/6755899.jpg", "6755899")</f>
        <v>6755899</v>
      </c>
      <c r="C7856" s="3" t="str">
        <f>HYPERLINK("http://www.ncbi.nlm.nih.gov/protein/6755899","Tsn")</f>
        <v>Tsn</v>
      </c>
      <c r="E7856" t="str">
        <f>HYPERLINK("J:\Depot - mpkCCD Fractions\Main Web Page\Web Pages_old\proteomic_fractions_linear_files/Yang_linear_img/6755899.jpg","show blot")</f>
        <v>show blot</v>
      </c>
      <c r="G7856" t="s">
        <v>7608</v>
      </c>
      <c r="I7856" s="6">
        <v>6.014530569864565</v>
      </c>
      <c r="K7856" s="8"/>
    </row>
    <row r="7857" spans="1:11" ht="15" x14ac:dyDescent="0.25">
      <c r="A7857" s="3" t="str">
        <f>HYPERLINK("proteomic_fractions_linear_files/Yang_linear_img/8394490.jpg", "8394490")</f>
        <v>8394490</v>
      </c>
      <c r="C7857" s="3" t="str">
        <f>HYPERLINK("http://www.ncbi.nlm.nih.gov/protein/8394490","Tsnax")</f>
        <v>Tsnax</v>
      </c>
      <c r="E7857" t="str">
        <f>HYPERLINK("J:\Depot - mpkCCD Fractions\Main Web Page\Web Pages_old\proteomic_fractions_linear_files/Yang_linear_img/8394490.jpg","show blot")</f>
        <v>show blot</v>
      </c>
      <c r="G7857" t="s">
        <v>7609</v>
      </c>
      <c r="I7857" s="6">
        <v>5.5441578335273345</v>
      </c>
      <c r="K7857" s="8"/>
    </row>
    <row r="7858" spans="1:11" ht="15" x14ac:dyDescent="0.25">
      <c r="A7858" s="3" t="str">
        <f>HYPERLINK("proteomic_fractions_linear_files/Yang_linear_img/22122345.jpg", "22122345")</f>
        <v>22122345</v>
      </c>
      <c r="C7858" s="3" t="str">
        <f>HYPERLINK("http://www.ncbi.nlm.nih.gov/protein/22122345","Tspan14")</f>
        <v>Tspan14</v>
      </c>
      <c r="E7858" t="str">
        <f>HYPERLINK("J:\Depot - mpkCCD Fractions\Main Web Page\Web Pages_old\proteomic_fractions_linear_files/Yang_linear_img/22122345.jpg","show blot")</f>
        <v>show blot</v>
      </c>
      <c r="G7858" t="s">
        <v>7610</v>
      </c>
      <c r="I7858" s="6">
        <v>4.4658883521528372</v>
      </c>
      <c r="K7858" s="8"/>
    </row>
    <row r="7859" spans="1:11" ht="15" x14ac:dyDescent="0.25">
      <c r="A7859" s="3" t="str">
        <f>HYPERLINK("proteomic_fractions_linear_files/Yang_linear_img/110347498.jpg", "110347498")</f>
        <v>110347498</v>
      </c>
      <c r="C7859" s="3" t="str">
        <f>HYPERLINK("http://www.ncbi.nlm.nih.gov/protein/110347498","Tspan15")</f>
        <v>Tspan15</v>
      </c>
      <c r="E7859" t="str">
        <f>HYPERLINK("J:\Depot - mpkCCD Fractions\Main Web Page\Web Pages_old\proteomic_fractions_linear_files/Yang_linear_img/110347498.jpg","show blot")</f>
        <v>show blot</v>
      </c>
      <c r="G7859" t="s">
        <v>7611</v>
      </c>
      <c r="I7859" s="6">
        <v>2.001445240874181</v>
      </c>
      <c r="K7859" s="8"/>
    </row>
    <row r="7860" spans="1:11" ht="15" x14ac:dyDescent="0.25">
      <c r="A7860" s="3" t="str">
        <f>HYPERLINK("proteomic_fractions_linear_files/Yang_linear_img/13385482.jpg", "13385482")</f>
        <v>13385482</v>
      </c>
      <c r="C7860" s="3" t="str">
        <f>HYPERLINK("http://www.ncbi.nlm.nih.gov/protein/13385482","Tspan31")</f>
        <v>Tspan31</v>
      </c>
      <c r="E7860" t="str">
        <f>HYPERLINK("J:\Depot - mpkCCD Fractions\Main Web Page\Web Pages_old\proteomic_fractions_linear_files/Yang_linear_img/13385482.jpg","show blot")</f>
        <v>show blot</v>
      </c>
      <c r="G7860" t="s">
        <v>7612</v>
      </c>
      <c r="I7860" s="6">
        <v>4.6027241190756421</v>
      </c>
      <c r="K7860" s="8"/>
    </row>
    <row r="7861" spans="1:11" ht="15" x14ac:dyDescent="0.25">
      <c r="A7861" s="3" t="str">
        <f>HYPERLINK("proteomic_fractions_linear_files/Yang_linear_img/31560378.jpg", "31560378")</f>
        <v>31560378</v>
      </c>
      <c r="C7861" s="3" t="str">
        <f>HYPERLINK("http://www.ncbi.nlm.nih.gov/protein/31560378","Tspan6")</f>
        <v>Tspan6</v>
      </c>
      <c r="E7861" t="str">
        <f>HYPERLINK("J:\Depot - mpkCCD Fractions\Main Web Page\Web Pages_old\proteomic_fractions_linear_files/Yang_linear_img/31560378.jpg","show blot")</f>
        <v>show blot</v>
      </c>
      <c r="G7861" t="s">
        <v>7613</v>
      </c>
      <c r="I7861" s="6">
        <v>2.8253539818184996</v>
      </c>
      <c r="K7861" s="8"/>
    </row>
    <row r="7862" spans="1:11" ht="15" x14ac:dyDescent="0.25">
      <c r="A7862" s="3" t="str">
        <f>HYPERLINK("proteomic_fractions_linear_files/Yang_linear_img/22122475.jpg", "22122475")</f>
        <v>22122475</v>
      </c>
      <c r="C7862" s="3" t="str">
        <f>HYPERLINK("http://www.ncbi.nlm.nih.gov/protein/22122475","Tspan8")</f>
        <v>Tspan8</v>
      </c>
      <c r="E7862" t="str">
        <f>HYPERLINK("J:\Depot - mpkCCD Fractions\Main Web Page\Web Pages_old\proteomic_fractions_linear_files/Yang_linear_img/22122475.jpg","show blot")</f>
        <v>show blot</v>
      </c>
      <c r="G7862" t="s">
        <v>7614</v>
      </c>
      <c r="I7862" s="6">
        <v>6.5671974867585066</v>
      </c>
      <c r="K7862" s="8"/>
    </row>
    <row r="7863" spans="1:11" ht="15" x14ac:dyDescent="0.25">
      <c r="A7863" s="3" t="str">
        <f>HYPERLINK("proteomic_fractions_linear_files/Yang_linear_img/30425124.jpg", "30425124")</f>
        <v>30425124</v>
      </c>
      <c r="C7863" s="3" t="str">
        <f>HYPERLINK("http://www.ncbi.nlm.nih.gov/protein/30425124","Tspan9")</f>
        <v>Tspan9</v>
      </c>
      <c r="E7863" t="str">
        <f>HYPERLINK("J:\Depot - mpkCCD Fractions\Main Web Page\Web Pages_old\proteomic_fractions_linear_files/Yang_linear_img/30425124.jpg","show blot")</f>
        <v>show blot</v>
      </c>
      <c r="G7863" t="s">
        <v>7615</v>
      </c>
      <c r="I7863" s="6">
        <v>3.6800977928541987</v>
      </c>
      <c r="K7863" s="8"/>
    </row>
    <row r="7864" spans="1:11" ht="15" x14ac:dyDescent="0.25">
      <c r="A7864" s="3" t="str">
        <f>HYPERLINK("proteomic_fractions_linear_files/Yang_linear_img/6678445.jpg", "6678445")</f>
        <v>6678445</v>
      </c>
      <c r="C7864" s="3" t="str">
        <f>HYPERLINK("http://www.ncbi.nlm.nih.gov/protein/6678445","Tspyl1")</f>
        <v>Tspyl1</v>
      </c>
      <c r="E7864" t="str">
        <f>HYPERLINK("J:\Depot - mpkCCD Fractions\Main Web Page\Web Pages_old\proteomic_fractions_linear_files/Yang_linear_img/6678445.jpg","show blot")</f>
        <v>show blot</v>
      </c>
      <c r="G7864" t="s">
        <v>7616</v>
      </c>
      <c r="I7864" s="6">
        <v>2.3222192947339195</v>
      </c>
      <c r="K7864" s="8"/>
    </row>
    <row r="7865" spans="1:11" ht="15" x14ac:dyDescent="0.25">
      <c r="A7865" s="3" t="str">
        <f>HYPERLINK("proteomic_fractions_linear_files/Yang_linear_img/126506294.jpg", "126506294")</f>
        <v>126506294</v>
      </c>
      <c r="C7865" s="3" t="str">
        <f>HYPERLINK("http://www.ncbi.nlm.nih.gov/protein/126506294","Tsr1")</f>
        <v>Tsr1</v>
      </c>
      <c r="E7865" t="str">
        <f>HYPERLINK("J:\Depot - mpkCCD Fractions\Main Web Page\Web Pages_old\proteomic_fractions_linear_files/Yang_linear_img/126506294.jpg","show blot")</f>
        <v>show blot</v>
      </c>
      <c r="G7865" t="s">
        <v>7617</v>
      </c>
      <c r="I7865" s="6">
        <v>4.6909485906804704</v>
      </c>
      <c r="K7865" s="8"/>
    </row>
    <row r="7866" spans="1:11" ht="15" x14ac:dyDescent="0.25">
      <c r="A7866" s="3" t="str">
        <f>HYPERLINK("proteomic_fractions_linear_files/Yang_linear_img/257153359.jpg", "257153359")</f>
        <v>257153359</v>
      </c>
      <c r="C7866" s="3" t="str">
        <f>HYPERLINK("http://www.ncbi.nlm.nih.gov/protein/257153359","Tsr2")</f>
        <v>Tsr2</v>
      </c>
      <c r="E7866" t="str">
        <f>HYPERLINK("J:\Depot - mpkCCD Fractions\Main Web Page\Web Pages_old\proteomic_fractions_linear_files/Yang_linear_img/257153359.jpg","show blot")</f>
        <v>show blot</v>
      </c>
      <c r="G7866" t="s">
        <v>7618</v>
      </c>
      <c r="I7866" s="6">
        <v>4.0181471733243734</v>
      </c>
      <c r="K7866" s="8"/>
    </row>
    <row r="7867" spans="1:11" ht="15" x14ac:dyDescent="0.25">
      <c r="A7867" s="3" t="str">
        <f>HYPERLINK("proteomic_fractions_linear_files/Yang_linear_img/257196134.jpg", "257196134")</f>
        <v>257196134</v>
      </c>
      <c r="C7867" s="3" t="str">
        <f>HYPERLINK("http://www.ncbi.nlm.nih.gov/protein/257196134","Tsr2")</f>
        <v>Tsr2</v>
      </c>
      <c r="E7867" t="str">
        <f>HYPERLINK("J:\Depot - mpkCCD Fractions\Main Web Page\Web Pages_old\proteomic_fractions_linear_files/Yang_linear_img/257196134.jpg","show blot")</f>
        <v>show blot</v>
      </c>
      <c r="G7867" t="s">
        <v>7619</v>
      </c>
      <c r="I7867" s="6">
        <v>4.0181471733243734</v>
      </c>
      <c r="K7867" s="8"/>
    </row>
    <row r="7868" spans="1:11" ht="15" x14ac:dyDescent="0.25">
      <c r="A7868" s="3" t="str">
        <f>HYPERLINK("proteomic_fractions_linear_files/Yang_linear_img/238550175.jpg", "238550175")</f>
        <v>238550175</v>
      </c>
      <c r="C7868" s="3" t="str">
        <f>HYPERLINK("http://www.ncbi.nlm.nih.gov/protein/238550175","Tssc1")</f>
        <v>Tssc1</v>
      </c>
      <c r="E7868" t="str">
        <f>HYPERLINK("J:\Depot - mpkCCD Fractions\Main Web Page\Web Pages_old\proteomic_fractions_linear_files/Yang_linear_img/238550175.jpg","show blot")</f>
        <v>show blot</v>
      </c>
      <c r="G7868" t="s">
        <v>7620</v>
      </c>
      <c r="I7868" s="6">
        <v>5.0788153496026682</v>
      </c>
      <c r="K7868" s="8"/>
    </row>
    <row r="7869" spans="1:11" ht="15" x14ac:dyDescent="0.25">
      <c r="A7869" s="3" t="str">
        <f>HYPERLINK("proteomic_fractions_linear_files/Yang_linear_img/13654268.jpg", "13654268")</f>
        <v>13654268</v>
      </c>
      <c r="C7869" s="3" t="str">
        <f>HYPERLINK("http://www.ncbi.nlm.nih.gov/protein/13654268","Tsta3")</f>
        <v>Tsta3</v>
      </c>
      <c r="E7869" t="str">
        <f>HYPERLINK("J:\Depot - mpkCCD Fractions\Main Web Page\Web Pages_old\proteomic_fractions_linear_files/Yang_linear_img/13654268.jpg","show blot")</f>
        <v>show blot</v>
      </c>
      <c r="G7869" t="s">
        <v>7621</v>
      </c>
      <c r="I7869" s="6">
        <v>5.7289564177119745</v>
      </c>
      <c r="K7869" s="8"/>
    </row>
    <row r="7870" spans="1:11" ht="15" x14ac:dyDescent="0.25">
      <c r="A7870" s="3" t="str">
        <f>HYPERLINK("proteomic_fractions_linear_files/Yang_linear_img/67906805.jpg", "67906805")</f>
        <v>67906805</v>
      </c>
      <c r="C7870" s="3" t="str">
        <f>HYPERLINK("http://www.ncbi.nlm.nih.gov/protein/67906805","Ttbk2")</f>
        <v>Ttbk2</v>
      </c>
      <c r="E7870" t="str">
        <f>HYPERLINK("J:\Depot - mpkCCD Fractions\Main Web Page\Web Pages_old\proteomic_fractions_linear_files/Yang_linear_img/67906805.jpg","show blot")</f>
        <v>show blot</v>
      </c>
      <c r="G7870" t="s">
        <v>7622</v>
      </c>
      <c r="I7870" s="6">
        <v>0.64287592410141781</v>
      </c>
      <c r="K7870" s="8"/>
    </row>
    <row r="7871" spans="1:11" ht="15" x14ac:dyDescent="0.25">
      <c r="A7871" s="3" t="str">
        <f>HYPERLINK("proteomic_fractions_linear_files/Yang_linear_img/67906807.jpg", "67906807")</f>
        <v>67906807</v>
      </c>
      <c r="C7871" s="3" t="str">
        <f>HYPERLINK("http://www.ncbi.nlm.nih.gov/protein/67906807","Ttbk2")</f>
        <v>Ttbk2</v>
      </c>
      <c r="E7871" t="str">
        <f>HYPERLINK("J:\Depot - mpkCCD Fractions\Main Web Page\Web Pages_old\proteomic_fractions_linear_files/Yang_linear_img/67906807.jpg","show blot")</f>
        <v>show blot</v>
      </c>
      <c r="G7871" t="s">
        <v>7623</v>
      </c>
      <c r="I7871" s="6">
        <v>0.64287592410141781</v>
      </c>
      <c r="K7871" s="8"/>
    </row>
    <row r="7872" spans="1:11" ht="15" x14ac:dyDescent="0.25">
      <c r="A7872" s="3" t="str">
        <f>HYPERLINK("proteomic_fractions_linear_files/Yang_linear_img/20452462.jpg", "20452462")</f>
        <v>20452462</v>
      </c>
      <c r="C7872" s="3" t="str">
        <f>HYPERLINK("http://www.ncbi.nlm.nih.gov/protein/20452462","Ttc1")</f>
        <v>Ttc1</v>
      </c>
      <c r="E7872" t="str">
        <f>HYPERLINK("J:\Depot - mpkCCD Fractions\Main Web Page\Web Pages_old\proteomic_fractions_linear_files/Yang_linear_img/20452462.jpg","show blot")</f>
        <v>show blot</v>
      </c>
      <c r="G7872" t="s">
        <v>7624</v>
      </c>
      <c r="I7872" s="6">
        <v>5.0436311386589896</v>
      </c>
      <c r="K7872" s="8"/>
    </row>
    <row r="7873" spans="1:11" ht="15" x14ac:dyDescent="0.25">
      <c r="A7873" s="3" t="str">
        <f>HYPERLINK("proteomic_fractions_linear_files/Yang_linear_img/27370132.jpg", "27370132")</f>
        <v>27370132</v>
      </c>
      <c r="C7873" s="3" t="str">
        <f>HYPERLINK("http://www.ncbi.nlm.nih.gov/protein/27370132","Ttc12")</f>
        <v>Ttc12</v>
      </c>
      <c r="E7873" t="str">
        <f>HYPERLINK("J:\Depot - mpkCCD Fractions\Main Web Page\Web Pages_old\proteomic_fractions_linear_files/Yang_linear_img/27370132.jpg","show blot")</f>
        <v>show blot</v>
      </c>
      <c r="G7873" t="s">
        <v>7625</v>
      </c>
      <c r="I7873" s="6">
        <v>3.3620724068003622</v>
      </c>
      <c r="K7873" s="8"/>
    </row>
    <row r="7874" spans="1:11" ht="15" x14ac:dyDescent="0.25">
      <c r="A7874" s="3" t="str">
        <f>HYPERLINK("proteomic_fractions_linear_files/Yang_linear_img/114158711.jpg", "114158711")</f>
        <v>114158711</v>
      </c>
      <c r="C7874" s="3" t="str">
        <f>HYPERLINK("http://www.ncbi.nlm.nih.gov/protein/114158711","Ttc21b")</f>
        <v>Ttc21b</v>
      </c>
      <c r="E7874" t="str">
        <f>HYPERLINK("J:\Depot - mpkCCD Fractions\Main Web Page\Web Pages_old\proteomic_fractions_linear_files/Yang_linear_img/114158711.jpg","show blot")</f>
        <v>show blot</v>
      </c>
      <c r="G7874" t="s">
        <v>7626</v>
      </c>
      <c r="I7874" s="6">
        <v>2.6688054057108168</v>
      </c>
      <c r="K7874" s="8"/>
    </row>
    <row r="7875" spans="1:11" ht="15" x14ac:dyDescent="0.25">
      <c r="A7875" s="3" t="str">
        <f>HYPERLINK("proteomic_fractions_linear_files/Yang_linear_img/254281218.jpg", "254281218")</f>
        <v>254281218</v>
      </c>
      <c r="C7875" s="3" t="str">
        <f>HYPERLINK("http://www.ncbi.nlm.nih.gov/protein/254281218","Ttc23l")</f>
        <v>Ttc23l</v>
      </c>
      <c r="E7875" t="str">
        <f>HYPERLINK("J:\Depot - mpkCCD Fractions\Main Web Page\Web Pages_old\proteomic_fractions_linear_files/Yang_linear_img/254281218.jpg","show blot")</f>
        <v>show blot</v>
      </c>
      <c r="G7875" t="s">
        <v>7627</v>
      </c>
      <c r="I7875" s="6">
        <v>3.9544823278164913</v>
      </c>
      <c r="K7875" s="8"/>
    </row>
    <row r="7876" spans="1:11" ht="15" x14ac:dyDescent="0.25">
      <c r="A7876" s="3" t="str">
        <f>HYPERLINK("proteomic_fractions_linear_files/Yang_linear_img/42734471.jpg", "42734471")</f>
        <v>42734471</v>
      </c>
      <c r="C7876" s="3" t="str">
        <f>HYPERLINK("http://www.ncbi.nlm.nih.gov/protein/42734471","Ttc26")</f>
        <v>Ttc26</v>
      </c>
      <c r="E7876" t="str">
        <f>HYPERLINK("J:\Depot - mpkCCD Fractions\Main Web Page\Web Pages_old\proteomic_fractions_linear_files/Yang_linear_img/42734471.jpg","show blot")</f>
        <v>show blot</v>
      </c>
      <c r="G7876" t="s">
        <v>7628</v>
      </c>
      <c r="I7876" s="6">
        <v>3.4731742121033862</v>
      </c>
      <c r="K7876" s="8"/>
    </row>
    <row r="7877" spans="1:11" ht="15" x14ac:dyDescent="0.25">
      <c r="A7877" s="3" t="str">
        <f>HYPERLINK("proteomic_fractions_linear_files/Yang_linear_img/164519039.jpg", "164519039")</f>
        <v>164519039</v>
      </c>
      <c r="C7877" s="3" t="str">
        <f>HYPERLINK("http://www.ncbi.nlm.nih.gov/protein/164519039","Ttc27")</f>
        <v>Ttc27</v>
      </c>
      <c r="E7877" t="str">
        <f>HYPERLINK("J:\Depot - mpkCCD Fractions\Main Web Page\Web Pages_old\proteomic_fractions_linear_files/Yang_linear_img/164519039.jpg","show blot")</f>
        <v>show blot</v>
      </c>
      <c r="G7877" t="s">
        <v>7629</v>
      </c>
      <c r="I7877" s="6">
        <v>3.6399776440933755</v>
      </c>
      <c r="K7877" s="8"/>
    </row>
    <row r="7878" spans="1:11" ht="15" x14ac:dyDescent="0.25">
      <c r="A7878" s="3" t="str">
        <f>HYPERLINK("proteomic_fractions_linear_files/Yang_linear_img/154091024.jpg", "154091024")</f>
        <v>154091024</v>
      </c>
      <c r="C7878" s="3" t="str">
        <f>HYPERLINK("http://www.ncbi.nlm.nih.gov/protein/154091024","Ttc3")</f>
        <v>Ttc3</v>
      </c>
      <c r="E7878" t="str">
        <f>HYPERLINK("J:\Depot - mpkCCD Fractions\Main Web Page\Web Pages_old\proteomic_fractions_linear_files/Yang_linear_img/154091024.jpg","show blot")</f>
        <v>show blot</v>
      </c>
      <c r="G7878" t="s">
        <v>7630</v>
      </c>
      <c r="I7878" s="6">
        <v>3.1133047704897656</v>
      </c>
      <c r="K7878" s="8"/>
    </row>
    <row r="7879" spans="1:11" ht="15" x14ac:dyDescent="0.25">
      <c r="A7879" s="3" t="str">
        <f>HYPERLINK("proteomic_fractions_linear_files/Yang_linear_img/125988391.jpg", "125988391")</f>
        <v>125988391</v>
      </c>
      <c r="C7879" s="3" t="str">
        <f>HYPERLINK("http://www.ncbi.nlm.nih.gov/protein/125988391","Ttc30a1")</f>
        <v>Ttc30a1</v>
      </c>
      <c r="E7879" t="str">
        <f>HYPERLINK("J:\Depot - mpkCCD Fractions\Main Web Page\Web Pages_old\proteomic_fractions_linear_files/Yang_linear_img/125988391.jpg","show blot")</f>
        <v>show blot</v>
      </c>
      <c r="G7879" t="s">
        <v>7631</v>
      </c>
      <c r="I7879" s="6">
        <v>3.9697442461587307</v>
      </c>
      <c r="K7879" s="8"/>
    </row>
    <row r="7880" spans="1:11" ht="15" x14ac:dyDescent="0.25">
      <c r="A7880" s="3" t="str">
        <f>HYPERLINK("proteomic_fractions_linear_files/Yang_linear_img/124487007.jpg", "124487007")</f>
        <v>124487007</v>
      </c>
      <c r="C7880" s="3" t="str">
        <f>HYPERLINK("http://www.ncbi.nlm.nih.gov/protein/124487007","Ttc30a2")</f>
        <v>Ttc30a2</v>
      </c>
      <c r="E7880" t="str">
        <f>HYPERLINK("J:\Depot - mpkCCD Fractions\Main Web Page\Web Pages_old\proteomic_fractions_linear_files/Yang_linear_img/124487007.jpg","show blot")</f>
        <v>show blot</v>
      </c>
      <c r="G7880" t="s">
        <v>7632</v>
      </c>
      <c r="I7880" s="6">
        <v>3.9697442461587307</v>
      </c>
      <c r="K7880" s="8"/>
    </row>
    <row r="7881" spans="1:11" ht="15" x14ac:dyDescent="0.25">
      <c r="A7881" s="3" t="str">
        <f>HYPERLINK("proteomic_fractions_linear_files/Yang_linear_img/125988383.jpg", "125988383")</f>
        <v>125988383</v>
      </c>
      <c r="C7881" s="3" t="str">
        <f>HYPERLINK("http://www.ncbi.nlm.nih.gov/protein/125988383","Ttc30b")</f>
        <v>Ttc30b</v>
      </c>
      <c r="E7881" t="str">
        <f>HYPERLINK("J:\Depot - mpkCCD Fractions\Main Web Page\Web Pages_old\proteomic_fractions_linear_files/Yang_linear_img/125988383.jpg","show blot")</f>
        <v>show blot</v>
      </c>
      <c r="G7881" t="s">
        <v>7633</v>
      </c>
      <c r="I7881" s="6">
        <v>3.9697442461587307</v>
      </c>
      <c r="K7881" s="8"/>
    </row>
    <row r="7882" spans="1:11" ht="15" x14ac:dyDescent="0.25">
      <c r="A7882" s="3" t="str">
        <f>HYPERLINK("proteomic_fractions_linear_files/Yang_linear_img/58037417.jpg", "58037417")</f>
        <v>58037417</v>
      </c>
      <c r="C7882" s="3" t="str">
        <f>HYPERLINK("http://www.ncbi.nlm.nih.gov/protein/58037417","Ttc32")</f>
        <v>Ttc32</v>
      </c>
      <c r="E7882" t="str">
        <f>HYPERLINK("J:\Depot - mpkCCD Fractions\Main Web Page\Web Pages_old\proteomic_fractions_linear_files/Yang_linear_img/58037417.jpg","show blot")</f>
        <v>show blot</v>
      </c>
      <c r="G7882" t="s">
        <v>7634</v>
      </c>
      <c r="I7882" s="6">
        <v>4.1253848479231277</v>
      </c>
      <c r="K7882" s="8"/>
    </row>
    <row r="7883" spans="1:11" ht="15" x14ac:dyDescent="0.25">
      <c r="A7883" s="3" t="str">
        <f>HYPERLINK("proteomic_fractions_linear_files/Yang_linear_img/21312920.jpg", "21312920")</f>
        <v>21312920</v>
      </c>
      <c r="C7883" s="3" t="str">
        <f>HYPERLINK("http://www.ncbi.nlm.nih.gov/protein/21312920","Ttc33")</f>
        <v>Ttc33</v>
      </c>
      <c r="E7883" t="str">
        <f>HYPERLINK("J:\Depot - mpkCCD Fractions\Main Web Page\Web Pages_old\proteomic_fractions_linear_files/Yang_linear_img/21312920.jpg","show blot")</f>
        <v>show blot</v>
      </c>
      <c r="G7883" t="s">
        <v>7635</v>
      </c>
      <c r="I7883" s="6">
        <v>4.6446422902953337</v>
      </c>
      <c r="K7883" s="8"/>
    </row>
    <row r="7884" spans="1:11" ht="15" x14ac:dyDescent="0.25">
      <c r="A7884" s="3" t="str">
        <f>HYPERLINK("proteomic_fractions_linear_files/Yang_linear_img/225543265.jpg", "225543265")</f>
        <v>225543265</v>
      </c>
      <c r="C7884" s="3" t="str">
        <f>HYPERLINK("http://www.ncbi.nlm.nih.gov/protein/225543265","Ttc34")</f>
        <v>Ttc34</v>
      </c>
      <c r="E7884" t="str">
        <f>HYPERLINK("J:\Depot - mpkCCD Fractions\Main Web Page\Web Pages_old\proteomic_fractions_linear_files/Yang_linear_img/225543265.jpg","show blot")</f>
        <v>show blot</v>
      </c>
      <c r="G7884" t="s">
        <v>7636</v>
      </c>
      <c r="I7884" s="6">
        <v>4.3411220572554576</v>
      </c>
      <c r="K7884" s="8"/>
    </row>
    <row r="7885" spans="1:11" ht="15" x14ac:dyDescent="0.25">
      <c r="A7885" s="3" t="str">
        <f>HYPERLINK("proteomic_fractions_linear_files/Yang_linear_img/124486883.jpg", "124486883")</f>
        <v>124486883</v>
      </c>
      <c r="C7885" s="3" t="str">
        <f>HYPERLINK("http://www.ncbi.nlm.nih.gov/protein/124486883","Ttc37")</f>
        <v>Ttc37</v>
      </c>
      <c r="E7885" t="str">
        <f>HYPERLINK("J:\Depot - mpkCCD Fractions\Main Web Page\Web Pages_old\proteomic_fractions_linear_files/Yang_linear_img/124486883.jpg","show blot")</f>
        <v>show blot</v>
      </c>
      <c r="G7885" t="s">
        <v>7637</v>
      </c>
      <c r="I7885" s="6">
        <v>3.9254844028182085</v>
      </c>
      <c r="K7885" s="8"/>
    </row>
    <row r="7886" spans="1:11" ht="15" x14ac:dyDescent="0.25">
      <c r="A7886" s="3" t="str">
        <f>HYPERLINK("proteomic_fractions_linear_files/Yang_linear_img/158517895.jpg", "158517895")</f>
        <v>158517895</v>
      </c>
      <c r="C7886" s="3" t="str">
        <f>HYPERLINK("http://www.ncbi.nlm.nih.gov/protein/158517895","Ttc38")</f>
        <v>Ttc38</v>
      </c>
      <c r="E7886" t="str">
        <f>HYPERLINK("J:\Depot - mpkCCD Fractions\Main Web Page\Web Pages_old\proteomic_fractions_linear_files/Yang_linear_img/158517895.jpg","show blot")</f>
        <v>show blot</v>
      </c>
      <c r="G7886" t="s">
        <v>7638</v>
      </c>
      <c r="I7886" s="6">
        <v>5.6115796881593258</v>
      </c>
      <c r="K7886" s="8"/>
    </row>
    <row r="7887" spans="1:11" ht="15" x14ac:dyDescent="0.25">
      <c r="A7887" s="3" t="str">
        <f>HYPERLINK("proteomic_fractions_linear_files/Yang_linear_img/124358948.jpg", "124358948")</f>
        <v>124358948</v>
      </c>
      <c r="C7887" s="3" t="str">
        <f>HYPERLINK("http://www.ncbi.nlm.nih.gov/protein/124358948","Ttc5")</f>
        <v>Ttc5</v>
      </c>
      <c r="E7887" t="str">
        <f>HYPERLINK("J:\Depot - mpkCCD Fractions\Main Web Page\Web Pages_old\proteomic_fractions_linear_files/Yang_linear_img/124358948.jpg","show blot")</f>
        <v>show blot</v>
      </c>
      <c r="G7887" t="s">
        <v>7639</v>
      </c>
      <c r="I7887" s="6">
        <v>4.7201576371740943</v>
      </c>
      <c r="K7887" s="8"/>
    </row>
    <row r="7888" spans="1:11" ht="15" x14ac:dyDescent="0.25">
      <c r="A7888" s="3" t="str">
        <f>HYPERLINK("proteomic_fractions_linear_files/Yang_linear_img/29244012.jpg", "29244012")</f>
        <v>29244012</v>
      </c>
      <c r="C7888" s="3" t="str">
        <f>HYPERLINK("http://www.ncbi.nlm.nih.gov/protein/29244012","Ttc5")</f>
        <v>Ttc5</v>
      </c>
      <c r="E7888" t="str">
        <f>HYPERLINK("J:\Depot - mpkCCD Fractions\Main Web Page\Web Pages_old\proteomic_fractions_linear_files/Yang_linear_img/29244012.jpg","show blot")</f>
        <v>show blot</v>
      </c>
      <c r="G7888" t="s">
        <v>7640</v>
      </c>
      <c r="I7888" s="6">
        <v>4.7201576371740943</v>
      </c>
      <c r="K7888" s="8"/>
    </row>
    <row r="7889" spans="1:11" ht="15" x14ac:dyDescent="0.25">
      <c r="A7889" s="3" t="str">
        <f>HYPERLINK("proteomic_fractions_linear_files/Yang_linear_img/85701652.jpg", "85701652")</f>
        <v>85701652</v>
      </c>
      <c r="C7889" s="3" t="str">
        <f>HYPERLINK("http://www.ncbi.nlm.nih.gov/protein/85701652","Ttc9")</f>
        <v>Ttc9</v>
      </c>
      <c r="E7889" t="str">
        <f>HYPERLINK("J:\Depot - mpkCCD Fractions\Main Web Page\Web Pages_old\proteomic_fractions_linear_files/Yang_linear_img/85701652.jpg","show blot")</f>
        <v>show blot</v>
      </c>
      <c r="G7889" t="s">
        <v>7641</v>
      </c>
      <c r="I7889" s="6">
        <v>4.6652158393301484</v>
      </c>
      <c r="K7889" s="8"/>
    </row>
    <row r="7890" spans="1:11" ht="15" x14ac:dyDescent="0.25">
      <c r="A7890" s="3" t="str">
        <f>HYPERLINK("proteomic_fractions_linear_files/Yang_linear_img/110625776.jpg", "110625776")</f>
        <v>110625776</v>
      </c>
      <c r="C7890" s="3" t="str">
        <f>HYPERLINK("http://www.ncbi.nlm.nih.gov/protein/110625776","Ttc9c")</f>
        <v>Ttc9c</v>
      </c>
      <c r="E7890" t="str">
        <f>HYPERLINK("J:\Depot - mpkCCD Fractions\Main Web Page\Web Pages_old\proteomic_fractions_linear_files/Yang_linear_img/110625776.jpg","show blot")</f>
        <v>show blot</v>
      </c>
      <c r="G7890" t="s">
        <v>7642</v>
      </c>
      <c r="I7890" s="6">
        <v>4.9404108773537461</v>
      </c>
      <c r="K7890" s="8"/>
    </row>
    <row r="7891" spans="1:11" ht="15" x14ac:dyDescent="0.25">
      <c r="A7891" s="3" t="str">
        <f>HYPERLINK("proteomic_fractions_linear_files/Yang_linear_img/111154070.jpg", "111154070")</f>
        <v>111154070</v>
      </c>
      <c r="C7891" s="3" t="str">
        <f>HYPERLINK("http://www.ncbi.nlm.nih.gov/protein/111154070","Ttf1")</f>
        <v>Ttf1</v>
      </c>
      <c r="E7891" t="str">
        <f>HYPERLINK("J:\Depot - mpkCCD Fractions\Main Web Page\Web Pages_old\proteomic_fractions_linear_files/Yang_linear_img/111154070.jpg","show blot")</f>
        <v>show blot</v>
      </c>
      <c r="G7891" t="s">
        <v>7643</v>
      </c>
      <c r="I7891" s="6">
        <v>2.0286885945758444</v>
      </c>
      <c r="K7891" s="8"/>
    </row>
    <row r="7892" spans="1:11" ht="15" x14ac:dyDescent="0.25">
      <c r="A7892" s="3" t="str">
        <f>HYPERLINK("proteomic_fractions_linear_files/Yang_linear_img/254692909.jpg", "254692909")</f>
        <v>254692909</v>
      </c>
      <c r="C7892" s="3" t="str">
        <f>HYPERLINK("http://www.ncbi.nlm.nih.gov/protein/254692909","Ttf2")</f>
        <v>Ttf2</v>
      </c>
      <c r="E7892" t="str">
        <f>HYPERLINK("J:\Depot - mpkCCD Fractions\Main Web Page\Web Pages_old\proteomic_fractions_linear_files/Yang_linear_img/254692909.jpg","show blot")</f>
        <v>show blot</v>
      </c>
      <c r="G7892" t="s">
        <v>7644</v>
      </c>
      <c r="I7892" s="6">
        <v>3.4185500218344922</v>
      </c>
      <c r="K7892" s="8"/>
    </row>
    <row r="7893" spans="1:11" ht="15" x14ac:dyDescent="0.25">
      <c r="A7893" s="3" t="str">
        <f>HYPERLINK("proteomic_fractions_linear_files/Yang_linear_img/33859732.jpg", "33859732")</f>
        <v>33859732</v>
      </c>
      <c r="C7893" s="3" t="str">
        <f>HYPERLINK("http://www.ncbi.nlm.nih.gov/protein/33859732","Tti1")</f>
        <v>Tti1</v>
      </c>
      <c r="E7893" t="str">
        <f>HYPERLINK("J:\Depot - mpkCCD Fractions\Main Web Page\Web Pages_old\proteomic_fractions_linear_files/Yang_linear_img/33859732.jpg","show blot")</f>
        <v>show blot</v>
      </c>
      <c r="G7893" t="s">
        <v>7645</v>
      </c>
      <c r="I7893" s="6">
        <v>3.8074959814551779</v>
      </c>
      <c r="K7893" s="8"/>
    </row>
    <row r="7894" spans="1:11" ht="15" x14ac:dyDescent="0.25">
      <c r="A7894" s="3" t="str">
        <f>HYPERLINK("proteomic_fractions_linear_files/Yang_linear_img/31542190.jpg", "31542190")</f>
        <v>31542190</v>
      </c>
      <c r="C7894" s="3" t="str">
        <f>HYPERLINK("http://www.ncbi.nlm.nih.gov/protein/31542190","Tti2")</f>
        <v>Tti2</v>
      </c>
      <c r="E7894" t="str">
        <f>HYPERLINK("J:\Depot - mpkCCD Fractions\Main Web Page\Web Pages_old\proteomic_fractions_linear_files/Yang_linear_img/31542190.jpg","show blot")</f>
        <v>show blot</v>
      </c>
      <c r="G7894" t="s">
        <v>7646</v>
      </c>
      <c r="I7894" s="6">
        <v>3.8573208036819362</v>
      </c>
      <c r="K7894" s="8"/>
    </row>
    <row r="7895" spans="1:11" ht="15" x14ac:dyDescent="0.25">
      <c r="A7895" s="3" t="str">
        <f>HYPERLINK("proteomic_fractions_linear_files/Yang_linear_img/316983174.jpg", "316983174")</f>
        <v>316983174</v>
      </c>
      <c r="C7895" s="3" t="str">
        <f>HYPERLINK("http://www.ncbi.nlm.nih.gov/protein/316983174","Tti2")</f>
        <v>Tti2</v>
      </c>
      <c r="E7895" t="str">
        <f>HYPERLINK("J:\Depot - mpkCCD Fractions\Main Web Page\Web Pages_old\proteomic_fractions_linear_files/Yang_linear_img/316983174.jpg","show blot")</f>
        <v>show blot</v>
      </c>
      <c r="G7895" t="s">
        <v>7647</v>
      </c>
      <c r="I7895" s="6">
        <v>3.8573208036819362</v>
      </c>
      <c r="K7895" s="8"/>
    </row>
    <row r="7896" spans="1:11" ht="15" x14ac:dyDescent="0.25">
      <c r="A7896" s="3" t="str">
        <f>HYPERLINK("proteomic_fractions_linear_files/Yang_linear_img/269954711.jpg", "269954711")</f>
        <v>269954711</v>
      </c>
      <c r="C7896" s="3" t="str">
        <f>HYPERLINK("http://www.ncbi.nlm.nih.gov/protein/269954711","Ttll12")</f>
        <v>Ttll12</v>
      </c>
      <c r="E7896" t="str">
        <f>HYPERLINK("J:\Depot - mpkCCD Fractions\Main Web Page\Web Pages_old\proteomic_fractions_linear_files/Yang_linear_img/269954711.jpg","show blot")</f>
        <v>show blot</v>
      </c>
      <c r="G7896" t="s">
        <v>7648</v>
      </c>
      <c r="I7896" s="6">
        <v>4.8293024556412876</v>
      </c>
      <c r="K7896" s="8"/>
    </row>
    <row r="7897" spans="1:11" ht="15" x14ac:dyDescent="0.25">
      <c r="A7897" s="3" t="str">
        <f>HYPERLINK("proteomic_fractions_linear_files/Yang_linear_img/77812697.jpg", "77812697")</f>
        <v>77812697</v>
      </c>
      <c r="C7897" s="3" t="str">
        <f>HYPERLINK("http://www.ncbi.nlm.nih.gov/protein/77812697","Ttn")</f>
        <v>Ttn</v>
      </c>
      <c r="E7897" t="str">
        <f>HYPERLINK("J:\Depot - mpkCCD Fractions\Main Web Page\Web Pages_old\proteomic_fractions_linear_files/Yang_linear_img/77812697.jpg","show blot")</f>
        <v>show blot</v>
      </c>
      <c r="G7897" t="s">
        <v>7649</v>
      </c>
      <c r="I7897" s="6">
        <v>2.9987404973165441</v>
      </c>
      <c r="K7897" s="8"/>
    </row>
    <row r="7898" spans="1:11" ht="15" x14ac:dyDescent="0.25">
      <c r="A7898" s="3" t="str">
        <f>HYPERLINK("proteomic_fractions_linear_files/Yang_linear_img/77812699.jpg", "77812699")</f>
        <v>77812699</v>
      </c>
      <c r="C7898" s="3" t="str">
        <f>HYPERLINK("http://www.ncbi.nlm.nih.gov/protein/77812699","Ttn")</f>
        <v>Ttn</v>
      </c>
      <c r="E7898" t="str">
        <f>HYPERLINK("J:\Depot - mpkCCD Fractions\Main Web Page\Web Pages_old\proteomic_fractions_linear_files/Yang_linear_img/77812699.jpg","show blot")</f>
        <v>show blot</v>
      </c>
      <c r="G7898" t="s">
        <v>7650</v>
      </c>
      <c r="I7898" s="6">
        <v>2.9987404973165441</v>
      </c>
      <c r="K7898" s="8"/>
    </row>
    <row r="7899" spans="1:11" ht="15" x14ac:dyDescent="0.25">
      <c r="A7899" s="3" t="str">
        <f>HYPERLINK("proteomic_fractions_linear_files/Yang_linear_img/254588052.jpg", "254588052")</f>
        <v>254588052</v>
      </c>
      <c r="C7899" s="3" t="str">
        <f>HYPERLINK("http://www.ncbi.nlm.nih.gov/protein/254588052","Ttyh3")</f>
        <v>Ttyh3</v>
      </c>
      <c r="E7899" t="str">
        <f>HYPERLINK("J:\Depot - mpkCCD Fractions\Main Web Page\Web Pages_old\proteomic_fractions_linear_files/Yang_linear_img/254588052.jpg","show blot")</f>
        <v>show blot</v>
      </c>
      <c r="G7899" t="s">
        <v>7651</v>
      </c>
      <c r="I7899" s="6">
        <v>2.2520321328645618</v>
      </c>
      <c r="K7899" s="8"/>
    </row>
    <row r="7900" spans="1:11" ht="15" x14ac:dyDescent="0.25">
      <c r="A7900" s="3" t="str">
        <f>HYPERLINK("proteomic_fractions_linear_files/Yang_linear_img/6755901.jpg", "6755901")</f>
        <v>6755901</v>
      </c>
      <c r="C7900" s="3" t="str">
        <f>HYPERLINK("http://www.ncbi.nlm.nih.gov/protein/6755901","Tuba1a")</f>
        <v>Tuba1a</v>
      </c>
      <c r="E7900" t="str">
        <f>HYPERLINK("J:\Depot - mpkCCD Fractions\Main Web Page\Web Pages_old\proteomic_fractions_linear_files/Yang_linear_img/6755901.jpg","show blot")</f>
        <v>show blot</v>
      </c>
      <c r="G7900" t="s">
        <v>7652</v>
      </c>
      <c r="I7900" s="6">
        <v>7.1356389260773954</v>
      </c>
      <c r="K7900" s="8"/>
    </row>
    <row r="7901" spans="1:11" ht="15" x14ac:dyDescent="0.25">
      <c r="A7901" s="3" t="str">
        <f>HYPERLINK("proteomic_fractions_linear_files/Yang_linear_img/34740335.jpg", "34740335")</f>
        <v>34740335</v>
      </c>
      <c r="C7901" s="3" t="str">
        <f>HYPERLINK("http://www.ncbi.nlm.nih.gov/protein/34740335","Tuba1b")</f>
        <v>Tuba1b</v>
      </c>
      <c r="E7901" t="str">
        <f>HYPERLINK("J:\Depot - mpkCCD Fractions\Main Web Page\Web Pages_old\proteomic_fractions_linear_files/Yang_linear_img/34740335.jpg","show blot")</f>
        <v>show blot</v>
      </c>
      <c r="G7901" t="s">
        <v>7653</v>
      </c>
      <c r="I7901" s="6">
        <v>7.1551243667294697</v>
      </c>
      <c r="K7901" s="8"/>
    </row>
    <row r="7902" spans="1:11" ht="15" x14ac:dyDescent="0.25">
      <c r="A7902" s="3" t="str">
        <f>HYPERLINK("proteomic_fractions_linear_files/Yang_linear_img/6678469.jpg", "6678469")</f>
        <v>6678469</v>
      </c>
      <c r="C7902" s="3" t="str">
        <f>HYPERLINK("http://www.ncbi.nlm.nih.gov/protein/6678469","Tuba1c")</f>
        <v>Tuba1c</v>
      </c>
      <c r="E7902" t="str">
        <f>HYPERLINK("J:\Depot - mpkCCD Fractions\Main Web Page\Web Pages_old\proteomic_fractions_linear_files/Yang_linear_img/6678469.jpg","show blot")</f>
        <v>show blot</v>
      </c>
      <c r="G7902" t="s">
        <v>7654</v>
      </c>
      <c r="I7902" s="6">
        <v>7.1645471830454355</v>
      </c>
      <c r="K7902" s="8"/>
    </row>
    <row r="7903" spans="1:11" ht="15" x14ac:dyDescent="0.25">
      <c r="A7903" s="3" t="str">
        <f>HYPERLINK("proteomic_fractions_linear_files/Yang_linear_img/6678465.jpg", "6678465")</f>
        <v>6678465</v>
      </c>
      <c r="C7903" s="3" t="str">
        <f>HYPERLINK("http://www.ncbi.nlm.nih.gov/protein/6678465","Tuba3a")</f>
        <v>Tuba3a</v>
      </c>
      <c r="E7903" t="str">
        <f>HYPERLINK("J:\Depot - mpkCCD Fractions\Main Web Page\Web Pages_old\proteomic_fractions_linear_files/Yang_linear_img/6678465.jpg","show blot")</f>
        <v>show blot</v>
      </c>
      <c r="G7903" t="s">
        <v>7655</v>
      </c>
      <c r="I7903" s="6">
        <v>7.0153299852219186</v>
      </c>
      <c r="K7903" s="8"/>
    </row>
    <row r="7904" spans="1:11" ht="15" x14ac:dyDescent="0.25">
      <c r="A7904" s="3" t="str">
        <f>HYPERLINK("proteomic_fractions_linear_files/Yang_linear_img/6678467.jpg", "6678467")</f>
        <v>6678467</v>
      </c>
      <c r="C7904" s="3" t="str">
        <f>HYPERLINK("http://www.ncbi.nlm.nih.gov/protein/6678467","Tuba4a")</f>
        <v>Tuba4a</v>
      </c>
      <c r="E7904" t="str">
        <f>HYPERLINK("J:\Depot - mpkCCD Fractions\Main Web Page\Web Pages_old\proteomic_fractions_linear_files/Yang_linear_img/6678467.jpg","show blot")</f>
        <v>show blot</v>
      </c>
      <c r="G7904" t="s">
        <v>7656</v>
      </c>
      <c r="I7904" s="6">
        <v>7.0141644133244032</v>
      </c>
      <c r="K7904" s="8"/>
    </row>
    <row r="7905" spans="1:11" ht="15" x14ac:dyDescent="0.25">
      <c r="A7905" s="3" t="str">
        <f>HYPERLINK("proteomic_fractions_linear_files/Yang_linear_img/8394493.jpg", "8394493")</f>
        <v>8394493</v>
      </c>
      <c r="C7905" s="3" t="str">
        <f>HYPERLINK("http://www.ncbi.nlm.nih.gov/protein/8394493","Tuba8")</f>
        <v>Tuba8</v>
      </c>
      <c r="E7905" t="str">
        <f>HYPERLINK("J:\Depot - mpkCCD Fractions\Main Web Page\Web Pages_old\proteomic_fractions_linear_files/Yang_linear_img/8394493.jpg","show blot")</f>
        <v>show blot</v>
      </c>
      <c r="G7905" t="s">
        <v>7657</v>
      </c>
      <c r="I7905" s="6">
        <v>6.8875269736020694</v>
      </c>
      <c r="K7905" s="8"/>
    </row>
    <row r="7906" spans="1:11" ht="15" x14ac:dyDescent="0.25">
      <c r="A7906" s="3" t="str">
        <f>HYPERLINK("proteomic_fractions_linear_files/Yang_linear_img/224809300.jpg", "224809300")</f>
        <v>224809300</v>
      </c>
      <c r="C7906" s="3" t="str">
        <f>HYPERLINK("http://www.ncbi.nlm.nih.gov/protein/224809300","Tubal3")</f>
        <v>Tubal3</v>
      </c>
      <c r="E7906" t="str">
        <f>HYPERLINK("J:\Depot - mpkCCD Fractions\Main Web Page\Web Pages_old\proteomic_fractions_linear_files/Yang_linear_img/224809300.jpg","show blot")</f>
        <v>show blot</v>
      </c>
      <c r="G7906" t="s">
        <v>7658</v>
      </c>
      <c r="I7906" s="6">
        <v>6.2048545824757717</v>
      </c>
      <c r="K7906" s="8"/>
    </row>
    <row r="7907" spans="1:11" ht="15" x14ac:dyDescent="0.25">
      <c r="A7907" s="3" t="str">
        <f>HYPERLINK("proteomic_fractions_linear_files/Yang_linear_img/124430500.jpg", "124430500")</f>
        <v>124430500</v>
      </c>
      <c r="C7907" s="3" t="str">
        <f>HYPERLINK("http://www.ncbi.nlm.nih.gov/protein/124430500","Tubb1")</f>
        <v>Tubb1</v>
      </c>
      <c r="E7907" t="str">
        <f>HYPERLINK("J:\Depot - mpkCCD Fractions\Main Web Page\Web Pages_old\proteomic_fractions_linear_files/Yang_linear_img/124430500.jpg","show blot")</f>
        <v>show blot</v>
      </c>
      <c r="G7907" t="s">
        <v>7659</v>
      </c>
      <c r="I7907" s="6">
        <v>6.3836312932772064</v>
      </c>
      <c r="K7907" s="8"/>
    </row>
    <row r="7908" spans="1:11" ht="15" x14ac:dyDescent="0.25">
      <c r="A7908" s="3" t="str">
        <f>HYPERLINK("proteomic_fractions_linear_files/Yang_linear_img/33859488.jpg", "33859488")</f>
        <v>33859488</v>
      </c>
      <c r="C7908" s="3" t="str">
        <f>HYPERLINK("http://www.ncbi.nlm.nih.gov/protein/33859488","Tubb2a")</f>
        <v>Tubb2a</v>
      </c>
      <c r="E7908" t="str">
        <f>HYPERLINK("J:\Depot - mpkCCD Fractions\Main Web Page\Web Pages_old\proteomic_fractions_linear_files/Yang_linear_img/33859488.jpg","show blot")</f>
        <v>show blot</v>
      </c>
      <c r="G7908" t="s">
        <v>7660</v>
      </c>
      <c r="I7908" s="6">
        <v>7.01961704642871</v>
      </c>
      <c r="K7908" s="8"/>
    </row>
    <row r="7909" spans="1:11" ht="15" x14ac:dyDescent="0.25">
      <c r="A7909" s="3" t="str">
        <f>HYPERLINK("proteomic_fractions_linear_files/Yang_linear_img/21746161.jpg", "21746161")</f>
        <v>21746161</v>
      </c>
      <c r="C7909" s="3" t="str">
        <f>HYPERLINK("http://www.ncbi.nlm.nih.gov/protein/21746161","Tubb2b")</f>
        <v>Tubb2b</v>
      </c>
      <c r="E7909" t="str">
        <f>HYPERLINK("J:\Depot - mpkCCD Fractions\Main Web Page\Web Pages_old\proteomic_fractions_linear_files/Yang_linear_img/21746161.jpg","show blot")</f>
        <v>show blot</v>
      </c>
      <c r="G7909" t="s">
        <v>7661</v>
      </c>
      <c r="I7909" s="6">
        <v>7.0160331491047323</v>
      </c>
      <c r="K7909" s="8"/>
    </row>
    <row r="7910" spans="1:11" ht="15" x14ac:dyDescent="0.25">
      <c r="A7910" s="3" t="str">
        <f>HYPERLINK("proteomic_fractions_linear_files/Yang_linear_img/12963615.jpg", "12963615")</f>
        <v>12963615</v>
      </c>
      <c r="C7910" s="3" t="str">
        <f>HYPERLINK("http://www.ncbi.nlm.nih.gov/protein/12963615","Tubb3")</f>
        <v>Tubb3</v>
      </c>
      <c r="E7910" t="str">
        <f>HYPERLINK("J:\Depot - mpkCCD Fractions\Main Web Page\Web Pages_old\proteomic_fractions_linear_files/Yang_linear_img/12963615.jpg","show blot")</f>
        <v>show blot</v>
      </c>
      <c r="G7910" t="s">
        <v>7662</v>
      </c>
      <c r="I7910" s="6">
        <v>6.8926264769512731</v>
      </c>
      <c r="K7910" s="8"/>
    </row>
    <row r="7911" spans="1:11" ht="15" x14ac:dyDescent="0.25">
      <c r="A7911" s="3" t="str">
        <f>HYPERLINK("proteomic_fractions_linear_files/Yang_linear_img/31981939.jpg", "31981939")</f>
        <v>31981939</v>
      </c>
      <c r="C7911" s="3" t="str">
        <f>HYPERLINK("http://www.ncbi.nlm.nih.gov/protein/31981939","Tubb4a")</f>
        <v>Tubb4a</v>
      </c>
      <c r="E7911" t="str">
        <f>HYPERLINK("J:\Depot - mpkCCD Fractions\Main Web Page\Web Pages_old\proteomic_fractions_linear_files/Yang_linear_img/31981939.jpg","show blot")</f>
        <v>show blot</v>
      </c>
      <c r="G7911" t="s">
        <v>7663</v>
      </c>
      <c r="I7911" s="6">
        <v>7.0610526086893266</v>
      </c>
      <c r="K7911" s="8"/>
    </row>
    <row r="7912" spans="1:11" ht="15" x14ac:dyDescent="0.25">
      <c r="A7912" s="3" t="str">
        <f>HYPERLINK("proteomic_fractions_linear_files/Yang_linear_img/22165384.jpg", "22165384")</f>
        <v>22165384</v>
      </c>
      <c r="C7912" s="3" t="str">
        <f>HYPERLINK("http://www.ncbi.nlm.nih.gov/protein/22165384","Tubb4b")</f>
        <v>Tubb4b</v>
      </c>
      <c r="E7912" t="str">
        <f>HYPERLINK("J:\Depot - mpkCCD Fractions\Main Web Page\Web Pages_old\proteomic_fractions_linear_files/Yang_linear_img/22165384.jpg","show blot")</f>
        <v>show blot</v>
      </c>
      <c r="G7912" t="s">
        <v>7664</v>
      </c>
      <c r="I7912" s="6">
        <v>7.1375266206012968</v>
      </c>
      <c r="K7912" s="8"/>
    </row>
    <row r="7913" spans="1:11" ht="15" x14ac:dyDescent="0.25">
      <c r="A7913" s="3" t="str">
        <f>HYPERLINK("proteomic_fractions_linear_files/Yang_linear_img/7106439.jpg", "7106439")</f>
        <v>7106439</v>
      </c>
      <c r="C7913" s="3" t="str">
        <f>HYPERLINK("http://www.ncbi.nlm.nih.gov/protein/7106439","Tubb5")</f>
        <v>Tubb5</v>
      </c>
      <c r="E7913" t="str">
        <f>HYPERLINK("J:\Depot - mpkCCD Fractions\Main Web Page\Web Pages_old\proteomic_fractions_linear_files/Yang_linear_img/7106439.jpg","show blot")</f>
        <v>show blot</v>
      </c>
      <c r="G7913" t="s">
        <v>7665</v>
      </c>
      <c r="I7913" s="6">
        <v>7.1286521839261026</v>
      </c>
      <c r="K7913" s="8"/>
    </row>
    <row r="7914" spans="1:11" ht="15" x14ac:dyDescent="0.25">
      <c r="A7914" s="3" t="str">
        <f>HYPERLINK("proteomic_fractions_linear_files/Yang_linear_img/27754056.jpg", "27754056")</f>
        <v>27754056</v>
      </c>
      <c r="C7914" s="3" t="str">
        <f>HYPERLINK("http://www.ncbi.nlm.nih.gov/protein/27754056","Tubb6")</f>
        <v>Tubb6</v>
      </c>
      <c r="E7914" t="str">
        <f>HYPERLINK("J:\Depot - mpkCCD Fractions\Main Web Page\Web Pages_old\proteomic_fractions_linear_files/Yang_linear_img/27754056.jpg","show blot")</f>
        <v>show blot</v>
      </c>
      <c r="G7914" t="s">
        <v>7666</v>
      </c>
      <c r="I7914" s="6">
        <v>6.7587449082789526</v>
      </c>
      <c r="K7914" s="8"/>
    </row>
    <row r="7915" spans="1:11" ht="15" x14ac:dyDescent="0.25">
      <c r="A7915" s="3" t="str">
        <f>HYPERLINK("proteomic_fractions_linear_files/Yang_linear_img/19527242.jpg", "19527242")</f>
        <v>19527242</v>
      </c>
      <c r="C7915" s="3" t="str">
        <f>HYPERLINK("http://www.ncbi.nlm.nih.gov/protein/19527242","Tubg1")</f>
        <v>Tubg1</v>
      </c>
      <c r="E7915" t="str">
        <f>HYPERLINK("J:\Depot - mpkCCD Fractions\Main Web Page\Web Pages_old\proteomic_fractions_linear_files/Yang_linear_img/19527242.jpg","show blot")</f>
        <v>show blot</v>
      </c>
      <c r="G7915" t="s">
        <v>7667</v>
      </c>
      <c r="I7915" s="6">
        <v>4.7837182235924685</v>
      </c>
      <c r="K7915" s="8"/>
    </row>
    <row r="7916" spans="1:11" ht="15" x14ac:dyDescent="0.25">
      <c r="A7916" s="3" t="str">
        <f>HYPERLINK("proteomic_fractions_linear_files/Yang_linear_img/19527246.jpg", "19527246")</f>
        <v>19527246</v>
      </c>
      <c r="C7916" s="3" t="str">
        <f>HYPERLINK("http://www.ncbi.nlm.nih.gov/protein/19527246","Tubg2")</f>
        <v>Tubg2</v>
      </c>
      <c r="E7916" t="str">
        <f>HYPERLINK("J:\Depot - mpkCCD Fractions\Main Web Page\Web Pages_old\proteomic_fractions_linear_files/Yang_linear_img/19527246.jpg","show blot")</f>
        <v>show blot</v>
      </c>
      <c r="G7916" t="s">
        <v>7668</v>
      </c>
      <c r="I7916" s="6">
        <v>4.6176349156126735</v>
      </c>
      <c r="K7916" s="8"/>
    </row>
    <row r="7917" spans="1:11" ht="15" x14ac:dyDescent="0.25">
      <c r="A7917" s="3" t="str">
        <f>HYPERLINK("proteomic_fractions_linear_files/Yang_linear_img/228008297.jpg", "228008297")</f>
        <v>228008297</v>
      </c>
      <c r="C7917" s="3" t="str">
        <f>HYPERLINK("http://www.ncbi.nlm.nih.gov/protein/228008297","Tubgcp2")</f>
        <v>Tubgcp2</v>
      </c>
      <c r="E7917" t="str">
        <f>HYPERLINK("J:\Depot - mpkCCD Fractions\Main Web Page\Web Pages_old\proteomic_fractions_linear_files/Yang_linear_img/228008297.jpg","show blot")</f>
        <v>show blot</v>
      </c>
      <c r="G7917" t="s">
        <v>7669</v>
      </c>
      <c r="I7917" s="6">
        <v>4.7474968415585002</v>
      </c>
      <c r="K7917" s="8"/>
    </row>
    <row r="7918" spans="1:11" ht="15" x14ac:dyDescent="0.25">
      <c r="A7918" s="3" t="str">
        <f>HYPERLINK("proteomic_fractions_linear_files/Yang_linear_img/39930567.jpg", "39930567")</f>
        <v>39930567</v>
      </c>
      <c r="C7918" s="3" t="str">
        <f>HYPERLINK("http://www.ncbi.nlm.nih.gov/protein/39930567","Tubgcp3")</f>
        <v>Tubgcp3</v>
      </c>
      <c r="E7918" t="str">
        <f>HYPERLINK("J:\Depot - mpkCCD Fractions\Main Web Page\Web Pages_old\proteomic_fractions_linear_files/Yang_linear_img/39930567.jpg","show blot")</f>
        <v>show blot</v>
      </c>
      <c r="G7918" t="s">
        <v>7670</v>
      </c>
      <c r="I7918" s="6">
        <v>4.4993662294073751</v>
      </c>
      <c r="K7918" s="8"/>
    </row>
    <row r="7919" spans="1:11" ht="15" x14ac:dyDescent="0.25">
      <c r="A7919" s="3" t="str">
        <f>HYPERLINK("proteomic_fractions_linear_files/Yang_linear_img/23943924.jpg", "23943924")</f>
        <v>23943924</v>
      </c>
      <c r="C7919" s="3" t="str">
        <f>HYPERLINK("http://www.ncbi.nlm.nih.gov/protein/23943924","Tubgcp4")</f>
        <v>Tubgcp4</v>
      </c>
      <c r="E7919" t="str">
        <f>HYPERLINK("J:\Depot - mpkCCD Fractions\Main Web Page\Web Pages_old\proteomic_fractions_linear_files/Yang_linear_img/23943924.jpg","show blot")</f>
        <v>show blot</v>
      </c>
      <c r="G7919" t="s">
        <v>7671</v>
      </c>
      <c r="I7919" s="6">
        <v>3.4730909179415139</v>
      </c>
      <c r="K7919" s="8"/>
    </row>
    <row r="7920" spans="1:11" ht="15" x14ac:dyDescent="0.25">
      <c r="A7920" s="3" t="str">
        <f>HYPERLINK("proteomic_fractions_linear_files/Yang_linear_img/46560557.jpg", "46560557")</f>
        <v>46560557</v>
      </c>
      <c r="C7920" s="3" t="str">
        <f>HYPERLINK("http://www.ncbi.nlm.nih.gov/protein/46560557","Tubgcp5")</f>
        <v>Tubgcp5</v>
      </c>
      <c r="E7920" t="str">
        <f>HYPERLINK("J:\Depot - mpkCCD Fractions\Main Web Page\Web Pages_old\proteomic_fractions_linear_files/Yang_linear_img/46560557.jpg","show blot")</f>
        <v>show blot</v>
      </c>
      <c r="G7920" t="s">
        <v>7672</v>
      </c>
      <c r="I7920" s="6">
        <v>2.5232307671326084</v>
      </c>
      <c r="K7920" s="8"/>
    </row>
    <row r="7921" spans="1:11" ht="15" x14ac:dyDescent="0.25">
      <c r="A7921" s="3" t="str">
        <f>HYPERLINK("proteomic_fractions_linear_files/Yang_linear_img/254039634.jpg", "254039634")</f>
        <v>254039634</v>
      </c>
      <c r="C7921" s="3" t="str">
        <f>HYPERLINK("http://www.ncbi.nlm.nih.gov/protein/254039634","Tubgcp6")</f>
        <v>Tubgcp6</v>
      </c>
      <c r="E7921" t="str">
        <f>HYPERLINK("J:\Depot - mpkCCD Fractions\Main Web Page\Web Pages_old\proteomic_fractions_linear_files/Yang_linear_img/254039634.jpg","show blot")</f>
        <v>show blot</v>
      </c>
      <c r="G7921" t="s">
        <v>7673</v>
      </c>
      <c r="I7921" s="6">
        <v>3.0573715123925229</v>
      </c>
      <c r="K7921" s="8"/>
    </row>
    <row r="7922" spans="1:11" ht="15" x14ac:dyDescent="0.25">
      <c r="A7922" s="3" t="str">
        <f>HYPERLINK("proteomic_fractions_linear_files/Yang_linear_img/254911131.jpg", "254911131")</f>
        <v>254911131</v>
      </c>
      <c r="C7922" s="3" t="str">
        <f>HYPERLINK("http://www.ncbi.nlm.nih.gov/protein/254911131","Tufm")</f>
        <v>Tufm</v>
      </c>
      <c r="E7922" t="str">
        <f>HYPERLINK("J:\Depot - mpkCCD Fractions\Main Web Page\Web Pages_old\proteomic_fractions_linear_files/Yang_linear_img/254911131.jpg","show blot")</f>
        <v>show blot</v>
      </c>
      <c r="G7922" t="s">
        <v>7674</v>
      </c>
      <c r="I7922" s="6">
        <v>6.1069073445141369</v>
      </c>
      <c r="K7922" s="8"/>
    </row>
    <row r="7923" spans="1:11" ht="15" x14ac:dyDescent="0.25">
      <c r="A7923" s="3" t="str">
        <f>HYPERLINK("proteomic_fractions_linear_files/Yang_linear_img/27370092.jpg", "27370092")</f>
        <v>27370092</v>
      </c>
      <c r="C7923" s="3" t="str">
        <f>HYPERLINK("http://www.ncbi.nlm.nih.gov/protein/27370092","Tufm")</f>
        <v>Tufm</v>
      </c>
      <c r="E7923" t="str">
        <f>HYPERLINK("J:\Depot - mpkCCD Fractions\Main Web Page\Web Pages_old\proteomic_fractions_linear_files/Yang_linear_img/27370092.jpg","show blot")</f>
        <v>show blot</v>
      </c>
      <c r="G7923" t="s">
        <v>7675</v>
      </c>
      <c r="I7923" s="6">
        <v>6.1069073445141369</v>
      </c>
      <c r="K7923" s="8"/>
    </row>
    <row r="7924" spans="1:11" ht="15" x14ac:dyDescent="0.25">
      <c r="A7924" s="3" t="str">
        <f>HYPERLINK("proteomic_fractions_linear_files/Yang_linear_img/124248487.jpg", "124248487")</f>
        <v>124248487</v>
      </c>
      <c r="C7924" s="3" t="str">
        <f>HYPERLINK("http://www.ncbi.nlm.nih.gov/protein/124248487","Tusc3")</f>
        <v>Tusc3</v>
      </c>
      <c r="E7924" t="str">
        <f>HYPERLINK("J:\Depot - mpkCCD Fractions\Main Web Page\Web Pages_old\proteomic_fractions_linear_files/Yang_linear_img/124248487.jpg","show blot")</f>
        <v>show blot</v>
      </c>
      <c r="G7924" t="s">
        <v>7676</v>
      </c>
      <c r="I7924" s="6">
        <v>4.5172292129658818</v>
      </c>
      <c r="K7924" s="8"/>
    </row>
    <row r="7925" spans="1:11" ht="15" x14ac:dyDescent="0.25">
      <c r="A7925" s="3" t="str">
        <f>HYPERLINK("proteomic_fractions_linear_files/Yang_linear_img/37574078.jpg", "37574078")</f>
        <v>37574078</v>
      </c>
      <c r="C7925" s="3" t="str">
        <f>HYPERLINK("http://www.ncbi.nlm.nih.gov/protein/37574078","Tut1")</f>
        <v>Tut1</v>
      </c>
      <c r="E7925" t="str">
        <f>HYPERLINK("J:\Depot - mpkCCD Fractions\Main Web Page\Web Pages_old\proteomic_fractions_linear_files/Yang_linear_img/37574078.jpg","show blot")</f>
        <v>show blot</v>
      </c>
      <c r="G7925" t="s">
        <v>7677</v>
      </c>
      <c r="I7925" s="6">
        <v>3.2992876167108234</v>
      </c>
      <c r="K7925" s="8"/>
    </row>
    <row r="7926" spans="1:11" ht="15" x14ac:dyDescent="0.25">
      <c r="A7926" s="3" t="str">
        <f>HYPERLINK("proteomic_fractions_linear_files/Yang_linear_img/21312930.jpg", "21312930")</f>
        <v>21312930</v>
      </c>
      <c r="C7926" s="3" t="str">
        <f>HYPERLINK("http://www.ncbi.nlm.nih.gov/protein/21312930","Tvp23b")</f>
        <v>Tvp23b</v>
      </c>
      <c r="E7926" t="str">
        <f>HYPERLINK("J:\Depot - mpkCCD Fractions\Main Web Page\Web Pages_old\proteomic_fractions_linear_files/Yang_linear_img/21312930.jpg","show blot")</f>
        <v>show blot</v>
      </c>
      <c r="G7926" t="s">
        <v>7678</v>
      </c>
      <c r="I7926" s="6">
        <v>2.6219886378961563</v>
      </c>
      <c r="K7926" s="8"/>
    </row>
    <row r="7927" spans="1:11" ht="15" x14ac:dyDescent="0.25">
      <c r="A7927" s="3" t="str">
        <f>HYPERLINK("proteomic_fractions_linear_files/Yang_linear_img/62990169.jpg", "62990169")</f>
        <v>62990169</v>
      </c>
      <c r="C7927" s="3" t="str">
        <f>HYPERLINK("http://www.ncbi.nlm.nih.gov/protein/62990169","Twf1")</f>
        <v>Twf1</v>
      </c>
      <c r="E7927" t="str">
        <f>HYPERLINK("J:\Depot - mpkCCD Fractions\Main Web Page\Web Pages_old\proteomic_fractions_linear_files/Yang_linear_img/62990169.jpg","show blot")</f>
        <v>show blot</v>
      </c>
      <c r="G7927" t="s">
        <v>7679</v>
      </c>
      <c r="I7927" s="6">
        <v>5.9630372509201468</v>
      </c>
      <c r="K7927" s="8"/>
    </row>
    <row r="7928" spans="1:11" ht="15" x14ac:dyDescent="0.25">
      <c r="A7928" s="3" t="str">
        <f>HYPERLINK("proteomic_fractions_linear_files/Yang_linear_img/6755224.jpg", "6755224")</f>
        <v>6755224</v>
      </c>
      <c r="C7928" s="3" t="str">
        <f>HYPERLINK("http://www.ncbi.nlm.nih.gov/protein/6755224","Twf2")</f>
        <v>Twf2</v>
      </c>
      <c r="E7928" t="str">
        <f>HYPERLINK("J:\Depot - mpkCCD Fractions\Main Web Page\Web Pages_old\proteomic_fractions_linear_files/Yang_linear_img/6755224.jpg","show blot")</f>
        <v>show blot</v>
      </c>
      <c r="G7928" t="s">
        <v>7680</v>
      </c>
      <c r="I7928" s="6">
        <v>5.2873820445170399</v>
      </c>
      <c r="K7928" s="8"/>
    </row>
    <row r="7929" spans="1:11" ht="15" x14ac:dyDescent="0.25">
      <c r="A7929" s="3" t="str">
        <f>HYPERLINK("proteomic_fractions_linear_files/Yang_linear_img/91598586.jpg", "91598586")</f>
        <v>91598586</v>
      </c>
      <c r="C7929" s="3" t="str">
        <f>HYPERLINK("http://www.ncbi.nlm.nih.gov/protein/91598586","Txlna")</f>
        <v>Txlna</v>
      </c>
      <c r="E7929" t="str">
        <f>HYPERLINK("J:\Depot - mpkCCD Fractions\Main Web Page\Web Pages_old\proteomic_fractions_linear_files/Yang_linear_img/91598586.jpg","show blot")</f>
        <v>show blot</v>
      </c>
      <c r="G7929" t="s">
        <v>7681</v>
      </c>
      <c r="I7929" s="6">
        <v>4.9703653007052546</v>
      </c>
      <c r="K7929" s="8"/>
    </row>
    <row r="7930" spans="1:11" ht="15" x14ac:dyDescent="0.25">
      <c r="A7930" s="3" t="str">
        <f>HYPERLINK("proteomic_fractions_linear_files/Yang_linear_img/30725808.jpg", "30725808")</f>
        <v>30725808</v>
      </c>
      <c r="C7930" s="3" t="str">
        <f>HYPERLINK("http://www.ncbi.nlm.nih.gov/protein/30725808","Txlng")</f>
        <v>Txlng</v>
      </c>
      <c r="E7930" t="str">
        <f>HYPERLINK("J:\Depot - mpkCCD Fractions\Main Web Page\Web Pages_old\proteomic_fractions_linear_files/Yang_linear_img/30725808.jpg","show blot")</f>
        <v>show blot</v>
      </c>
      <c r="G7930" t="s">
        <v>7682</v>
      </c>
      <c r="I7930" s="6">
        <v>1.1775364999298621</v>
      </c>
      <c r="K7930" s="8"/>
    </row>
    <row r="7931" spans="1:11" ht="15" x14ac:dyDescent="0.25">
      <c r="A7931" s="3" t="str">
        <f>HYPERLINK("proteomic_fractions_linear_files/Yang_linear_img/6755911.jpg", "6755911")</f>
        <v>6755911</v>
      </c>
      <c r="C7931" s="3" t="str">
        <f>HYPERLINK("http://www.ncbi.nlm.nih.gov/protein/6755911","Txn1")</f>
        <v>Txn1</v>
      </c>
      <c r="E7931" t="str">
        <f>HYPERLINK("J:\Depot - mpkCCD Fractions\Main Web Page\Web Pages_old\proteomic_fractions_linear_files/Yang_linear_img/6755911.jpg","show blot")</f>
        <v>show blot</v>
      </c>
      <c r="G7931" t="s">
        <v>7683</v>
      </c>
      <c r="I7931" s="6">
        <v>6.4595371804532293</v>
      </c>
      <c r="K7931" s="8"/>
    </row>
    <row r="7932" spans="1:11" ht="15" x14ac:dyDescent="0.25">
      <c r="A7932" s="3" t="str">
        <f>HYPERLINK("proteomic_fractions_linear_files/Yang_linear_img/13384700.jpg", "13384700")</f>
        <v>13384700</v>
      </c>
      <c r="C7932" s="3" t="str">
        <f>HYPERLINK("http://www.ncbi.nlm.nih.gov/protein/13384700","Txndc12")</f>
        <v>Txndc12</v>
      </c>
      <c r="E7932" t="str">
        <f>HYPERLINK("J:\Depot - mpkCCD Fractions\Main Web Page\Web Pages_old\proteomic_fractions_linear_files/Yang_linear_img/13384700.jpg","show blot")</f>
        <v>show blot</v>
      </c>
      <c r="G7932" t="s">
        <v>7684</v>
      </c>
      <c r="I7932" s="6">
        <v>5.2500590138103167</v>
      </c>
      <c r="K7932" s="8"/>
    </row>
    <row r="7933" spans="1:11" ht="15" x14ac:dyDescent="0.25">
      <c r="A7933" s="3" t="str">
        <f>HYPERLINK("proteomic_fractions_linear_files/Yang_linear_img/52693935.jpg", "52693935")</f>
        <v>52693935</v>
      </c>
      <c r="C7933" s="3" t="str">
        <f>HYPERLINK("http://www.ncbi.nlm.nih.gov/protein/52693935","Txndc15")</f>
        <v>Txndc15</v>
      </c>
      <c r="E7933" t="str">
        <f>HYPERLINK("J:\Depot - mpkCCD Fractions\Main Web Page\Web Pages_old\proteomic_fractions_linear_files/Yang_linear_img/52693935.jpg","show blot")</f>
        <v>show blot</v>
      </c>
      <c r="G7933" t="s">
        <v>7685</v>
      </c>
      <c r="I7933" s="6">
        <v>2.3048717221069586</v>
      </c>
      <c r="K7933" s="8"/>
    </row>
    <row r="7934" spans="1:11" ht="15" x14ac:dyDescent="0.25">
      <c r="A7934" s="3" t="str">
        <f>HYPERLINK("proteomic_fractions_linear_files/Yang_linear_img/13386060.jpg", "13386060")</f>
        <v>13386060</v>
      </c>
      <c r="C7934" s="3" t="str">
        <f>HYPERLINK("http://www.ncbi.nlm.nih.gov/protein/13386060","Txndc17")</f>
        <v>Txndc17</v>
      </c>
      <c r="E7934" t="str">
        <f>HYPERLINK("J:\Depot - mpkCCD Fractions\Main Web Page\Web Pages_old\proteomic_fractions_linear_files/Yang_linear_img/13386060.jpg","show blot")</f>
        <v>show blot</v>
      </c>
      <c r="G7934" t="s">
        <v>7686</v>
      </c>
      <c r="I7934" s="6">
        <v>5.7366049408433133</v>
      </c>
      <c r="K7934" s="8"/>
    </row>
    <row r="7935" spans="1:11" ht="15" x14ac:dyDescent="0.25">
      <c r="A7935" s="3" t="str">
        <f>HYPERLINK("proteomic_fractions_linear_files/Yang_linear_img/83921612.jpg", "83921612")</f>
        <v>83921612</v>
      </c>
      <c r="C7935" s="3" t="str">
        <f>HYPERLINK("http://www.ncbi.nlm.nih.gov/protein/83921612","Txndc5")</f>
        <v>Txndc5</v>
      </c>
      <c r="E7935" t="str">
        <f>HYPERLINK("J:\Depot - mpkCCD Fractions\Main Web Page\Web Pages_old\proteomic_fractions_linear_files/Yang_linear_img/83921612.jpg","show blot")</f>
        <v>show blot</v>
      </c>
      <c r="G7935" t="s">
        <v>7687</v>
      </c>
      <c r="I7935" s="6">
        <v>5.333507911442922</v>
      </c>
      <c r="K7935" s="8"/>
    </row>
    <row r="7936" spans="1:11" ht="15" x14ac:dyDescent="0.25">
      <c r="A7936" s="3" t="str">
        <f>HYPERLINK("proteomic_fractions_linear_files/Yang_linear_img/25286717.jpg", "25286717")</f>
        <v>25286717</v>
      </c>
      <c r="C7936" s="3" t="str">
        <f>HYPERLINK("http://www.ncbi.nlm.nih.gov/protein/25286717","Txndc9")</f>
        <v>Txndc9</v>
      </c>
      <c r="E7936" t="str">
        <f>HYPERLINK("J:\Depot - mpkCCD Fractions\Main Web Page\Web Pages_old\proteomic_fractions_linear_files/Yang_linear_img/25286717.jpg","show blot")</f>
        <v>show blot</v>
      </c>
      <c r="G7936" t="s">
        <v>7688</v>
      </c>
      <c r="I7936" s="6">
        <v>5.3753071402355648</v>
      </c>
      <c r="K7936" s="8"/>
    </row>
    <row r="7937" spans="1:11" ht="15" x14ac:dyDescent="0.25">
      <c r="A7937" s="3" t="str">
        <f>HYPERLINK("proteomic_fractions_linear_files/Yang_linear_img/254553444.jpg", "254553444")</f>
        <v>254553444</v>
      </c>
      <c r="C7937" s="3" t="str">
        <f>HYPERLINK("http://www.ncbi.nlm.nih.gov/protein/254553444","Txnip")</f>
        <v>Txnip</v>
      </c>
      <c r="E7937" t="str">
        <f>HYPERLINK("J:\Depot - mpkCCD Fractions\Main Web Page\Web Pages_old\proteomic_fractions_linear_files/Yang_linear_img/254553444.jpg","show blot")</f>
        <v>show blot</v>
      </c>
      <c r="G7937" t="s">
        <v>7689</v>
      </c>
      <c r="I7937" s="6">
        <v>3.4526036704064351</v>
      </c>
      <c r="K7937" s="8"/>
    </row>
    <row r="7938" spans="1:11" ht="15" x14ac:dyDescent="0.25">
      <c r="A7938" s="3" t="str">
        <f>HYPERLINK("proteomic_fractions_linear_files/Yang_linear_img/60687518.jpg", "60687518")</f>
        <v>60687518</v>
      </c>
      <c r="C7938" s="3" t="str">
        <f>HYPERLINK("http://www.ncbi.nlm.nih.gov/protein/60687518","Txnip")</f>
        <v>Txnip</v>
      </c>
      <c r="E7938" t="str">
        <f>HYPERLINK("J:\Depot - mpkCCD Fractions\Main Web Page\Web Pages_old\proteomic_fractions_linear_files/Yang_linear_img/60687518.jpg","show blot")</f>
        <v>show blot</v>
      </c>
      <c r="G7938" t="s">
        <v>7690</v>
      </c>
      <c r="I7938" s="6">
        <v>3.4526036704064351</v>
      </c>
      <c r="K7938" s="8"/>
    </row>
    <row r="7939" spans="1:11" ht="15" x14ac:dyDescent="0.25">
      <c r="A7939" s="3" t="str">
        <f>HYPERLINK("proteomic_fractions_linear_files/Yang_linear_img/31543902.jpg", "31543902")</f>
        <v>31543902</v>
      </c>
      <c r="C7939" s="3" t="str">
        <f>HYPERLINK("http://www.ncbi.nlm.nih.gov/protein/31543902","Txnl1")</f>
        <v>Txnl1</v>
      </c>
      <c r="E7939" t="str">
        <f>HYPERLINK("J:\Depot - mpkCCD Fractions\Main Web Page\Web Pages_old\proteomic_fractions_linear_files/Yang_linear_img/31543902.jpg","show blot")</f>
        <v>show blot</v>
      </c>
      <c r="G7939" t="s">
        <v>7691</v>
      </c>
      <c r="I7939" s="6">
        <v>6.1059258533188085</v>
      </c>
      <c r="K7939" s="8"/>
    </row>
    <row r="7940" spans="1:11" ht="15" x14ac:dyDescent="0.25">
      <c r="A7940" s="3" t="str">
        <f>HYPERLINK("proteomic_fractions_linear_files/Yang_linear_img/109255210.jpg", "109255210")</f>
        <v>109255210</v>
      </c>
      <c r="C7940" s="3" t="str">
        <f>HYPERLINK("http://www.ncbi.nlm.nih.gov/protein/109255210","Txnl4a")</f>
        <v>Txnl4a</v>
      </c>
      <c r="E7940" t="str">
        <f>HYPERLINK("J:\Depot - mpkCCD Fractions\Main Web Page\Web Pages_old\proteomic_fractions_linear_files/Yang_linear_img/109255210.jpg","show blot")</f>
        <v>show blot</v>
      </c>
      <c r="G7940" t="s">
        <v>7692</v>
      </c>
      <c r="I7940" s="6">
        <v>5.022894818346952</v>
      </c>
      <c r="K7940" s="8"/>
    </row>
    <row r="7941" spans="1:11" ht="15" x14ac:dyDescent="0.25">
      <c r="A7941" s="3" t="str">
        <f>HYPERLINK("proteomic_fractions_linear_files/Yang_linear_img/13384656.jpg", "13384656")</f>
        <v>13384656</v>
      </c>
      <c r="C7941" s="3" t="str">
        <f>HYPERLINK("http://www.ncbi.nlm.nih.gov/protein/13384656","Txnl4a")</f>
        <v>Txnl4a</v>
      </c>
      <c r="E7941" t="str">
        <f>HYPERLINK("J:\Depot - mpkCCD Fractions\Main Web Page\Web Pages_old\proteomic_fractions_linear_files/Yang_linear_img/13384656.jpg","show blot")</f>
        <v>show blot</v>
      </c>
      <c r="G7941" t="s">
        <v>7693</v>
      </c>
      <c r="I7941" s="6">
        <v>5.022894818346952</v>
      </c>
      <c r="K7941" s="8"/>
    </row>
    <row r="7942" spans="1:11" ht="15" x14ac:dyDescent="0.25">
      <c r="A7942" s="3" t="str">
        <f>HYPERLINK("proteomic_fractions_linear_files/Yang_linear_img/160333183.jpg", "160333183")</f>
        <v>160333183</v>
      </c>
      <c r="C7942" s="3" t="str">
        <f>HYPERLINK("http://www.ncbi.nlm.nih.gov/protein/160333183","Txnl4b")</f>
        <v>Txnl4b</v>
      </c>
      <c r="E7942" t="str">
        <f>HYPERLINK("J:\Depot - mpkCCD Fractions\Main Web Page\Web Pages_old\proteomic_fractions_linear_files/Yang_linear_img/160333183.jpg","show blot")</f>
        <v>show blot</v>
      </c>
      <c r="G7942" t="s">
        <v>7694</v>
      </c>
      <c r="I7942" s="6">
        <v>3.9390606387392424</v>
      </c>
      <c r="K7942" s="8"/>
    </row>
    <row r="7943" spans="1:11" ht="15" x14ac:dyDescent="0.25">
      <c r="A7943" s="3" t="str">
        <f>HYPERLINK("proteomic_fractions_linear_files/Yang_linear_img/110224447.jpg", "110224447")</f>
        <v>110224447</v>
      </c>
      <c r="C7943" s="3" t="str">
        <f>HYPERLINK("http://www.ncbi.nlm.nih.gov/protein/110224447","Txnrd1")</f>
        <v>Txnrd1</v>
      </c>
      <c r="E7943" t="str">
        <f>HYPERLINK("J:\Depot - mpkCCD Fractions\Main Web Page\Web Pages_old\proteomic_fractions_linear_files/Yang_linear_img/110224447.jpg","show blot")</f>
        <v>show blot</v>
      </c>
      <c r="G7943" t="s">
        <v>7695</v>
      </c>
      <c r="I7943" s="6">
        <v>6.0054638079732312</v>
      </c>
      <c r="K7943" s="8"/>
    </row>
    <row r="7944" spans="1:11" ht="15" x14ac:dyDescent="0.25">
      <c r="A7944" s="3" t="str">
        <f>HYPERLINK("proteomic_fractions_linear_files/Yang_linear_img/13569841.jpg", "13569841")</f>
        <v>13569841</v>
      </c>
      <c r="C7944" s="3" t="str">
        <f>HYPERLINK("http://www.ncbi.nlm.nih.gov/protein/13569841","Txnrd1")</f>
        <v>Txnrd1</v>
      </c>
      <c r="E7944" t="str">
        <f>HYPERLINK("J:\Depot - mpkCCD Fractions\Main Web Page\Web Pages_old\proteomic_fractions_linear_files/Yang_linear_img/13569841.jpg","show blot")</f>
        <v>show blot</v>
      </c>
      <c r="G7944" t="s">
        <v>7696</v>
      </c>
      <c r="I7944" s="6">
        <v>6.0054638079732312</v>
      </c>
      <c r="K7944" s="8"/>
    </row>
    <row r="7945" spans="1:11" ht="15" x14ac:dyDescent="0.25">
      <c r="A7945" s="3" t="str">
        <f>HYPERLINK("proteomic_fractions_linear_files/Yang_linear_img/102468565.jpg", "102468565")</f>
        <v>102468565</v>
      </c>
      <c r="C7945" s="3" t="str">
        <f>HYPERLINK("http://www.ncbi.nlm.nih.gov/protein/102468565","Txnrd2")</f>
        <v>Txnrd2</v>
      </c>
      <c r="E7945" t="str">
        <f>HYPERLINK("J:\Depot - mpkCCD Fractions\Main Web Page\Web Pages_old\proteomic_fractions_linear_files/Yang_linear_img/102468565.jpg","show blot")</f>
        <v>show blot</v>
      </c>
      <c r="G7945" t="s">
        <v>7697</v>
      </c>
      <c r="I7945" s="6">
        <v>4.907097778147393</v>
      </c>
      <c r="K7945" s="8"/>
    </row>
    <row r="7946" spans="1:11" ht="15" x14ac:dyDescent="0.25">
      <c r="A7946" s="3" t="str">
        <f>HYPERLINK("proteomic_fractions_linear_files/Yang_linear_img/296010805.jpg", "296010805")</f>
        <v>296010805</v>
      </c>
      <c r="C7946" s="3" t="str">
        <f>HYPERLINK("http://www.ncbi.nlm.nih.gov/protein/296010805","Txnrd3")</f>
        <v>Txnrd3</v>
      </c>
      <c r="E7946" t="str">
        <f>HYPERLINK("J:\Depot - mpkCCD Fractions\Main Web Page\Web Pages_old\proteomic_fractions_linear_files/Yang_linear_img/296010805.jpg","show blot")</f>
        <v>show blot</v>
      </c>
      <c r="G7946" t="s">
        <v>7698</v>
      </c>
      <c r="I7946" s="6">
        <v>4.6787204376147082</v>
      </c>
      <c r="K7946" s="8"/>
    </row>
    <row r="7947" spans="1:11" ht="15" x14ac:dyDescent="0.25">
      <c r="A7947" s="3" t="str">
        <f>HYPERLINK("proteomic_fractions_linear_files/Yang_linear_img/296010807.jpg", "296010807")</f>
        <v>296010807</v>
      </c>
      <c r="C7947" s="3" t="str">
        <f>HYPERLINK("http://www.ncbi.nlm.nih.gov/protein/296010807","Txnrd3")</f>
        <v>Txnrd3</v>
      </c>
      <c r="E7947" t="str">
        <f>HYPERLINK("J:\Depot - mpkCCD Fractions\Main Web Page\Web Pages_old\proteomic_fractions_linear_files/Yang_linear_img/296010807.jpg","show blot")</f>
        <v>show blot</v>
      </c>
      <c r="G7947" t="s">
        <v>7699</v>
      </c>
      <c r="I7947" s="6">
        <v>4.6787204376147082</v>
      </c>
      <c r="K7947" s="8"/>
    </row>
    <row r="7948" spans="1:11" ht="15" x14ac:dyDescent="0.25">
      <c r="A7948" s="3" t="str">
        <f>HYPERLINK("proteomic_fractions_linear_files/Yang_linear_img/110735449.jpg", "110735449")</f>
        <v>110735449</v>
      </c>
      <c r="C7948" s="3" t="str">
        <f>HYPERLINK("http://www.ncbi.nlm.nih.gov/protein/110735449","Txnrd3")</f>
        <v>Txnrd3</v>
      </c>
      <c r="E7948" t="str">
        <f>HYPERLINK("J:\Depot - mpkCCD Fractions\Main Web Page\Web Pages_old\proteomic_fractions_linear_files/Yang_linear_img/110735449.jpg","show blot")</f>
        <v>show blot</v>
      </c>
      <c r="G7948" t="s">
        <v>7700</v>
      </c>
      <c r="I7948" s="6">
        <v>4.6787204376147082</v>
      </c>
      <c r="K7948" s="8"/>
    </row>
    <row r="7949" spans="1:11" ht="15" x14ac:dyDescent="0.25">
      <c r="A7949" s="3" t="str">
        <f>HYPERLINK("proteomic_fractions_linear_files/Yang_linear_img/296010803.jpg", "296010803")</f>
        <v>296010803</v>
      </c>
      <c r="C7949" s="3" t="str">
        <f>HYPERLINK("http://www.ncbi.nlm.nih.gov/protein/296010803","Txnrd3")</f>
        <v>Txnrd3</v>
      </c>
      <c r="E7949" t="str">
        <f>HYPERLINK("J:\Depot - mpkCCD Fractions\Main Web Page\Web Pages_old\proteomic_fractions_linear_files/Yang_linear_img/296010803.jpg","show blot")</f>
        <v>show blot</v>
      </c>
      <c r="G7949" t="s">
        <v>7701</v>
      </c>
      <c r="I7949" s="6">
        <v>4.6787204376147082</v>
      </c>
      <c r="K7949" s="8"/>
    </row>
    <row r="7950" spans="1:11" ht="15" x14ac:dyDescent="0.25">
      <c r="A7950" s="3" t="str">
        <f>HYPERLINK("proteomic_fractions_linear_files/Yang_linear_img/133922607.jpg", "133922607")</f>
        <v>133922607</v>
      </c>
      <c r="C7950" s="3" t="str">
        <f>HYPERLINK("http://www.ncbi.nlm.nih.gov/protein/133922607","Tyk2")</f>
        <v>Tyk2</v>
      </c>
      <c r="E7950" t="str">
        <f>HYPERLINK("J:\Depot - mpkCCD Fractions\Main Web Page\Web Pages_old\proteomic_fractions_linear_files/Yang_linear_img/133922607.jpg","show blot")</f>
        <v>show blot</v>
      </c>
      <c r="G7950" t="s">
        <v>7702</v>
      </c>
      <c r="I7950" s="6">
        <v>3.4656093526183027</v>
      </c>
      <c r="K7950" s="8"/>
    </row>
    <row r="7951" spans="1:11" ht="15" x14ac:dyDescent="0.25">
      <c r="A7951" s="3" t="str">
        <f>HYPERLINK("proteomic_fractions_linear_files/Yang_linear_img/328887920.jpg", "328887920")</f>
        <v>328887920</v>
      </c>
      <c r="C7951" s="3" t="str">
        <f>HYPERLINK("http://www.ncbi.nlm.nih.gov/protein/328887920","Tyk2")</f>
        <v>Tyk2</v>
      </c>
      <c r="E7951" t="str">
        <f>HYPERLINK("J:\Depot - mpkCCD Fractions\Main Web Page\Web Pages_old\proteomic_fractions_linear_files/Yang_linear_img/328887920.jpg","show blot")</f>
        <v>show blot</v>
      </c>
      <c r="G7951" t="s">
        <v>7703</v>
      </c>
      <c r="I7951" s="6">
        <v>3.4656093526183027</v>
      </c>
      <c r="K7951" s="8"/>
    </row>
    <row r="7952" spans="1:11" ht="15" x14ac:dyDescent="0.25">
      <c r="A7952" s="3" t="str">
        <f>HYPERLINK("proteomic_fractions_linear_files/Yang_linear_img/46358062.jpg", "46358062")</f>
        <v>46358062</v>
      </c>
      <c r="C7952" s="3" t="str">
        <f>HYPERLINK("http://www.ncbi.nlm.nih.gov/protein/46358062","Tyms")</f>
        <v>Tyms</v>
      </c>
      <c r="E7952" t="str">
        <f>HYPERLINK("J:\Depot - mpkCCD Fractions\Main Web Page\Web Pages_old\proteomic_fractions_linear_files/Yang_linear_img/46358062.jpg","show blot")</f>
        <v>show blot</v>
      </c>
      <c r="G7952" t="s">
        <v>7704</v>
      </c>
      <c r="I7952" s="6">
        <v>4.8870753807426688</v>
      </c>
      <c r="K7952" s="8"/>
    </row>
    <row r="7953" spans="1:11" ht="15" x14ac:dyDescent="0.25">
      <c r="A7953" s="3" t="str">
        <f>HYPERLINK("proteomic_fractions_linear_files/Yang_linear_img/30725740.jpg", "30725740")</f>
        <v>30725740</v>
      </c>
      <c r="C7953" s="3" t="str">
        <f>HYPERLINK("http://www.ncbi.nlm.nih.gov/protein/30725740","Tyw1")</f>
        <v>Tyw1</v>
      </c>
      <c r="E7953" t="str">
        <f>HYPERLINK("J:\Depot - mpkCCD Fractions\Main Web Page\Web Pages_old\proteomic_fractions_linear_files/Yang_linear_img/30725740.jpg","show blot")</f>
        <v>show blot</v>
      </c>
      <c r="G7953" t="s">
        <v>7705</v>
      </c>
      <c r="I7953" s="6">
        <v>3.363902756968991</v>
      </c>
      <c r="K7953" s="8"/>
    </row>
    <row r="7954" spans="1:11" ht="15" x14ac:dyDescent="0.25">
      <c r="A7954" s="3" t="str">
        <f>HYPERLINK("proteomic_fractions_linear_files/Yang_linear_img/62899041.jpg", "62899041")</f>
        <v>62899041</v>
      </c>
      <c r="C7954" s="3" t="str">
        <f>HYPERLINK("http://www.ncbi.nlm.nih.gov/protein/62899041","Tyw1")</f>
        <v>Tyw1</v>
      </c>
      <c r="E7954" t="str">
        <f>HYPERLINK("J:\Depot - mpkCCD Fractions\Main Web Page\Web Pages_old\proteomic_fractions_linear_files/Yang_linear_img/62899041.jpg","show blot")</f>
        <v>show blot</v>
      </c>
      <c r="G7954" t="s">
        <v>7706</v>
      </c>
      <c r="I7954" s="6">
        <v>3.363902756968991</v>
      </c>
      <c r="K7954" s="8"/>
    </row>
    <row r="7955" spans="1:11" ht="15" x14ac:dyDescent="0.25">
      <c r="A7955" s="3" t="str">
        <f>HYPERLINK("proteomic_fractions_linear_files/Yang_linear_img/291045186.jpg", "291045186")</f>
        <v>291045186</v>
      </c>
      <c r="C7955" s="3" t="str">
        <f>HYPERLINK("http://www.ncbi.nlm.nih.gov/protein/291045186","Tyw3")</f>
        <v>Tyw3</v>
      </c>
      <c r="E7955" t="str">
        <f>HYPERLINK("J:\Depot - mpkCCD Fractions\Main Web Page\Web Pages_old\proteomic_fractions_linear_files/Yang_linear_img/291045186.jpg","show blot")</f>
        <v>show blot</v>
      </c>
      <c r="G7955" t="s">
        <v>7707</v>
      </c>
      <c r="I7955" s="6">
        <v>3.2526046813262028</v>
      </c>
      <c r="K7955" s="8"/>
    </row>
    <row r="7956" spans="1:11" ht="15" x14ac:dyDescent="0.25">
      <c r="A7956" s="3" t="str">
        <f>HYPERLINK("proteomic_fractions_linear_files/Yang_linear_img/33859785.jpg", "33859785")</f>
        <v>33859785</v>
      </c>
      <c r="C7956" s="3" t="str">
        <f>HYPERLINK("http://www.ncbi.nlm.nih.gov/protein/33859785","Tyw3")</f>
        <v>Tyw3</v>
      </c>
      <c r="E7956" t="str">
        <f>HYPERLINK("J:\Depot - mpkCCD Fractions\Main Web Page\Web Pages_old\proteomic_fractions_linear_files/Yang_linear_img/33859785.jpg","show blot")</f>
        <v>show blot</v>
      </c>
      <c r="G7956" t="s">
        <v>7708</v>
      </c>
      <c r="I7956" s="6">
        <v>3.2526046813262028</v>
      </c>
      <c r="K7956" s="8"/>
    </row>
    <row r="7957" spans="1:11" ht="15" x14ac:dyDescent="0.25">
      <c r="A7957" s="3" t="str">
        <f>HYPERLINK("proteomic_fractions_linear_files/Yang_linear_img/166235142.jpg", "166235142")</f>
        <v>166235142</v>
      </c>
      <c r="C7957" s="3" t="str">
        <f>HYPERLINK("http://www.ncbi.nlm.nih.gov/protein/166235142","Tyw5")</f>
        <v>Tyw5</v>
      </c>
      <c r="E7957" t="str">
        <f>HYPERLINK("J:\Depot - mpkCCD Fractions\Main Web Page\Web Pages_old\proteomic_fractions_linear_files/Yang_linear_img/166235142.jpg","show blot")</f>
        <v>show blot</v>
      </c>
      <c r="G7957" t="s">
        <v>7709</v>
      </c>
      <c r="I7957" s="6">
        <v>3.8539760665768594</v>
      </c>
      <c r="K7957" s="8"/>
    </row>
    <row r="7958" spans="1:11" ht="15" x14ac:dyDescent="0.25">
      <c r="A7958" s="3" t="str">
        <f>HYPERLINK("proteomic_fractions_linear_files/Yang_linear_img/166235146.jpg", "166235146")</f>
        <v>166235146</v>
      </c>
      <c r="C7958" s="3" t="str">
        <f>HYPERLINK("http://www.ncbi.nlm.nih.gov/protein/166235146","Tyw5")</f>
        <v>Tyw5</v>
      </c>
      <c r="E7958" t="str">
        <f>HYPERLINK("J:\Depot - mpkCCD Fractions\Main Web Page\Web Pages_old\proteomic_fractions_linear_files/Yang_linear_img/166235146.jpg","show blot")</f>
        <v>show blot</v>
      </c>
      <c r="G7958" t="s">
        <v>7710</v>
      </c>
      <c r="I7958" s="6">
        <v>3.8539760665768594</v>
      </c>
      <c r="K7958" s="8"/>
    </row>
    <row r="7959" spans="1:11" ht="15" x14ac:dyDescent="0.25">
      <c r="A7959" s="3" t="str">
        <f>HYPERLINK("proteomic_fractions_linear_files/Yang_linear_img/254939700.jpg", "254939700")</f>
        <v>254939700</v>
      </c>
      <c r="C7959" s="3" t="str">
        <f>HYPERLINK("http://www.ncbi.nlm.nih.gov/protein/254939700","U2af1")</f>
        <v>U2af1</v>
      </c>
      <c r="E7959" t="str">
        <f>HYPERLINK("J:\Depot - mpkCCD Fractions\Main Web Page\Web Pages_old\proteomic_fractions_linear_files/Yang_linear_img/254939700.jpg","show blot")</f>
        <v>show blot</v>
      </c>
      <c r="G7959" t="s">
        <v>7711</v>
      </c>
      <c r="I7959" s="6">
        <v>5.7913042126318297</v>
      </c>
      <c r="K7959" s="8"/>
    </row>
    <row r="7960" spans="1:11" ht="15" x14ac:dyDescent="0.25">
      <c r="A7960" s="3" t="str">
        <f>HYPERLINK("proteomic_fractions_linear_files/Yang_linear_img/254939694.jpg", "254939694")</f>
        <v>254939694</v>
      </c>
      <c r="C7960" s="3" t="str">
        <f>HYPERLINK("http://www.ncbi.nlm.nih.gov/protein/254939694","U2af1")</f>
        <v>U2af1</v>
      </c>
      <c r="E7960" t="str">
        <f>HYPERLINK("J:\Depot - mpkCCD Fractions\Main Web Page\Web Pages_old\proteomic_fractions_linear_files/Yang_linear_img/254939694.jpg","show blot")</f>
        <v>show blot</v>
      </c>
      <c r="G7960" t="s">
        <v>7712</v>
      </c>
      <c r="I7960" s="6">
        <v>5.7913042126318297</v>
      </c>
      <c r="K7960" s="8"/>
    </row>
    <row r="7961" spans="1:11" ht="15" x14ac:dyDescent="0.25">
      <c r="A7961" s="3" t="str">
        <f>HYPERLINK("proteomic_fractions_linear_files/Yang_linear_img/25072205.jpg", "25072205")</f>
        <v>25072205</v>
      </c>
      <c r="C7961" s="3" t="str">
        <f>HYPERLINK("http://www.ncbi.nlm.nih.gov/protein/25072205","U2af1l4")</f>
        <v>U2af1l4</v>
      </c>
      <c r="E7961" t="str">
        <f>HYPERLINK("J:\Depot - mpkCCD Fractions\Main Web Page\Web Pages_old\proteomic_fractions_linear_files/Yang_linear_img/25072205.jpg","show blot")</f>
        <v>show blot</v>
      </c>
      <c r="G7961" t="s">
        <v>7713</v>
      </c>
      <c r="I7961" s="6">
        <v>4.12087879204124</v>
      </c>
      <c r="K7961" s="8"/>
    </row>
    <row r="7962" spans="1:11" ht="15" x14ac:dyDescent="0.25">
      <c r="A7962" s="3" t="str">
        <f>HYPERLINK("proteomic_fractions_linear_files/Yang_linear_img/164565377.jpg", "164565377")</f>
        <v>164565377</v>
      </c>
      <c r="C7962" s="3" t="str">
        <f>HYPERLINK("http://www.ncbi.nlm.nih.gov/protein/164565377","U2af2")</f>
        <v>U2af2</v>
      </c>
      <c r="E7962" t="str">
        <f>HYPERLINK("J:\Depot - mpkCCD Fractions\Main Web Page\Web Pages_old\proteomic_fractions_linear_files/Yang_linear_img/164565377.jpg","show blot")</f>
        <v>show blot</v>
      </c>
      <c r="G7962" t="s">
        <v>7714</v>
      </c>
      <c r="I7962" s="6">
        <v>5.6413803976839345</v>
      </c>
      <c r="K7962" s="8"/>
    </row>
    <row r="7963" spans="1:11" ht="15" x14ac:dyDescent="0.25">
      <c r="A7963" s="3" t="str">
        <f>HYPERLINK("proteomic_fractions_linear_files/Yang_linear_img/327365322.jpg", "327365322")</f>
        <v>327365322</v>
      </c>
      <c r="C7963" s="3" t="str">
        <f>HYPERLINK("http://www.ncbi.nlm.nih.gov/protein/327365322","U2af2")</f>
        <v>U2af2</v>
      </c>
      <c r="E7963" t="str">
        <f>HYPERLINK("J:\Depot - mpkCCD Fractions\Main Web Page\Web Pages_old\proteomic_fractions_linear_files/Yang_linear_img/327365322.jpg","show blot")</f>
        <v>show blot</v>
      </c>
      <c r="G7963" t="s">
        <v>7715</v>
      </c>
      <c r="I7963" s="6">
        <v>5.6413803976839345</v>
      </c>
      <c r="K7963" s="8"/>
    </row>
    <row r="7964" spans="1:11" ht="15" x14ac:dyDescent="0.25">
      <c r="A7964" s="3" t="str">
        <f>HYPERLINK("proteomic_fractions_linear_files/Yang_linear_img/171460908.jpg", "171460908")</f>
        <v>171460908</v>
      </c>
      <c r="C7964" s="3" t="str">
        <f>HYPERLINK("http://www.ncbi.nlm.nih.gov/protein/171460908","U2surp")</f>
        <v>U2surp</v>
      </c>
      <c r="E7964" t="str">
        <f>HYPERLINK("J:\Depot - mpkCCD Fractions\Main Web Page\Web Pages_old\proteomic_fractions_linear_files/Yang_linear_img/171460908.jpg","show blot")</f>
        <v>show blot</v>
      </c>
      <c r="G7964" t="s">
        <v>7716</v>
      </c>
      <c r="I7964" s="6">
        <v>3.660990654995667</v>
      </c>
      <c r="K7964" s="8"/>
    </row>
    <row r="7965" spans="1:11" ht="15" x14ac:dyDescent="0.25">
      <c r="A7965" s="3" t="str">
        <f>HYPERLINK("proteomic_fractions_linear_files/Yang_linear_img/171460910.jpg", "171460910")</f>
        <v>171460910</v>
      </c>
      <c r="C7965" s="3" t="str">
        <f>HYPERLINK("http://www.ncbi.nlm.nih.gov/protein/171460910","U2surp")</f>
        <v>U2surp</v>
      </c>
      <c r="E7965" t="str">
        <f>HYPERLINK("J:\Depot - mpkCCD Fractions\Main Web Page\Web Pages_old\proteomic_fractions_linear_files/Yang_linear_img/171460910.jpg","show blot")</f>
        <v>show blot</v>
      </c>
      <c r="G7965" t="s">
        <v>7717</v>
      </c>
      <c r="I7965" s="6">
        <v>3.660990654995667</v>
      </c>
      <c r="K7965" s="8"/>
    </row>
    <row r="7966" spans="1:11" ht="15" x14ac:dyDescent="0.25">
      <c r="A7966" s="3" t="str">
        <f>HYPERLINK("proteomic_fractions_linear_files/Yang_linear_img/28077007.jpg", "28077007")</f>
        <v>28077007</v>
      </c>
      <c r="C7966" s="3" t="str">
        <f>HYPERLINK("http://www.ncbi.nlm.nih.gov/protein/28077007","Uaca")</f>
        <v>Uaca</v>
      </c>
      <c r="E7966" t="str">
        <f>HYPERLINK("J:\Depot - mpkCCD Fractions\Main Web Page\Web Pages_old\proteomic_fractions_linear_files/Yang_linear_img/28077007.jpg","show blot")</f>
        <v>show blot</v>
      </c>
      <c r="G7966" t="s">
        <v>7718</v>
      </c>
      <c r="I7966" s="6">
        <v>2.9707009675259588</v>
      </c>
      <c r="K7966" s="8"/>
    </row>
    <row r="7967" spans="1:11" ht="15" x14ac:dyDescent="0.25">
      <c r="A7967" s="3" t="str">
        <f>HYPERLINK("proteomic_fractions_linear_files/Yang_linear_img/30520375.jpg", "30520375")</f>
        <v>30520375</v>
      </c>
      <c r="C7967" s="3" t="str">
        <f>HYPERLINK("http://www.ncbi.nlm.nih.gov/protein/30520375","Uap1")</f>
        <v>Uap1</v>
      </c>
      <c r="E7967" t="str">
        <f>HYPERLINK("J:\Depot - mpkCCD Fractions\Main Web Page\Web Pages_old\proteomic_fractions_linear_files/Yang_linear_img/30520375.jpg","show blot")</f>
        <v>show blot</v>
      </c>
      <c r="G7967" t="s">
        <v>7719</v>
      </c>
      <c r="I7967" s="6">
        <v>4.9937240896720132</v>
      </c>
      <c r="K7967" s="8"/>
    </row>
    <row r="7968" spans="1:11" ht="15" x14ac:dyDescent="0.25">
      <c r="A7968" s="3" t="str">
        <f>HYPERLINK("proteomic_fractions_linear_files/Yang_linear_img/377833682.jpg", "377833682")</f>
        <v>377833682</v>
      </c>
      <c r="C7968" s="3" t="str">
        <f>HYPERLINK("http://www.ncbi.nlm.nih.gov/protein/377833682","Uap1")</f>
        <v>Uap1</v>
      </c>
      <c r="E7968" t="str">
        <f>HYPERLINK("J:\Depot - mpkCCD Fractions\Main Web Page\Web Pages_old\proteomic_fractions_linear_files/Yang_linear_img/377833682.jpg","show blot")</f>
        <v>show blot</v>
      </c>
      <c r="G7968" t="s">
        <v>7720</v>
      </c>
      <c r="I7968" s="6">
        <v>4.9937240896720132</v>
      </c>
      <c r="K7968" s="8"/>
    </row>
    <row r="7969" spans="1:11" ht="15" x14ac:dyDescent="0.25">
      <c r="A7969" s="3" t="str">
        <f>HYPERLINK("proteomic_fractions_linear_files/Yang_linear_img/84794548.jpg", "84794548")</f>
        <v>84794548</v>
      </c>
      <c r="C7969" s="3" t="str">
        <f>HYPERLINK("http://www.ncbi.nlm.nih.gov/protein/84794548","Uap1l1")</f>
        <v>Uap1l1</v>
      </c>
      <c r="E7969" t="str">
        <f>HYPERLINK("J:\Depot - mpkCCD Fractions\Main Web Page\Web Pages_old\proteomic_fractions_linear_files/Yang_linear_img/84794548.jpg","show blot")</f>
        <v>show blot</v>
      </c>
      <c r="G7969" t="s">
        <v>7721</v>
      </c>
      <c r="I7969" s="6">
        <v>5.9258781671274026</v>
      </c>
      <c r="K7969" s="8"/>
    </row>
    <row r="7970" spans="1:11" ht="15" x14ac:dyDescent="0.25">
      <c r="A7970" s="3" t="str">
        <f>HYPERLINK("proteomic_fractions_linear_files/Yang_linear_img/209862989.jpg", "209862989")</f>
        <v>209862989</v>
      </c>
      <c r="C7970" s="3" t="str">
        <f>HYPERLINK("http://www.ncbi.nlm.nih.gov/protein/209862989","Uba1")</f>
        <v>Uba1</v>
      </c>
      <c r="E7970" t="str">
        <f>HYPERLINK("J:\Depot - mpkCCD Fractions\Main Web Page\Web Pages_old\proteomic_fractions_linear_files/Yang_linear_img/209862989.jpg","show blot")</f>
        <v>show blot</v>
      </c>
      <c r="G7970" t="s">
        <v>7722</v>
      </c>
      <c r="I7970" s="6">
        <v>5.9359704633532582</v>
      </c>
      <c r="K7970" s="8"/>
    </row>
    <row r="7971" spans="1:11" ht="15" x14ac:dyDescent="0.25">
      <c r="A7971" s="3" t="str">
        <f>HYPERLINK("proteomic_fractions_linear_files/Yang_linear_img/209862989;6678483.jpg", "209862989;6678483")</f>
        <v>209862989;6678483</v>
      </c>
      <c r="C7971" s="3" t="str">
        <f>HYPERLINK("http://www.ncbi.nlm.nih.gov/protein/209862989;6678483","Uba1")</f>
        <v>Uba1</v>
      </c>
      <c r="E7971" t="str">
        <f>HYPERLINK("J:\Depot - mpkCCD Fractions\Main Web Page\Web Pages_old\proteomic_fractions_linear_files/Yang_linear_img/209862989;6678483.jpg","show blot")</f>
        <v>show blot</v>
      </c>
      <c r="G7971" t="s">
        <v>7722</v>
      </c>
      <c r="I7971" s="6">
        <v>5.9359704633532582</v>
      </c>
      <c r="K7971" s="8"/>
    </row>
    <row r="7972" spans="1:11" ht="15" x14ac:dyDescent="0.25">
      <c r="A7972" s="3" t="str">
        <f>HYPERLINK("proteomic_fractions_linear_files/Yang_linear_img/6678483;209862989.jpg", "6678483;209862989")</f>
        <v>6678483;209862989</v>
      </c>
      <c r="C7972" s="3" t="str">
        <f>HYPERLINK("http://www.ncbi.nlm.nih.gov/protein/6678483;209862989","Uba1")</f>
        <v>Uba1</v>
      </c>
      <c r="E7972" t="str">
        <f>HYPERLINK("J:\Depot - mpkCCD Fractions\Main Web Page\Web Pages_old\proteomic_fractions_linear_files/Yang_linear_img/6678483;209862989.jpg","show blot")</f>
        <v>show blot</v>
      </c>
      <c r="G7972" t="s">
        <v>7723</v>
      </c>
      <c r="I7972" s="6">
        <v>5.9359704633532582</v>
      </c>
      <c r="K7972" s="8"/>
    </row>
    <row r="7973" spans="1:11" ht="15" x14ac:dyDescent="0.25">
      <c r="A7973" s="3" t="str">
        <f>HYPERLINK("proteomic_fractions_linear_files/Yang_linear_img/444189294.jpg", "444189294")</f>
        <v>444189294</v>
      </c>
      <c r="C7973" s="3" t="str">
        <f>HYPERLINK("http://www.ncbi.nlm.nih.gov/protein/444189294","Uba1")</f>
        <v>Uba1</v>
      </c>
      <c r="E7973" t="str">
        <f>HYPERLINK("J:\Depot - mpkCCD Fractions\Main Web Page\Web Pages_old\proteomic_fractions_linear_files/Yang_linear_img/444189294.jpg","show blot")</f>
        <v>show blot</v>
      </c>
      <c r="G7973" t="s">
        <v>7723</v>
      </c>
      <c r="I7973" s="6">
        <v>5.9359704633532582</v>
      </c>
      <c r="K7973" s="8"/>
    </row>
    <row r="7974" spans="1:11" ht="15" x14ac:dyDescent="0.25">
      <c r="A7974" s="3" t="str">
        <f>HYPERLINK("proteomic_fractions_linear_files/Yang_linear_img/6755923.jpg", "6755923")</f>
        <v>6755923</v>
      </c>
      <c r="C7974" s="3" t="str">
        <f>HYPERLINK("http://www.ncbi.nlm.nih.gov/protein/6755923","Uba1y")</f>
        <v>Uba1y</v>
      </c>
      <c r="E7974" t="str">
        <f>HYPERLINK("J:\Depot - mpkCCD Fractions\Main Web Page\Web Pages_old\proteomic_fractions_linear_files/Yang_linear_img/6755923.jpg","show blot")</f>
        <v>show blot</v>
      </c>
      <c r="G7974" t="s">
        <v>7724</v>
      </c>
      <c r="I7974" s="6">
        <v>5.193294630390124</v>
      </c>
      <c r="K7974" s="8"/>
    </row>
    <row r="7975" spans="1:11" ht="15" x14ac:dyDescent="0.25">
      <c r="A7975" s="3" t="str">
        <f>HYPERLINK("proteomic_fractions_linear_files/Yang_linear_img/7709986.jpg", "7709986")</f>
        <v>7709986</v>
      </c>
      <c r="C7975" s="3" t="str">
        <f>HYPERLINK("http://www.ncbi.nlm.nih.gov/protein/7709986","Uba2")</f>
        <v>Uba2</v>
      </c>
      <c r="E7975" t="str">
        <f>HYPERLINK("J:\Depot - mpkCCD Fractions\Main Web Page\Web Pages_old\proteomic_fractions_linear_files/Yang_linear_img/7709986.jpg","show blot")</f>
        <v>show blot</v>
      </c>
      <c r="G7975" t="s">
        <v>7725</v>
      </c>
      <c r="I7975" s="6">
        <v>5.41630626436271</v>
      </c>
      <c r="K7975" s="8"/>
    </row>
    <row r="7976" spans="1:11" ht="15" x14ac:dyDescent="0.25">
      <c r="A7976" s="3" t="str">
        <f>HYPERLINK("proteomic_fractions_linear_files/Yang_linear_img/162135936.jpg", "162135936")</f>
        <v>162135936</v>
      </c>
      <c r="C7976" s="3" t="str">
        <f>HYPERLINK("http://www.ncbi.nlm.nih.gov/protein/162135936","Uba3")</f>
        <v>Uba3</v>
      </c>
      <c r="E7976" t="str">
        <f>HYPERLINK("J:\Depot - mpkCCD Fractions\Main Web Page\Web Pages_old\proteomic_fractions_linear_files/Yang_linear_img/162135936.jpg","show blot")</f>
        <v>show blot</v>
      </c>
      <c r="G7976" t="s">
        <v>7726</v>
      </c>
      <c r="I7976" s="6">
        <v>5.2576502235387466</v>
      </c>
      <c r="K7976" s="8"/>
    </row>
    <row r="7977" spans="1:11" ht="15" x14ac:dyDescent="0.25">
      <c r="A7977" s="3" t="str">
        <f>HYPERLINK("proteomic_fractions_linear_files/Yang_linear_img/162287057.jpg", "162287057")</f>
        <v>162287057</v>
      </c>
      <c r="C7977" s="3" t="str">
        <f>HYPERLINK("http://www.ncbi.nlm.nih.gov/protein/162287057","Uba3")</f>
        <v>Uba3</v>
      </c>
      <c r="E7977" t="str">
        <f>HYPERLINK("J:\Depot - mpkCCD Fractions\Main Web Page\Web Pages_old\proteomic_fractions_linear_files/Yang_linear_img/162287057.jpg","show blot")</f>
        <v>show blot</v>
      </c>
      <c r="G7977" t="s">
        <v>7727</v>
      </c>
      <c r="I7977" s="6">
        <v>5.2576502235387466</v>
      </c>
      <c r="K7977" s="8"/>
    </row>
    <row r="7978" spans="1:11" ht="15" x14ac:dyDescent="0.25">
      <c r="A7978" s="3" t="str">
        <f>HYPERLINK("proteomic_fractions_linear_files/Yang_linear_img/227499242.jpg", "227499242")</f>
        <v>227499242</v>
      </c>
      <c r="C7978" s="3" t="str">
        <f>HYPERLINK("http://www.ncbi.nlm.nih.gov/protein/227499242","Uba5")</f>
        <v>Uba5</v>
      </c>
      <c r="E7978" t="str">
        <f>HYPERLINK("J:\Depot - mpkCCD Fractions\Main Web Page\Web Pages_old\proteomic_fractions_linear_files/Yang_linear_img/227499242.jpg","show blot")</f>
        <v>show blot</v>
      </c>
      <c r="G7978" t="s">
        <v>7728</v>
      </c>
      <c r="I7978" s="6">
        <v>4.8183551023317861</v>
      </c>
      <c r="K7978" s="8"/>
    </row>
    <row r="7979" spans="1:11" ht="15" x14ac:dyDescent="0.25">
      <c r="A7979" s="3" t="str">
        <f>HYPERLINK("proteomic_fractions_linear_files/Yang_linear_img/9845265.jpg", "9845265")</f>
        <v>9845265</v>
      </c>
      <c r="C7979" s="3" t="str">
        <f>HYPERLINK("http://www.ncbi.nlm.nih.gov/protein/9845265","Uba52")</f>
        <v>Uba52</v>
      </c>
      <c r="E7979" t="str">
        <f>HYPERLINK("J:\Depot - mpkCCD Fractions\Main Web Page\Web Pages_old\proteomic_fractions_linear_files/Yang_linear_img/9845265.jpg","show blot")</f>
        <v>show blot</v>
      </c>
      <c r="G7979" t="s">
        <v>7729</v>
      </c>
      <c r="I7979" s="6">
        <v>7.5257731747937635</v>
      </c>
      <c r="K7979" s="8"/>
    </row>
    <row r="7980" spans="1:11" ht="15" x14ac:dyDescent="0.25">
      <c r="A7980" s="3" t="str">
        <f>HYPERLINK("proteomic_fractions_linear_files/Yang_linear_img/27370032.jpg", "27370032")</f>
        <v>27370032</v>
      </c>
      <c r="C7980" s="3" t="str">
        <f>HYPERLINK("http://www.ncbi.nlm.nih.gov/protein/27370032","Uba6")</f>
        <v>Uba6</v>
      </c>
      <c r="E7980" t="str">
        <f>HYPERLINK("J:\Depot - mpkCCD Fractions\Main Web Page\Web Pages_old\proteomic_fractions_linear_files/Yang_linear_img/27370032.jpg","show blot")</f>
        <v>show blot</v>
      </c>
      <c r="G7980" t="s">
        <v>7730</v>
      </c>
      <c r="I7980" s="6">
        <v>5.143318202309322</v>
      </c>
      <c r="K7980" s="8"/>
    </row>
    <row r="7981" spans="1:11" ht="15" x14ac:dyDescent="0.25">
      <c r="A7981" s="3" t="str">
        <f>HYPERLINK("proteomic_fractions_linear_files/Yang_linear_img/30794156.jpg", "30794156")</f>
        <v>30794156</v>
      </c>
      <c r="C7981" s="3" t="str">
        <f>HYPERLINK("http://www.ncbi.nlm.nih.gov/protein/30794156","Uba7")</f>
        <v>Uba7</v>
      </c>
      <c r="E7981" t="str">
        <f>HYPERLINK("J:\Depot - mpkCCD Fractions\Main Web Page\Web Pages_old\proteomic_fractions_linear_files/Yang_linear_img/30794156.jpg","show blot")</f>
        <v>show blot</v>
      </c>
      <c r="G7981" t="s">
        <v>7731</v>
      </c>
      <c r="I7981" s="6">
        <v>4.2842069950400798</v>
      </c>
      <c r="K7981" s="8"/>
    </row>
    <row r="7982" spans="1:11" ht="15" x14ac:dyDescent="0.25">
      <c r="A7982" s="3" t="str">
        <f>HYPERLINK("proteomic_fractions_linear_files/Yang_linear_img/260447056.jpg", "260447056")</f>
        <v>260447056</v>
      </c>
      <c r="C7982" s="3" t="str">
        <f>HYPERLINK("http://www.ncbi.nlm.nih.gov/protein/260447056","Ubac1")</f>
        <v>Ubac1</v>
      </c>
      <c r="E7982" t="str">
        <f>HYPERLINK("J:\Depot - mpkCCD Fractions\Main Web Page\Web Pages_old\proteomic_fractions_linear_files/Yang_linear_img/260447056.jpg","show blot")</f>
        <v>show blot</v>
      </c>
      <c r="G7982" t="s">
        <v>7732</v>
      </c>
      <c r="I7982" s="6">
        <v>3.3618818887566033</v>
      </c>
      <c r="K7982" s="8"/>
    </row>
    <row r="7983" spans="1:11" ht="15" x14ac:dyDescent="0.25">
      <c r="A7983" s="3" t="str">
        <f>HYPERLINK("proteomic_fractions_linear_files/Yang_linear_img/90568036.jpg", "90568036")</f>
        <v>90568036</v>
      </c>
      <c r="C7983" s="3" t="str">
        <f>HYPERLINK("http://www.ncbi.nlm.nih.gov/protein/90568036","Ubac2")</f>
        <v>Ubac2</v>
      </c>
      <c r="E7983" t="str">
        <f>HYPERLINK("J:\Depot - mpkCCD Fractions\Main Web Page\Web Pages_old\proteomic_fractions_linear_files/Yang_linear_img/90568036.jpg","show blot")</f>
        <v>show blot</v>
      </c>
      <c r="G7983" t="s">
        <v>7733</v>
      </c>
      <c r="I7983" s="6">
        <v>3.0314084642516241</v>
      </c>
      <c r="K7983" s="8"/>
    </row>
    <row r="7984" spans="1:11" ht="15" x14ac:dyDescent="0.25">
      <c r="A7984" s="3" t="str">
        <f>HYPERLINK("proteomic_fractions_linear_files/Yang_linear_img/28076915.jpg", "28076915")</f>
        <v>28076915</v>
      </c>
      <c r="C7984" s="3" t="str">
        <f>HYPERLINK("http://www.ncbi.nlm.nih.gov/protein/28076915","Ubap2")</f>
        <v>Ubap2</v>
      </c>
      <c r="E7984" t="str">
        <f>HYPERLINK("J:\Depot - mpkCCD Fractions\Main Web Page\Web Pages_old\proteomic_fractions_linear_files/Yang_linear_img/28076915.jpg","show blot")</f>
        <v>show blot</v>
      </c>
      <c r="G7984" t="s">
        <v>7734</v>
      </c>
      <c r="I7984" s="6">
        <v>3.347582026974123</v>
      </c>
      <c r="K7984" s="8"/>
    </row>
    <row r="7985" spans="1:11" ht="15" x14ac:dyDescent="0.25">
      <c r="A7985" s="3" t="str">
        <f>HYPERLINK("proteomic_fractions_linear_files/Yang_linear_img/260166704.jpg", "260166704")</f>
        <v>260166704</v>
      </c>
      <c r="C7985" s="3" t="str">
        <f>HYPERLINK("http://www.ncbi.nlm.nih.gov/protein/260166704","Ubap2l")</f>
        <v>Ubap2l</v>
      </c>
      <c r="E7985" t="str">
        <f>HYPERLINK("J:\Depot - mpkCCD Fractions\Main Web Page\Web Pages_old\proteomic_fractions_linear_files/Yang_linear_img/260166704.jpg","show blot")</f>
        <v>show blot</v>
      </c>
      <c r="G7985" t="s">
        <v>7735</v>
      </c>
      <c r="I7985" s="6">
        <v>4.8913910803015943</v>
      </c>
      <c r="K7985" s="8"/>
    </row>
    <row r="7986" spans="1:11" ht="15" x14ac:dyDescent="0.25">
      <c r="A7986" s="3" t="str">
        <f>HYPERLINK("proteomic_fractions_linear_files/Yang_linear_img/260166706.jpg", "260166706")</f>
        <v>260166706</v>
      </c>
      <c r="C7986" s="3" t="str">
        <f>HYPERLINK("http://www.ncbi.nlm.nih.gov/protein/260166706","Ubap2l")</f>
        <v>Ubap2l</v>
      </c>
      <c r="E7986" t="str">
        <f>HYPERLINK("J:\Depot - mpkCCD Fractions\Main Web Page\Web Pages_old\proteomic_fractions_linear_files/Yang_linear_img/260166706.jpg","show blot")</f>
        <v>show blot</v>
      </c>
      <c r="G7986" t="s">
        <v>7736</v>
      </c>
      <c r="I7986" s="6">
        <v>4.8913910803015943</v>
      </c>
      <c r="K7986" s="8"/>
    </row>
    <row r="7987" spans="1:11" ht="15" x14ac:dyDescent="0.25">
      <c r="A7987" s="3" t="str">
        <f>HYPERLINK("proteomic_fractions_linear_files/Yang_linear_img/260166709.jpg", "260166709")</f>
        <v>260166709</v>
      </c>
      <c r="C7987" s="3" t="str">
        <f>HYPERLINK("http://www.ncbi.nlm.nih.gov/protein/260166709","Ubap2l")</f>
        <v>Ubap2l</v>
      </c>
      <c r="E7987" t="str">
        <f>HYPERLINK("J:\Depot - mpkCCD Fractions\Main Web Page\Web Pages_old\proteomic_fractions_linear_files/Yang_linear_img/260166709.jpg","show blot")</f>
        <v>show blot</v>
      </c>
      <c r="G7987" t="s">
        <v>7737</v>
      </c>
      <c r="I7987" s="6">
        <v>4.8913910803015943</v>
      </c>
      <c r="K7987" s="8"/>
    </row>
    <row r="7988" spans="1:11" ht="15" x14ac:dyDescent="0.25">
      <c r="A7988" s="3" t="str">
        <f>HYPERLINK("proteomic_fractions_linear_files/Yang_linear_img/260166711;260166713.jpg", "260166711;260166713")</f>
        <v>260166711;260166713</v>
      </c>
      <c r="C7988" s="3" t="str">
        <f>HYPERLINK("http://www.ncbi.nlm.nih.gov/protein/260166711;260166713","Ubap2l")</f>
        <v>Ubap2l</v>
      </c>
      <c r="E7988" t="str">
        <f>HYPERLINK("J:\Depot - mpkCCD Fractions\Main Web Page\Web Pages_old\proteomic_fractions_linear_files/Yang_linear_img/260166711;260166713.jpg","show blot")</f>
        <v>show blot</v>
      </c>
      <c r="G7988" t="s">
        <v>7738</v>
      </c>
      <c r="I7988" s="6">
        <v>4.8913910803015943</v>
      </c>
      <c r="K7988" s="8"/>
    </row>
    <row r="7989" spans="1:11" ht="15" x14ac:dyDescent="0.25">
      <c r="A7989" s="3" t="str">
        <f>HYPERLINK("proteomic_fractions_linear_files/Yang_linear_img/260166715.jpg", "260166715")</f>
        <v>260166715</v>
      </c>
      <c r="C7989" s="3" t="str">
        <f>HYPERLINK("http://www.ncbi.nlm.nih.gov/protein/260166715","Ubap2l")</f>
        <v>Ubap2l</v>
      </c>
      <c r="E7989" t="str">
        <f>HYPERLINK("J:\Depot - mpkCCD Fractions\Main Web Page\Web Pages_old\proteomic_fractions_linear_files/Yang_linear_img/260166715.jpg","show blot")</f>
        <v>show blot</v>
      </c>
      <c r="G7989" t="s">
        <v>7739</v>
      </c>
      <c r="I7989" s="6">
        <v>4.8913910803015943</v>
      </c>
      <c r="K7989" s="8"/>
    </row>
    <row r="7990" spans="1:11" ht="15" x14ac:dyDescent="0.25">
      <c r="A7990" s="3" t="str">
        <f>HYPERLINK("proteomic_fractions_linear_files/Yang_linear_img/33239421.jpg", "33239421")</f>
        <v>33239421</v>
      </c>
      <c r="C7990" s="3" t="str">
        <f>HYPERLINK("http://www.ncbi.nlm.nih.gov/protein/33239421","Ubap2l")</f>
        <v>Ubap2l</v>
      </c>
      <c r="E7990" t="str">
        <f>HYPERLINK("J:\Depot - mpkCCD Fractions\Main Web Page\Web Pages_old\proteomic_fractions_linear_files/Yang_linear_img/33239421.jpg","show blot")</f>
        <v>show blot</v>
      </c>
      <c r="G7990" t="s">
        <v>7740</v>
      </c>
      <c r="I7990" s="6">
        <v>4.8913910803015943</v>
      </c>
      <c r="K7990" s="8"/>
    </row>
    <row r="7991" spans="1:11" ht="15" x14ac:dyDescent="0.25">
      <c r="A7991" s="3" t="str">
        <f>HYPERLINK("proteomic_fractions_linear_files/Yang_linear_img/6755919.jpg", "6755919")</f>
        <v>6755919</v>
      </c>
      <c r="C7991" s="3" t="str">
        <f>HYPERLINK("http://www.ncbi.nlm.nih.gov/protein/6755919","Ubb")</f>
        <v>Ubb</v>
      </c>
      <c r="E7991" t="str">
        <f>HYPERLINK("J:\Depot - mpkCCD Fractions\Main Web Page\Web Pages_old\proteomic_fractions_linear_files/Yang_linear_img/6755919.jpg","show blot")</f>
        <v>show blot</v>
      </c>
      <c r="G7991" t="s">
        <v>7741</v>
      </c>
      <c r="I7991" s="6">
        <v>7.1703855168071895</v>
      </c>
      <c r="K7991" s="8"/>
    </row>
    <row r="7992" spans="1:11" ht="15" x14ac:dyDescent="0.25">
      <c r="A7992" s="3" t="str">
        <f>HYPERLINK("proteomic_fractions_linear_files/Yang_linear_img/157671923.jpg", "157671923")</f>
        <v>157671923</v>
      </c>
      <c r="C7992" s="3" t="str">
        <f>HYPERLINK("http://www.ncbi.nlm.nih.gov/protein/157671923","Ubc")</f>
        <v>Ubc</v>
      </c>
      <c r="E7992" t="str">
        <f>HYPERLINK("J:\Depot - mpkCCD Fractions\Main Web Page\Web Pages_old\proteomic_fractions_linear_files/Yang_linear_img/157671923.jpg","show blot")</f>
        <v>show blot</v>
      </c>
      <c r="G7992" t="s">
        <v>7742</v>
      </c>
      <c r="I7992" s="6">
        <v>6.7880505814657273</v>
      </c>
      <c r="K7992" s="8"/>
    </row>
    <row r="7993" spans="1:11" ht="15" x14ac:dyDescent="0.25">
      <c r="A7993" s="3" t="str">
        <f>HYPERLINK("proteomic_fractions_linear_files/Yang_linear_img/9790041.jpg", "9790041")</f>
        <v>9790041</v>
      </c>
      <c r="C7993" s="3" t="str">
        <f>HYPERLINK("http://www.ncbi.nlm.nih.gov/protein/9790041","Ube2a")</f>
        <v>Ube2a</v>
      </c>
      <c r="E7993" t="str">
        <f>HYPERLINK("J:\Depot - mpkCCD Fractions\Main Web Page\Web Pages_old\proteomic_fractions_linear_files/Yang_linear_img/9790041.jpg","show blot")</f>
        <v>show blot</v>
      </c>
      <c r="G7993" t="s">
        <v>7743</v>
      </c>
      <c r="I7993" s="6">
        <v>4.288638882273637</v>
      </c>
      <c r="K7993" s="8"/>
    </row>
    <row r="7994" spans="1:11" ht="15" x14ac:dyDescent="0.25">
      <c r="A7994" s="3" t="str">
        <f>HYPERLINK("proteomic_fractions_linear_files/Yang_linear_img/21312888.jpg", "21312888")</f>
        <v>21312888</v>
      </c>
      <c r="C7994" s="3" t="str">
        <f>HYPERLINK("http://www.ncbi.nlm.nih.gov/protein/21312888","Ube2c")</f>
        <v>Ube2c</v>
      </c>
      <c r="E7994" t="str">
        <f>HYPERLINK("J:\Depot - mpkCCD Fractions\Main Web Page\Web Pages_old\proteomic_fractions_linear_files/Yang_linear_img/21312888.jpg","show blot")</f>
        <v>show blot</v>
      </c>
      <c r="G7994" t="s">
        <v>7744</v>
      </c>
      <c r="I7994" s="6">
        <v>4.6523193012710813</v>
      </c>
      <c r="K7994" s="8"/>
    </row>
    <row r="7995" spans="1:11" ht="15" x14ac:dyDescent="0.25">
      <c r="A7995" s="3" t="str">
        <f>HYPERLINK("proteomic_fractions_linear_files/Yang_linear_img/21703838.jpg", "21703838")</f>
        <v>21703838</v>
      </c>
      <c r="C7995" s="3" t="str">
        <f>HYPERLINK("http://www.ncbi.nlm.nih.gov/protein/21703838","Ube2d1")</f>
        <v>Ube2d1</v>
      </c>
      <c r="E7995" t="str">
        <f>HYPERLINK("J:\Depot - mpkCCD Fractions\Main Web Page\Web Pages_old\proteomic_fractions_linear_files/Yang_linear_img/21703838.jpg","show blot")</f>
        <v>show blot</v>
      </c>
      <c r="G7995" t="s">
        <v>7745</v>
      </c>
      <c r="I7995" s="6">
        <v>4.7607781700094725</v>
      </c>
      <c r="K7995" s="8"/>
    </row>
    <row r="7996" spans="1:11" ht="15" x14ac:dyDescent="0.25">
      <c r="A7996" s="3" t="str">
        <f>HYPERLINK("proteomic_fractions_linear_files/Yang_linear_img/9910600.jpg", "9910600")</f>
        <v>9910600</v>
      </c>
      <c r="C7996" s="3" t="str">
        <f>HYPERLINK("http://www.ncbi.nlm.nih.gov/protein/9910600","Ube2d2a")</f>
        <v>Ube2d2a</v>
      </c>
      <c r="E7996" t="str">
        <f>HYPERLINK("J:\Depot - mpkCCD Fractions\Main Web Page\Web Pages_old\proteomic_fractions_linear_files/Yang_linear_img/9910600.jpg","show blot")</f>
        <v>show blot</v>
      </c>
      <c r="G7996" t="s">
        <v>7746</v>
      </c>
      <c r="I7996" s="6">
        <v>5.9219725307481488</v>
      </c>
      <c r="K7996" s="8"/>
    </row>
    <row r="7997" spans="1:11" ht="15" x14ac:dyDescent="0.25">
      <c r="A7997" s="3" t="str">
        <f>HYPERLINK("proteomic_fractions_linear_files/Yang_linear_img/448889035.jpg", "448889035")</f>
        <v>448889035</v>
      </c>
      <c r="C7997" s="3" t="str">
        <f>HYPERLINK("http://www.ncbi.nlm.nih.gov/protein/448889035","Ube2d2b")</f>
        <v>Ube2d2b</v>
      </c>
      <c r="E7997" t="str">
        <f>HYPERLINK("J:\Depot - mpkCCD Fractions\Main Web Page\Web Pages_old\proteomic_fractions_linear_files/Yang_linear_img/448889035.jpg","show blot")</f>
        <v>show blot</v>
      </c>
      <c r="G7997" t="s">
        <v>7747</v>
      </c>
      <c r="I7997" s="6">
        <v>5.8781450932265571</v>
      </c>
      <c r="K7997" s="8"/>
    </row>
    <row r="7998" spans="1:11" ht="15" x14ac:dyDescent="0.25">
      <c r="A7998" s="3" t="str">
        <f>HYPERLINK("proteomic_fractions_linear_files/Yang_linear_img/13384718.jpg", "13384718")</f>
        <v>13384718</v>
      </c>
      <c r="C7998" s="3" t="str">
        <f>HYPERLINK("http://www.ncbi.nlm.nih.gov/protein/13384718","Ube2d3")</f>
        <v>Ube2d3</v>
      </c>
      <c r="E7998" t="str">
        <f>HYPERLINK("J:\Depot - mpkCCD Fractions\Main Web Page\Web Pages_old\proteomic_fractions_linear_files/Yang_linear_img/13384718.jpg","show blot")</f>
        <v>show blot</v>
      </c>
      <c r="G7998" t="s">
        <v>7748</v>
      </c>
      <c r="I7998" s="6">
        <v>5.9082708859666297</v>
      </c>
      <c r="K7998" s="8"/>
    </row>
    <row r="7999" spans="1:11" ht="15" x14ac:dyDescent="0.25">
      <c r="A7999" s="3" t="str">
        <f>HYPERLINK("proteomic_fractions_linear_files/Yang_linear_img/6678479.jpg", "6678479")</f>
        <v>6678479</v>
      </c>
      <c r="C7999" s="3" t="str">
        <f>HYPERLINK("http://www.ncbi.nlm.nih.gov/protein/6678479","Ube2e1")</f>
        <v>Ube2e1</v>
      </c>
      <c r="E7999" t="str">
        <f>HYPERLINK("J:\Depot - mpkCCD Fractions\Main Web Page\Web Pages_old\proteomic_fractions_linear_files/Yang_linear_img/6678479.jpg","show blot")</f>
        <v>show blot</v>
      </c>
      <c r="G7999" t="s">
        <v>7749</v>
      </c>
      <c r="I7999" s="6">
        <v>4.5574950704255999</v>
      </c>
      <c r="K7999" s="8"/>
    </row>
    <row r="8000" spans="1:11" ht="15" x14ac:dyDescent="0.25">
      <c r="A8000" s="3" t="str">
        <f>HYPERLINK("proteomic_fractions_linear_files/Yang_linear_img/21450233.jpg", "21450233")</f>
        <v>21450233</v>
      </c>
      <c r="C8000" s="3" t="str">
        <f>HYPERLINK("http://www.ncbi.nlm.nih.gov/protein/21450233","Ube2e2")</f>
        <v>Ube2e2</v>
      </c>
      <c r="E8000" t="str">
        <f>HYPERLINK("J:\Depot - mpkCCD Fractions\Main Web Page\Web Pages_old\proteomic_fractions_linear_files/Yang_linear_img/21450233.jpg","show blot")</f>
        <v>show blot</v>
      </c>
      <c r="G8000" t="s">
        <v>7750</v>
      </c>
      <c r="I8000" s="6">
        <v>4.6969155920096366</v>
      </c>
      <c r="K8000" s="8"/>
    </row>
    <row r="8001" spans="1:11" ht="15" x14ac:dyDescent="0.25">
      <c r="A8001" s="3" t="str">
        <f>HYPERLINK("proteomic_fractions_linear_files/Yang_linear_img/6678477.jpg", "6678477")</f>
        <v>6678477</v>
      </c>
      <c r="C8001" s="3" t="str">
        <f>HYPERLINK("http://www.ncbi.nlm.nih.gov/protein/6678477","Ube2e3")</f>
        <v>Ube2e3</v>
      </c>
      <c r="E8001" t="str">
        <f>HYPERLINK("J:\Depot - mpkCCD Fractions\Main Web Page\Web Pages_old\proteomic_fractions_linear_files/Yang_linear_img/6678477.jpg","show blot")</f>
        <v>show blot</v>
      </c>
      <c r="G8001" t="s">
        <v>7751</v>
      </c>
      <c r="I8001" s="6">
        <v>4.8348417538169262</v>
      </c>
      <c r="K8001" s="8"/>
    </row>
    <row r="8002" spans="1:11" ht="15" x14ac:dyDescent="0.25">
      <c r="A8002" s="3" t="str">
        <f>HYPERLINK("proteomic_fractions_linear_files/Yang_linear_img/13385948.jpg", "13385948")</f>
        <v>13385948</v>
      </c>
      <c r="C8002" s="3" t="str">
        <f>HYPERLINK("http://www.ncbi.nlm.nih.gov/protein/13385948","Ube2f")</f>
        <v>Ube2f</v>
      </c>
      <c r="E8002" t="str">
        <f>HYPERLINK("J:\Depot - mpkCCD Fractions\Main Web Page\Web Pages_old\proteomic_fractions_linear_files/Yang_linear_img/13385948.jpg","show blot")</f>
        <v>show blot</v>
      </c>
      <c r="G8002" t="s">
        <v>7752</v>
      </c>
      <c r="I8002" s="6">
        <v>4.6806934499321606</v>
      </c>
      <c r="K8002" s="8"/>
    </row>
    <row r="8003" spans="1:11" ht="15" x14ac:dyDescent="0.25">
      <c r="A8003" s="3" t="str">
        <f>HYPERLINK("proteomic_fractions_linear_files/Yang_linear_img/27754105.jpg", "27754105")</f>
        <v>27754105</v>
      </c>
      <c r="C8003" s="3" t="str">
        <f>HYPERLINK("http://www.ncbi.nlm.nih.gov/protein/27754105","Ube2g1")</f>
        <v>Ube2g1</v>
      </c>
      <c r="E8003" t="str">
        <f>HYPERLINK("J:\Depot - mpkCCD Fractions\Main Web Page\Web Pages_old\proteomic_fractions_linear_files/Yang_linear_img/27754105.jpg","show blot")</f>
        <v>show blot</v>
      </c>
      <c r="G8003" t="s">
        <v>7753</v>
      </c>
      <c r="I8003" s="6">
        <v>4.8554701533599216</v>
      </c>
      <c r="K8003" s="8"/>
    </row>
    <row r="8004" spans="1:11" ht="15" x14ac:dyDescent="0.25">
      <c r="A8004" s="3" t="str">
        <f>HYPERLINK("proteomic_fractions_linear_files/Yang_linear_img/281332142.jpg", "281332142")</f>
        <v>281332142</v>
      </c>
      <c r="C8004" s="3" t="str">
        <f>HYPERLINK("http://www.ncbi.nlm.nih.gov/protein/281332142","Ube2h")</f>
        <v>Ube2h</v>
      </c>
      <c r="E8004" t="str">
        <f>HYPERLINK("J:\Depot - mpkCCD Fractions\Main Web Page\Web Pages_old\proteomic_fractions_linear_files/Yang_linear_img/281332142.jpg","show blot")</f>
        <v>show blot</v>
      </c>
      <c r="G8004" t="s">
        <v>7754</v>
      </c>
      <c r="I8004" s="6">
        <v>5.5172513153707516</v>
      </c>
      <c r="K8004" s="8"/>
    </row>
    <row r="8005" spans="1:11" ht="15" x14ac:dyDescent="0.25">
      <c r="A8005" s="3" t="str">
        <f>HYPERLINK("proteomic_fractions_linear_files/Yang_linear_img/6678487.jpg", "6678487")</f>
        <v>6678487</v>
      </c>
      <c r="C8005" s="3" t="str">
        <f>HYPERLINK("http://www.ncbi.nlm.nih.gov/protein/6678487","Ube2h")</f>
        <v>Ube2h</v>
      </c>
      <c r="E8005" t="str">
        <f>HYPERLINK("J:\Depot - mpkCCD Fractions\Main Web Page\Web Pages_old\proteomic_fractions_linear_files/Yang_linear_img/6678487.jpg","show blot")</f>
        <v>show blot</v>
      </c>
      <c r="G8005" t="s">
        <v>7755</v>
      </c>
      <c r="I8005" s="6">
        <v>5.5172513153707516</v>
      </c>
      <c r="K8005" s="8"/>
    </row>
    <row r="8006" spans="1:11" ht="15" x14ac:dyDescent="0.25">
      <c r="A8006" s="3" t="str">
        <f>HYPERLINK("proteomic_fractions_linear_files/Yang_linear_img/31542956.jpg", "31542956")</f>
        <v>31542956</v>
      </c>
      <c r="C8006" s="3" t="str">
        <f>HYPERLINK("http://www.ncbi.nlm.nih.gov/protein/31542956","Ube2k")</f>
        <v>Ube2k</v>
      </c>
      <c r="E8006" t="str">
        <f>HYPERLINK("J:\Depot - mpkCCD Fractions\Main Web Page\Web Pages_old\proteomic_fractions_linear_files/Yang_linear_img/31542956.jpg","show blot")</f>
        <v>show blot</v>
      </c>
      <c r="G8006" t="s">
        <v>7756</v>
      </c>
      <c r="I8006" s="6">
        <v>5.9478355521540349</v>
      </c>
      <c r="K8006" s="8"/>
    </row>
    <row r="8007" spans="1:11" ht="15" x14ac:dyDescent="0.25">
      <c r="A8007" s="3" t="str">
        <f>HYPERLINK("proteomic_fractions_linear_files/Yang_linear_img/21704162.jpg", "21704162")</f>
        <v>21704162</v>
      </c>
      <c r="C8007" s="3" t="str">
        <f>HYPERLINK("http://www.ncbi.nlm.nih.gov/protein/21704162","Ube2m")</f>
        <v>Ube2m</v>
      </c>
      <c r="E8007" t="str">
        <f>HYPERLINK("J:\Depot - mpkCCD Fractions\Main Web Page\Web Pages_old\proteomic_fractions_linear_files/Yang_linear_img/21704162.jpg","show blot")</f>
        <v>show blot</v>
      </c>
      <c r="G8007" t="s">
        <v>7757</v>
      </c>
      <c r="I8007" s="6">
        <v>5.9978668642620594</v>
      </c>
      <c r="K8007" s="8"/>
    </row>
    <row r="8008" spans="1:11" ht="15" x14ac:dyDescent="0.25">
      <c r="A8008" s="3" t="str">
        <f>HYPERLINK("proteomic_fractions_linear_files/Yang_linear_img/270309117.jpg", "270309117")</f>
        <v>270309117</v>
      </c>
      <c r="C8008" s="3" t="str">
        <f>HYPERLINK("http://www.ncbi.nlm.nih.gov/protein/270309117","Ube2m")</f>
        <v>Ube2m</v>
      </c>
      <c r="E8008" t="str">
        <f>HYPERLINK("J:\Depot - mpkCCD Fractions\Main Web Page\Web Pages_old\proteomic_fractions_linear_files/Yang_linear_img/270309117.jpg","show blot")</f>
        <v>show blot</v>
      </c>
      <c r="G8008" t="s">
        <v>7758</v>
      </c>
      <c r="I8008" s="6">
        <v>5.9978668642620594</v>
      </c>
      <c r="K8008" s="8"/>
    </row>
    <row r="8009" spans="1:11" ht="15" x14ac:dyDescent="0.25">
      <c r="A8009" s="3" t="str">
        <f>HYPERLINK("proteomic_fractions_linear_files/Yang_linear_img/345525404.jpg", "345525404")</f>
        <v>345525404</v>
      </c>
      <c r="C8009" s="3" t="str">
        <f>HYPERLINK("http://www.ncbi.nlm.nih.gov/protein/345525404","Ube2m")</f>
        <v>Ube2m</v>
      </c>
      <c r="E8009" t="str">
        <f>HYPERLINK("J:\Depot - mpkCCD Fractions\Main Web Page\Web Pages_old\proteomic_fractions_linear_files/Yang_linear_img/345525404.jpg","show blot")</f>
        <v>show blot</v>
      </c>
      <c r="G8009" t="s">
        <v>7759</v>
      </c>
      <c r="I8009" s="6">
        <v>5.9978668642620594</v>
      </c>
      <c r="K8009" s="8"/>
    </row>
    <row r="8010" spans="1:11" ht="15" x14ac:dyDescent="0.25">
      <c r="A8010" s="3" t="str">
        <f>HYPERLINK("proteomic_fractions_linear_files/Yang_linear_img/18017605.jpg", "18017605")</f>
        <v>18017605</v>
      </c>
      <c r="C8010" s="3" t="str">
        <f>HYPERLINK("http://www.ncbi.nlm.nih.gov/protein/18017605","Ube2n")</f>
        <v>Ube2n</v>
      </c>
      <c r="E8010" t="str">
        <f>HYPERLINK("J:\Depot - mpkCCD Fractions\Main Web Page\Web Pages_old\proteomic_fractions_linear_files/Yang_linear_img/18017605.jpg","show blot")</f>
        <v>show blot</v>
      </c>
      <c r="G8010" t="s">
        <v>7760</v>
      </c>
      <c r="I8010" s="6">
        <v>6.5112528719794458</v>
      </c>
      <c r="K8010" s="8"/>
    </row>
    <row r="8011" spans="1:11" ht="15" x14ac:dyDescent="0.25">
      <c r="A8011" s="3" t="str">
        <f>HYPERLINK("proteomic_fractions_linear_files/Yang_linear_img/50234896.jpg", "50234896")</f>
        <v>50234896</v>
      </c>
      <c r="C8011" s="3" t="str">
        <f>HYPERLINK("http://www.ncbi.nlm.nih.gov/protein/50234896","Ube2o")</f>
        <v>Ube2o</v>
      </c>
      <c r="E8011" t="str">
        <f>HYPERLINK("J:\Depot - mpkCCD Fractions\Main Web Page\Web Pages_old\proteomic_fractions_linear_files/Yang_linear_img/50234896.jpg","show blot")</f>
        <v>show blot</v>
      </c>
      <c r="G8011" t="s">
        <v>7761</v>
      </c>
      <c r="I8011" s="6">
        <v>4.6953314591483224</v>
      </c>
      <c r="K8011" s="8"/>
    </row>
    <row r="8012" spans="1:11" ht="15" x14ac:dyDescent="0.25">
      <c r="A8012" s="3" t="str">
        <f>HYPERLINK("proteomic_fractions_linear_files/Yang_linear_img/170172548.jpg", "170172548")</f>
        <v>170172548</v>
      </c>
      <c r="C8012" s="3" t="str">
        <f>HYPERLINK("http://www.ncbi.nlm.nih.gov/protein/170172548","Ube2q1")</f>
        <v>Ube2q1</v>
      </c>
      <c r="E8012" t="str">
        <f>HYPERLINK("J:\Depot - mpkCCD Fractions\Main Web Page\Web Pages_old\proteomic_fractions_linear_files/Yang_linear_img/170172548.jpg","show blot")</f>
        <v>show blot</v>
      </c>
      <c r="G8012" t="s">
        <v>7762</v>
      </c>
      <c r="I8012" s="6">
        <v>4.1426367108136111</v>
      </c>
      <c r="K8012" s="8"/>
    </row>
    <row r="8013" spans="1:11" ht="15" x14ac:dyDescent="0.25">
      <c r="A8013" s="3" t="str">
        <f>HYPERLINK("proteomic_fractions_linear_files/Yang_linear_img/257796272.jpg", "257796272")</f>
        <v>257796272</v>
      </c>
      <c r="C8013" s="3" t="str">
        <f>HYPERLINK("http://www.ncbi.nlm.nih.gov/protein/257796272","Ube2q2")</f>
        <v>Ube2q2</v>
      </c>
      <c r="E8013" t="str">
        <f>HYPERLINK("J:\Depot - mpkCCD Fractions\Main Web Page\Web Pages_old\proteomic_fractions_linear_files/Yang_linear_img/257796272.jpg","show blot")</f>
        <v>show blot</v>
      </c>
      <c r="G8013" t="s">
        <v>7763</v>
      </c>
      <c r="I8013" s="6">
        <v>4.9458133664646713</v>
      </c>
      <c r="K8013" s="8"/>
    </row>
    <row r="8014" spans="1:11" ht="15" x14ac:dyDescent="0.25">
      <c r="A8014" s="3" t="str">
        <f>HYPERLINK("proteomic_fractions_linear_files/Yang_linear_img/13385778.jpg", "13385778")</f>
        <v>13385778</v>
      </c>
      <c r="C8014" s="3" t="str">
        <f>HYPERLINK("http://www.ncbi.nlm.nih.gov/protein/13385778","Ube2r2")</f>
        <v>Ube2r2</v>
      </c>
      <c r="E8014" t="str">
        <f>HYPERLINK("J:\Depot - mpkCCD Fractions\Main Web Page\Web Pages_old\proteomic_fractions_linear_files/Yang_linear_img/13385778.jpg","show blot")</f>
        <v>show blot</v>
      </c>
      <c r="G8014" t="s">
        <v>7764</v>
      </c>
      <c r="I8014" s="6">
        <v>4.6391740374657982</v>
      </c>
      <c r="K8014" s="8"/>
    </row>
    <row r="8015" spans="1:11" ht="15" x14ac:dyDescent="0.25">
      <c r="A8015" s="3" t="str">
        <f>HYPERLINK("proteomic_fractions_linear_files/Yang_linear_img/19527004.jpg", "19527004")</f>
        <v>19527004</v>
      </c>
      <c r="C8015" s="3" t="str">
        <f>HYPERLINK("http://www.ncbi.nlm.nih.gov/protein/19527004","Ube2s")</f>
        <v>Ube2s</v>
      </c>
      <c r="E8015" t="str">
        <f>HYPERLINK("J:\Depot - mpkCCD Fractions\Main Web Page\Web Pages_old\proteomic_fractions_linear_files/Yang_linear_img/19527004.jpg","show blot")</f>
        <v>show blot</v>
      </c>
      <c r="G8015" t="s">
        <v>7765</v>
      </c>
      <c r="I8015" s="6">
        <v>4.763092281032324</v>
      </c>
      <c r="K8015" s="8"/>
    </row>
    <row r="8016" spans="1:11" ht="15" x14ac:dyDescent="0.25">
      <c r="A8016" s="3" t="str">
        <f>HYPERLINK("proteomic_fractions_linear_files/Yang_linear_img/13385530.jpg", "13385530")</f>
        <v>13385530</v>
      </c>
      <c r="C8016" s="3" t="str">
        <f>HYPERLINK("http://www.ncbi.nlm.nih.gov/protein/13385530","Ube2t")</f>
        <v>Ube2t</v>
      </c>
      <c r="E8016" t="str">
        <f>HYPERLINK("J:\Depot - mpkCCD Fractions\Main Web Page\Web Pages_old\proteomic_fractions_linear_files/Yang_linear_img/13385530.jpg","show blot")</f>
        <v>show blot</v>
      </c>
      <c r="G8016" t="s">
        <v>7766</v>
      </c>
      <c r="I8016" s="6">
        <v>5.6270727014283608</v>
      </c>
      <c r="K8016" s="8"/>
    </row>
    <row r="8017" spans="1:11" ht="15" x14ac:dyDescent="0.25">
      <c r="A8017" s="3" t="str">
        <f>HYPERLINK("proteomic_fractions_linear_files/Yang_linear_img/42741690.jpg", "42741690")</f>
        <v>42741690</v>
      </c>
      <c r="C8017" s="3" t="str">
        <f>HYPERLINK("http://www.ncbi.nlm.nih.gov/protein/42741690","Ube2v1")</f>
        <v>Ube2v1</v>
      </c>
      <c r="E8017" t="str">
        <f>HYPERLINK("J:\Depot - mpkCCD Fractions\Main Web Page\Web Pages_old\proteomic_fractions_linear_files/Yang_linear_img/42741690.jpg","show blot")</f>
        <v>show blot</v>
      </c>
      <c r="G8017" t="s">
        <v>7767</v>
      </c>
      <c r="I8017" s="6">
        <v>6.8678196250739338</v>
      </c>
      <c r="K8017" s="8"/>
    </row>
    <row r="8018" spans="1:11" ht="15" x14ac:dyDescent="0.25">
      <c r="A8018" s="3" t="str">
        <f>HYPERLINK("proteomic_fractions_linear_files/Yang_linear_img/226823223.jpg", "226823223")</f>
        <v>226823223</v>
      </c>
      <c r="C8018" s="3" t="str">
        <f>HYPERLINK("http://www.ncbi.nlm.nih.gov/protein/226823223","Ube2v2")</f>
        <v>Ube2v2</v>
      </c>
      <c r="E8018" t="str">
        <f>HYPERLINK("J:\Depot - mpkCCD Fractions\Main Web Page\Web Pages_old\proteomic_fractions_linear_files/Yang_linear_img/226823223.jpg","show blot")</f>
        <v>show blot</v>
      </c>
      <c r="G8018" t="s">
        <v>7768</v>
      </c>
      <c r="I8018" s="6">
        <v>6.845051713224132</v>
      </c>
      <c r="K8018" s="8"/>
    </row>
    <row r="8019" spans="1:11" ht="15" x14ac:dyDescent="0.25">
      <c r="A8019" s="3" t="str">
        <f>HYPERLINK("proteomic_fractions_linear_files/Yang_linear_img/31543918.jpg", "31543918")</f>
        <v>31543918</v>
      </c>
      <c r="C8019" s="3" t="str">
        <f>HYPERLINK("http://www.ncbi.nlm.nih.gov/protein/31543918","Ube2v2")</f>
        <v>Ube2v2</v>
      </c>
      <c r="E8019" t="str">
        <f>HYPERLINK("J:\Depot - mpkCCD Fractions\Main Web Page\Web Pages_old\proteomic_fractions_linear_files/Yang_linear_img/31543918.jpg","show blot")</f>
        <v>show blot</v>
      </c>
      <c r="G8019" t="s">
        <v>7769</v>
      </c>
      <c r="I8019" s="6">
        <v>6.845051713224132</v>
      </c>
      <c r="K8019" s="8"/>
    </row>
    <row r="8020" spans="1:11" ht="15" x14ac:dyDescent="0.25">
      <c r="A8020" s="3" t="str">
        <f>HYPERLINK("proteomic_fractions_linear_files/Yang_linear_img/401891882.jpg", "401891882")</f>
        <v>401891882</v>
      </c>
      <c r="C8020" s="3" t="str">
        <f>HYPERLINK("http://www.ncbi.nlm.nih.gov/protein/401891882","Ube2w")</f>
        <v>Ube2w</v>
      </c>
      <c r="E8020" t="str">
        <f>HYPERLINK("J:\Depot - mpkCCD Fractions\Main Web Page\Web Pages_old\proteomic_fractions_linear_files/Yang_linear_img/401891882.jpg","show blot")</f>
        <v>show blot</v>
      </c>
      <c r="G8020" t="s">
        <v>7770</v>
      </c>
      <c r="I8020" s="6">
        <v>3.1347206021691467</v>
      </c>
      <c r="K8020" s="8"/>
    </row>
    <row r="8021" spans="1:11" ht="15" x14ac:dyDescent="0.25">
      <c r="A8021" s="3" t="str">
        <f>HYPERLINK("proteomic_fractions_linear_files/Yang_linear_img/401891885.jpg", "401891885")</f>
        <v>401891885</v>
      </c>
      <c r="C8021" s="3" t="str">
        <f>HYPERLINK("http://www.ncbi.nlm.nih.gov/protein/401891885","Ube2w")</f>
        <v>Ube2w</v>
      </c>
      <c r="E8021" t="str">
        <f>HYPERLINK("J:\Depot - mpkCCD Fractions\Main Web Page\Web Pages_old\proteomic_fractions_linear_files/Yang_linear_img/401891885.jpg","show blot")</f>
        <v>show blot</v>
      </c>
      <c r="G8021" t="s">
        <v>7771</v>
      </c>
      <c r="I8021" s="6">
        <v>3.1347206021691467</v>
      </c>
      <c r="K8021" s="8"/>
    </row>
    <row r="8022" spans="1:11" ht="15" x14ac:dyDescent="0.25">
      <c r="A8022" s="3" t="str">
        <f>HYPERLINK("proteomic_fractions_linear_files/Yang_linear_img/401901244.jpg", "401901244")</f>
        <v>401901244</v>
      </c>
      <c r="C8022" s="3" t="str">
        <f>HYPERLINK("http://www.ncbi.nlm.nih.gov/protein/401901244","Ube2w")</f>
        <v>Ube2w</v>
      </c>
      <c r="E8022" t="str">
        <f>HYPERLINK("J:\Depot - mpkCCD Fractions\Main Web Page\Web Pages_old\proteomic_fractions_linear_files/Yang_linear_img/401901244.jpg","show blot")</f>
        <v>show blot</v>
      </c>
      <c r="G8022" t="s">
        <v>7772</v>
      </c>
      <c r="I8022" s="6">
        <v>3.1347206021691467</v>
      </c>
      <c r="K8022" s="8"/>
    </row>
    <row r="8023" spans="1:11" ht="15" x14ac:dyDescent="0.25">
      <c r="A8023" s="3" t="str">
        <f>HYPERLINK("proteomic_fractions_linear_files/Yang_linear_img/110681729.jpg", "110681729")</f>
        <v>110681729</v>
      </c>
      <c r="C8023" s="3" t="str">
        <f>HYPERLINK("http://www.ncbi.nlm.nih.gov/protein/110681729","Ube2z")</f>
        <v>Ube2z</v>
      </c>
      <c r="E8023" t="str">
        <f>HYPERLINK("J:\Depot - mpkCCD Fractions\Main Web Page\Web Pages_old\proteomic_fractions_linear_files/Yang_linear_img/110681729.jpg","show blot")</f>
        <v>show blot</v>
      </c>
      <c r="G8023" t="s">
        <v>7773</v>
      </c>
      <c r="I8023" s="6">
        <v>5.3636724340414688</v>
      </c>
      <c r="K8023" s="8"/>
    </row>
    <row r="8024" spans="1:11" ht="15" x14ac:dyDescent="0.25">
      <c r="A8024" s="3" t="str">
        <f>HYPERLINK("proteomic_fractions_linear_files/Yang_linear_img/27804321.jpg", "27804321")</f>
        <v>27804321</v>
      </c>
      <c r="C8024" s="3" t="str">
        <f>HYPERLINK("http://www.ncbi.nlm.nih.gov/protein/27804321","Ube3a")</f>
        <v>Ube3a</v>
      </c>
      <c r="E8024" t="str">
        <f>HYPERLINK("J:\Depot - mpkCCD Fractions\Main Web Page\Web Pages_old\proteomic_fractions_linear_files/Yang_linear_img/27804321.jpg","show blot")</f>
        <v>show blot</v>
      </c>
      <c r="G8024" t="s">
        <v>7774</v>
      </c>
      <c r="I8024" s="6">
        <v>4.537845444269708</v>
      </c>
      <c r="K8024" s="8"/>
    </row>
    <row r="8025" spans="1:11" ht="15" x14ac:dyDescent="0.25">
      <c r="A8025" s="3" t="str">
        <f>HYPERLINK("proteomic_fractions_linear_files/Yang_linear_img/76880494.jpg", "76880494")</f>
        <v>76880494</v>
      </c>
      <c r="C8025" s="3" t="str">
        <f>HYPERLINK("http://www.ncbi.nlm.nih.gov/protein/76880494","Ube3a")</f>
        <v>Ube3a</v>
      </c>
      <c r="E8025" t="str">
        <f>HYPERLINK("J:\Depot - mpkCCD Fractions\Main Web Page\Web Pages_old\proteomic_fractions_linear_files/Yang_linear_img/76880494.jpg","show blot")</f>
        <v>show blot</v>
      </c>
      <c r="G8025" t="s">
        <v>7775</v>
      </c>
      <c r="I8025" s="6">
        <v>4.537845444269708</v>
      </c>
      <c r="K8025" s="8"/>
    </row>
    <row r="8026" spans="1:11" ht="15" x14ac:dyDescent="0.25">
      <c r="A8026" s="3" t="str">
        <f>HYPERLINK("proteomic_fractions_linear_files/Yang_linear_img/76880500.jpg", "76880500")</f>
        <v>76880500</v>
      </c>
      <c r="C8026" s="3" t="str">
        <f>HYPERLINK("http://www.ncbi.nlm.nih.gov/protein/76880500","Ube3a")</f>
        <v>Ube3a</v>
      </c>
      <c r="E8026" t="str">
        <f>HYPERLINK("J:\Depot - mpkCCD Fractions\Main Web Page\Web Pages_old\proteomic_fractions_linear_files/Yang_linear_img/76880500.jpg","show blot")</f>
        <v>show blot</v>
      </c>
      <c r="G8026" t="s">
        <v>7776</v>
      </c>
      <c r="I8026" s="6">
        <v>4.537845444269708</v>
      </c>
      <c r="K8026" s="8"/>
    </row>
    <row r="8027" spans="1:11" ht="15" x14ac:dyDescent="0.25">
      <c r="A8027" s="3" t="str">
        <f>HYPERLINK("proteomic_fractions_linear_files/Yang_linear_img/29789341.jpg", "29789341")</f>
        <v>29789341</v>
      </c>
      <c r="C8027" s="3" t="str">
        <f>HYPERLINK("http://www.ncbi.nlm.nih.gov/protein/29789341","Ube3c")</f>
        <v>Ube3c</v>
      </c>
      <c r="E8027" t="str">
        <f>HYPERLINK("J:\Depot - mpkCCD Fractions\Main Web Page\Web Pages_old\proteomic_fractions_linear_files/Yang_linear_img/29789341.jpg","show blot")</f>
        <v>show blot</v>
      </c>
      <c r="G8027" t="s">
        <v>7777</v>
      </c>
      <c r="I8027" s="6">
        <v>4.0073852378628629</v>
      </c>
      <c r="K8027" s="8"/>
    </row>
    <row r="8028" spans="1:11" ht="15" x14ac:dyDescent="0.25">
      <c r="A8028" s="3" t="str">
        <f>HYPERLINK("proteomic_fractions_linear_files/Yang_linear_img/167736371.jpg", "167736371")</f>
        <v>167736371</v>
      </c>
      <c r="C8028" s="3" t="str">
        <f>HYPERLINK("http://www.ncbi.nlm.nih.gov/protein/167736371","Ube4a")</f>
        <v>Ube4a</v>
      </c>
      <c r="E8028" t="str">
        <f>HYPERLINK("J:\Depot - mpkCCD Fractions\Main Web Page\Web Pages_old\proteomic_fractions_linear_files/Yang_linear_img/167736371.jpg","show blot")</f>
        <v>show blot</v>
      </c>
      <c r="G8028" t="s">
        <v>7778</v>
      </c>
      <c r="I8028" s="6">
        <v>3.3940618124427218</v>
      </c>
      <c r="K8028" s="8"/>
    </row>
    <row r="8029" spans="1:11" ht="15" x14ac:dyDescent="0.25">
      <c r="A8029" s="3" t="str">
        <f>HYPERLINK("proteomic_fractions_linear_files/Yang_linear_img/172073169.jpg", "172073169")</f>
        <v>172073169</v>
      </c>
      <c r="C8029" s="3" t="str">
        <f>HYPERLINK("http://www.ncbi.nlm.nih.gov/protein/172073169","Ube4b")</f>
        <v>Ube4b</v>
      </c>
      <c r="E8029" t="str">
        <f>HYPERLINK("J:\Depot - mpkCCD Fractions\Main Web Page\Web Pages_old\proteomic_fractions_linear_files/Yang_linear_img/172073169.jpg","show blot")</f>
        <v>show blot</v>
      </c>
      <c r="G8029" t="s">
        <v>7779</v>
      </c>
      <c r="I8029" s="6">
        <v>4.1867512654821724</v>
      </c>
      <c r="K8029" s="8"/>
    </row>
    <row r="8030" spans="1:11" ht="15" x14ac:dyDescent="0.25">
      <c r="A8030" s="3" t="str">
        <f>HYPERLINK("proteomic_fractions_linear_files/Yang_linear_img/77917602.jpg", "77917602")</f>
        <v>77917602</v>
      </c>
      <c r="C8030" s="3" t="str">
        <f>HYPERLINK("http://www.ncbi.nlm.nih.gov/protein/77917602","Ubfd1")</f>
        <v>Ubfd1</v>
      </c>
      <c r="E8030" t="str">
        <f>HYPERLINK("J:\Depot - mpkCCD Fractions\Main Web Page\Web Pages_old\proteomic_fractions_linear_files/Yang_linear_img/77917602.jpg","show blot")</f>
        <v>show blot</v>
      </c>
      <c r="G8030" t="s">
        <v>7780</v>
      </c>
      <c r="I8030" s="6">
        <v>4.7577824436404201</v>
      </c>
      <c r="K8030" s="8"/>
    </row>
    <row r="8031" spans="1:11" ht="15" x14ac:dyDescent="0.25">
      <c r="A8031" s="3" t="str">
        <f>HYPERLINK("proteomic_fractions_linear_files/Yang_linear_img/6755925.jpg", "6755925")</f>
        <v>6755925</v>
      </c>
      <c r="C8031" s="3" t="str">
        <f>HYPERLINK("http://www.ncbi.nlm.nih.gov/protein/6755925","Ubl3")</f>
        <v>Ubl3</v>
      </c>
      <c r="E8031" t="str">
        <f>HYPERLINK("J:\Depot - mpkCCD Fractions\Main Web Page\Web Pages_old\proteomic_fractions_linear_files/Yang_linear_img/6755925.jpg","show blot")</f>
        <v>show blot</v>
      </c>
      <c r="G8031" t="s">
        <v>7781</v>
      </c>
      <c r="I8031" s="6">
        <v>4.3572048063714233</v>
      </c>
      <c r="K8031" s="8"/>
    </row>
    <row r="8032" spans="1:11" ht="15" x14ac:dyDescent="0.25">
      <c r="A8032" s="3" t="str">
        <f>HYPERLINK("proteomic_fractions_linear_files/Yang_linear_img/21703810.jpg", "21703810")</f>
        <v>21703810</v>
      </c>
      <c r="C8032" s="3" t="str">
        <f>HYPERLINK("http://www.ncbi.nlm.nih.gov/protein/21703810","Ubl4")</f>
        <v>Ubl4</v>
      </c>
      <c r="E8032" t="str">
        <f>HYPERLINK("J:\Depot - mpkCCD Fractions\Main Web Page\Web Pages_old\proteomic_fractions_linear_files/Yang_linear_img/21703810.jpg","show blot")</f>
        <v>show blot</v>
      </c>
      <c r="G8032" t="s">
        <v>7782</v>
      </c>
      <c r="I8032" s="6">
        <v>5.2793947007868178</v>
      </c>
      <c r="K8032" s="8"/>
    </row>
    <row r="8033" spans="1:11" ht="15" x14ac:dyDescent="0.25">
      <c r="A8033" s="3" t="str">
        <f>HYPERLINK("proteomic_fractions_linear_files/Yang_linear_img/13384784.jpg", "13384784")</f>
        <v>13384784</v>
      </c>
      <c r="C8033" s="3" t="str">
        <f>HYPERLINK("http://www.ncbi.nlm.nih.gov/protein/13384784","Ubl5")</f>
        <v>Ubl5</v>
      </c>
      <c r="E8033" t="str">
        <f>HYPERLINK("J:\Depot - mpkCCD Fractions\Main Web Page\Web Pages_old\proteomic_fractions_linear_files/Yang_linear_img/13384784.jpg","show blot")</f>
        <v>show blot</v>
      </c>
      <c r="G8033" t="s">
        <v>7783</v>
      </c>
      <c r="I8033" s="6">
        <v>5.3292336404727214</v>
      </c>
      <c r="K8033" s="8"/>
    </row>
    <row r="8034" spans="1:11" ht="15" x14ac:dyDescent="0.25">
      <c r="A8034" s="3" t="str">
        <f>HYPERLINK("proteomic_fractions_linear_files/Yang_linear_img/407261853.jpg", "407261853")</f>
        <v>407261853</v>
      </c>
      <c r="C8034" s="3" t="str">
        <f>HYPERLINK("http://www.ncbi.nlm.nih.gov/protein/407261853","Ublcp1")</f>
        <v>Ublcp1</v>
      </c>
      <c r="E8034" t="str">
        <f>HYPERLINK("J:\Depot - mpkCCD Fractions\Main Web Page\Web Pages_old\proteomic_fractions_linear_files/Yang_linear_img/407261853.jpg","show blot")</f>
        <v>show blot</v>
      </c>
      <c r="G8034" t="s">
        <v>7784</v>
      </c>
      <c r="I8034" s="6">
        <v>4.797186628259456</v>
      </c>
      <c r="K8034" s="8"/>
    </row>
    <row r="8035" spans="1:11" ht="15" x14ac:dyDescent="0.25">
      <c r="A8035" s="3" t="str">
        <f>HYPERLINK("proteomic_fractions_linear_files/Yang_linear_img/46575895.jpg", "46575895")</f>
        <v>46575895</v>
      </c>
      <c r="C8035" s="3" t="str">
        <f>HYPERLINK("http://www.ncbi.nlm.nih.gov/protein/46575895","Ublcp1")</f>
        <v>Ublcp1</v>
      </c>
      <c r="E8035" t="str">
        <f>HYPERLINK("J:\Depot - mpkCCD Fractions\Main Web Page\Web Pages_old\proteomic_fractions_linear_files/Yang_linear_img/46575895.jpg","show blot")</f>
        <v>show blot</v>
      </c>
      <c r="G8035" t="s">
        <v>7785</v>
      </c>
      <c r="I8035" s="6">
        <v>4.797186628259456</v>
      </c>
      <c r="K8035" s="8"/>
    </row>
    <row r="8036" spans="1:11" ht="15" x14ac:dyDescent="0.25">
      <c r="A8036" s="3" t="str">
        <f>HYPERLINK("proteomic_fractions_linear_files/Yang_linear_img/134032032.jpg", "134032032")</f>
        <v>134032032</v>
      </c>
      <c r="C8036" s="3" t="str">
        <f>HYPERLINK("http://www.ncbi.nlm.nih.gov/protein/134032032","Ubp1")</f>
        <v>Ubp1</v>
      </c>
      <c r="E8036" t="str">
        <f>HYPERLINK("J:\Depot - mpkCCD Fractions\Main Web Page\Web Pages_old\proteomic_fractions_linear_files/Yang_linear_img/134032032.jpg","show blot")</f>
        <v>show blot</v>
      </c>
      <c r="G8036" t="s">
        <v>7786</v>
      </c>
      <c r="I8036" s="6">
        <v>3.3254627166995006</v>
      </c>
      <c r="K8036" s="8"/>
    </row>
    <row r="8037" spans="1:11" ht="15" x14ac:dyDescent="0.25">
      <c r="A8037" s="3" t="str">
        <f>HYPERLINK("proteomic_fractions_linear_files/Yang_linear_img/7305605.jpg", "7305605")</f>
        <v>7305605</v>
      </c>
      <c r="C8037" s="3" t="str">
        <f>HYPERLINK("http://www.ncbi.nlm.nih.gov/protein/7305605","Ubp1")</f>
        <v>Ubp1</v>
      </c>
      <c r="E8037" t="str">
        <f>HYPERLINK("J:\Depot - mpkCCD Fractions\Main Web Page\Web Pages_old\proteomic_fractions_linear_files/Yang_linear_img/7305605.jpg","show blot")</f>
        <v>show blot</v>
      </c>
      <c r="G8037" t="s">
        <v>7787</v>
      </c>
      <c r="I8037" s="6">
        <v>3.3254627166995006</v>
      </c>
      <c r="K8037" s="8"/>
    </row>
    <row r="8038" spans="1:11" ht="15" x14ac:dyDescent="0.25">
      <c r="A8038" s="3" t="str">
        <f>HYPERLINK("proteomic_fractions_linear_files/Yang_linear_img/22726191.jpg", "22726191")</f>
        <v>22726191</v>
      </c>
      <c r="C8038" s="3" t="str">
        <f>HYPERLINK("http://www.ncbi.nlm.nih.gov/protein/22726191","Ubqln1")</f>
        <v>Ubqln1</v>
      </c>
      <c r="E8038" t="str">
        <f>HYPERLINK("J:\Depot - mpkCCD Fractions\Main Web Page\Web Pages_old\proteomic_fractions_linear_files/Yang_linear_img/22726191.jpg","show blot")</f>
        <v>show blot</v>
      </c>
      <c r="G8038" t="s">
        <v>7788</v>
      </c>
      <c r="I8038" s="6">
        <v>4.5487368569420248</v>
      </c>
      <c r="K8038" s="8"/>
    </row>
    <row r="8039" spans="1:11" ht="15" x14ac:dyDescent="0.25">
      <c r="A8039" s="3" t="str">
        <f>HYPERLINK("proteomic_fractions_linear_files/Yang_linear_img/295054230.jpg", "295054230")</f>
        <v>295054230</v>
      </c>
      <c r="C8039" s="3" t="str">
        <f>HYPERLINK("http://www.ncbi.nlm.nih.gov/protein/295054230","Ubqln1")</f>
        <v>Ubqln1</v>
      </c>
      <c r="E8039" t="str">
        <f>HYPERLINK("J:\Depot - mpkCCD Fractions\Main Web Page\Web Pages_old\proteomic_fractions_linear_files/Yang_linear_img/295054230.jpg","show blot")</f>
        <v>show blot</v>
      </c>
      <c r="G8039" t="s">
        <v>7789</v>
      </c>
      <c r="I8039" s="6">
        <v>4.5487368569420248</v>
      </c>
      <c r="K8039" s="8"/>
    </row>
    <row r="8040" spans="1:11" ht="15" x14ac:dyDescent="0.25">
      <c r="A8040" s="3" t="str">
        <f>HYPERLINK("proteomic_fractions_linear_files/Yang_linear_img/34328236.jpg", "34328236")</f>
        <v>34328236</v>
      </c>
      <c r="C8040" s="3" t="str">
        <f>HYPERLINK("http://www.ncbi.nlm.nih.gov/protein/34328236","Ubqln2")</f>
        <v>Ubqln2</v>
      </c>
      <c r="E8040" t="str">
        <f>HYPERLINK("J:\Depot - mpkCCD Fractions\Main Web Page\Web Pages_old\proteomic_fractions_linear_files/Yang_linear_img/34328236.jpg","show blot")</f>
        <v>show blot</v>
      </c>
      <c r="G8040" t="s">
        <v>7790</v>
      </c>
      <c r="I8040" s="6">
        <v>4.9745012041607559</v>
      </c>
      <c r="K8040" s="8"/>
    </row>
    <row r="8041" spans="1:11" ht="15" x14ac:dyDescent="0.25">
      <c r="A8041" s="3" t="str">
        <f>HYPERLINK("proteomic_fractions_linear_files/Yang_linear_img/15805016.jpg", "15805016")</f>
        <v>15805016</v>
      </c>
      <c r="C8041" s="3" t="str">
        <f>HYPERLINK("http://www.ncbi.nlm.nih.gov/protein/15805016","Ubqln4")</f>
        <v>Ubqln4</v>
      </c>
      <c r="E8041" t="str">
        <f>HYPERLINK("J:\Depot - mpkCCD Fractions\Main Web Page\Web Pages_old\proteomic_fractions_linear_files/Yang_linear_img/15805016.jpg","show blot")</f>
        <v>show blot</v>
      </c>
      <c r="G8041" t="s">
        <v>7791</v>
      </c>
      <c r="I8041" s="6">
        <v>4.4335975196585826</v>
      </c>
      <c r="K8041" s="8"/>
    </row>
    <row r="8042" spans="1:11" ht="15" x14ac:dyDescent="0.25">
      <c r="A8042" s="3" t="str">
        <f>HYPERLINK("proteomic_fractions_linear_files/Yang_linear_img/154091026.jpg", "154091026")</f>
        <v>154091026</v>
      </c>
      <c r="C8042" s="3" t="str">
        <f>HYPERLINK("http://www.ncbi.nlm.nih.gov/protein/154091026","Ubr1")</f>
        <v>Ubr1</v>
      </c>
      <c r="E8042" t="str">
        <f>HYPERLINK("J:\Depot - mpkCCD Fractions\Main Web Page\Web Pages_old\proteomic_fractions_linear_files/Yang_linear_img/154091026.jpg","show blot")</f>
        <v>show blot</v>
      </c>
      <c r="G8042" t="s">
        <v>7792</v>
      </c>
      <c r="I8042" s="6">
        <v>3.6942128899355713</v>
      </c>
      <c r="K8042" s="8"/>
    </row>
    <row r="8043" spans="1:11" ht="15" x14ac:dyDescent="0.25">
      <c r="A8043" s="3" t="str">
        <f>HYPERLINK("proteomic_fractions_linear_files/Yang_linear_img/293651567.jpg", "293651567")</f>
        <v>293651567</v>
      </c>
      <c r="C8043" s="3" t="str">
        <f>HYPERLINK("http://www.ncbi.nlm.nih.gov/protein/293651567","Ubr2")</f>
        <v>Ubr2</v>
      </c>
      <c r="E8043" t="str">
        <f>HYPERLINK("J:\Depot - mpkCCD Fractions\Main Web Page\Web Pages_old\proteomic_fractions_linear_files/Yang_linear_img/293651567.jpg","show blot")</f>
        <v>show blot</v>
      </c>
      <c r="G8043" t="s">
        <v>7793</v>
      </c>
      <c r="I8043" s="6">
        <v>4.0187761180189741</v>
      </c>
      <c r="K8043" s="8"/>
    </row>
    <row r="8044" spans="1:11" ht="15" x14ac:dyDescent="0.25">
      <c r="A8044" s="3" t="str">
        <f>HYPERLINK("proteomic_fractions_linear_files/Yang_linear_img/58615693.jpg", "58615693")</f>
        <v>58615693</v>
      </c>
      <c r="C8044" s="3" t="str">
        <f>HYPERLINK("http://www.ncbi.nlm.nih.gov/protein/58615693","Ubr2")</f>
        <v>Ubr2</v>
      </c>
      <c r="E8044" t="str">
        <f>HYPERLINK("J:\Depot - mpkCCD Fractions\Main Web Page\Web Pages_old\proteomic_fractions_linear_files/Yang_linear_img/58615693.jpg","show blot")</f>
        <v>show blot</v>
      </c>
      <c r="G8044" t="s">
        <v>7794</v>
      </c>
      <c r="I8044" s="6">
        <v>4.0187761180189741</v>
      </c>
      <c r="K8044" s="8"/>
    </row>
    <row r="8045" spans="1:11" ht="15" x14ac:dyDescent="0.25">
      <c r="A8045" s="3" t="str">
        <f>HYPERLINK("proteomic_fractions_linear_files/Yang_linear_img/160948616.jpg", "160948616")</f>
        <v>160948616</v>
      </c>
      <c r="C8045" s="3" t="str">
        <f>HYPERLINK("http://www.ncbi.nlm.nih.gov/protein/160948616","Ubr3")</f>
        <v>Ubr3</v>
      </c>
      <c r="E8045" t="str">
        <f>HYPERLINK("J:\Depot - mpkCCD Fractions\Main Web Page\Web Pages_old\proteomic_fractions_linear_files/Yang_linear_img/160948616.jpg","show blot")</f>
        <v>show blot</v>
      </c>
      <c r="G8045" t="s">
        <v>7795</v>
      </c>
      <c r="I8045" s="6">
        <v>3.7236328486237324</v>
      </c>
      <c r="K8045" s="8"/>
    </row>
    <row r="8046" spans="1:11" ht="15" x14ac:dyDescent="0.25">
      <c r="A8046" s="3" t="str">
        <f>HYPERLINK("proteomic_fractions_linear_files/Yang_linear_img/160948614.jpg", "160948614")</f>
        <v>160948614</v>
      </c>
      <c r="C8046" s="3" t="str">
        <f>HYPERLINK("http://www.ncbi.nlm.nih.gov/protein/160948614","Ubr3")</f>
        <v>Ubr3</v>
      </c>
      <c r="E8046" t="str">
        <f>HYPERLINK("J:\Depot - mpkCCD Fractions\Main Web Page\Web Pages_old\proteomic_fractions_linear_files/Yang_linear_img/160948614.jpg","show blot")</f>
        <v>show blot</v>
      </c>
      <c r="G8046" t="s">
        <v>7796</v>
      </c>
      <c r="I8046" s="6">
        <v>3.7236328486237324</v>
      </c>
      <c r="K8046" s="8"/>
    </row>
    <row r="8047" spans="1:11" ht="15" x14ac:dyDescent="0.25">
      <c r="A8047" s="3" t="str">
        <f>HYPERLINK("proteomic_fractions_linear_files/Yang_linear_img/237820660.jpg", "237820660")</f>
        <v>237820660</v>
      </c>
      <c r="C8047" s="3" t="str">
        <f>HYPERLINK("http://www.ncbi.nlm.nih.gov/protein/237820660","Ubr4")</f>
        <v>Ubr4</v>
      </c>
      <c r="E8047" t="str">
        <f>HYPERLINK("J:\Depot - mpkCCD Fractions\Main Web Page\Web Pages_old\proteomic_fractions_linear_files/Yang_linear_img/237820660.jpg","show blot")</f>
        <v>show blot</v>
      </c>
      <c r="G8047" t="s">
        <v>7797</v>
      </c>
      <c r="I8047" s="6">
        <v>5.2037067770849195</v>
      </c>
      <c r="K8047" s="8"/>
    </row>
    <row r="8048" spans="1:11" ht="15" x14ac:dyDescent="0.25">
      <c r="A8048" s="3" t="str">
        <f>HYPERLINK("proteomic_fractions_linear_files/Yang_linear_img/163310751.jpg", "163310751")</f>
        <v>163310751</v>
      </c>
      <c r="C8048" s="3" t="str">
        <f>HYPERLINK("http://www.ncbi.nlm.nih.gov/protein/163310751","Ubr5")</f>
        <v>Ubr5</v>
      </c>
      <c r="E8048" t="str">
        <f>HYPERLINK("J:\Depot - mpkCCD Fractions\Main Web Page\Web Pages_old\proteomic_fractions_linear_files/Yang_linear_img/163310751.jpg","show blot")</f>
        <v>show blot</v>
      </c>
      <c r="G8048" t="s">
        <v>7798</v>
      </c>
      <c r="I8048" s="6">
        <v>4.1948040269772262</v>
      </c>
      <c r="K8048" s="8"/>
    </row>
    <row r="8049" spans="1:11" ht="15" x14ac:dyDescent="0.25">
      <c r="A8049" s="3" t="str">
        <f>HYPERLINK("proteomic_fractions_linear_files/Yang_linear_img/163310753.jpg", "163310753")</f>
        <v>163310753</v>
      </c>
      <c r="C8049" s="3" t="str">
        <f>HYPERLINK("http://www.ncbi.nlm.nih.gov/protein/163310753","Ubr5")</f>
        <v>Ubr5</v>
      </c>
      <c r="E8049" t="str">
        <f>HYPERLINK("J:\Depot - mpkCCD Fractions\Main Web Page\Web Pages_old\proteomic_fractions_linear_files/Yang_linear_img/163310753.jpg","show blot")</f>
        <v>show blot</v>
      </c>
      <c r="G8049" t="s">
        <v>7799</v>
      </c>
      <c r="I8049" s="6">
        <v>4.1948040269772262</v>
      </c>
      <c r="K8049" s="8"/>
    </row>
    <row r="8050" spans="1:11" ht="15" x14ac:dyDescent="0.25">
      <c r="A8050" s="3" t="str">
        <f>HYPERLINK("proteomic_fractions_linear_files/Yang_linear_img/29789154.jpg", "29789154")</f>
        <v>29789154</v>
      </c>
      <c r="C8050" s="3" t="str">
        <f>HYPERLINK("http://www.ncbi.nlm.nih.gov/protein/29789154","Ubr7")</f>
        <v>Ubr7</v>
      </c>
      <c r="E8050" t="str">
        <f>HYPERLINK("J:\Depot - mpkCCD Fractions\Main Web Page\Web Pages_old\proteomic_fractions_linear_files/Yang_linear_img/29789154.jpg","show blot")</f>
        <v>show blot</v>
      </c>
      <c r="G8050" t="s">
        <v>7800</v>
      </c>
      <c r="I8050" s="6">
        <v>4.7416597748873626</v>
      </c>
      <c r="K8050" s="8"/>
    </row>
    <row r="8051" spans="1:11" ht="15" x14ac:dyDescent="0.25">
      <c r="A8051" s="3" t="str">
        <f>HYPERLINK("proteomic_fractions_linear_files/Yang_linear_img/21703984.jpg", "21703984")</f>
        <v>21703984</v>
      </c>
      <c r="C8051" s="3" t="str">
        <f>HYPERLINK("http://www.ncbi.nlm.nih.gov/protein/21703984","Ubtd1")</f>
        <v>Ubtd1</v>
      </c>
      <c r="E8051" t="str">
        <f>HYPERLINK("J:\Depot - mpkCCD Fractions\Main Web Page\Web Pages_old\proteomic_fractions_linear_files/Yang_linear_img/21703984.jpg","show blot")</f>
        <v>show blot</v>
      </c>
      <c r="G8051" t="s">
        <v>7801</v>
      </c>
      <c r="I8051" s="6">
        <v>3.9147027470991351</v>
      </c>
      <c r="K8051" s="8"/>
    </row>
    <row r="8052" spans="1:11" ht="15" x14ac:dyDescent="0.25">
      <c r="A8052" s="3" t="str">
        <f>HYPERLINK("proteomic_fractions_linear_files/Yang_linear_img/40254263.jpg", "40254263")</f>
        <v>40254263</v>
      </c>
      <c r="C8052" s="3" t="str">
        <f>HYPERLINK("http://www.ncbi.nlm.nih.gov/protein/40254263","Ubtd2")</f>
        <v>Ubtd2</v>
      </c>
      <c r="E8052" t="str">
        <f>HYPERLINK("J:\Depot - mpkCCD Fractions\Main Web Page\Web Pages_old\proteomic_fractions_linear_files/Yang_linear_img/40254263.jpg","show blot")</f>
        <v>show blot</v>
      </c>
      <c r="G8052" t="s">
        <v>7802</v>
      </c>
      <c r="I8052" s="6">
        <v>3.7525821965263799</v>
      </c>
      <c r="K8052" s="8"/>
    </row>
    <row r="8053" spans="1:11" ht="15" x14ac:dyDescent="0.25">
      <c r="A8053" s="3" t="str">
        <f>HYPERLINK("proteomic_fractions_linear_files/Yang_linear_img/113205053.jpg", "113205053")</f>
        <v>113205053</v>
      </c>
      <c r="C8053" s="3" t="str">
        <f>HYPERLINK("http://www.ncbi.nlm.nih.gov/protein/113205053","Ubtf")</f>
        <v>Ubtf</v>
      </c>
      <c r="E8053" t="str">
        <f>HYPERLINK("J:\Depot - mpkCCD Fractions\Main Web Page\Web Pages_old\proteomic_fractions_linear_files/Yang_linear_img/113205053.jpg","show blot")</f>
        <v>show blot</v>
      </c>
      <c r="G8053" t="s">
        <v>7803</v>
      </c>
      <c r="I8053" s="6">
        <v>3.889733533911079</v>
      </c>
      <c r="K8053" s="8"/>
    </row>
    <row r="8054" spans="1:11" ht="15" x14ac:dyDescent="0.25">
      <c r="A8054" s="3" t="str">
        <f>HYPERLINK("proteomic_fractions_linear_files/Yang_linear_img/113205057.jpg", "113205057")</f>
        <v>113205057</v>
      </c>
      <c r="C8054" s="3" t="str">
        <f>HYPERLINK("http://www.ncbi.nlm.nih.gov/protein/113205057","Ubtf")</f>
        <v>Ubtf</v>
      </c>
      <c r="E8054" t="str">
        <f>HYPERLINK("J:\Depot - mpkCCD Fractions\Main Web Page\Web Pages_old\proteomic_fractions_linear_files/Yang_linear_img/113205057.jpg","show blot")</f>
        <v>show blot</v>
      </c>
      <c r="G8054" t="s">
        <v>7804</v>
      </c>
      <c r="I8054" s="6">
        <v>3.889733533911079</v>
      </c>
      <c r="K8054" s="8"/>
    </row>
    <row r="8055" spans="1:11" ht="15" x14ac:dyDescent="0.25">
      <c r="A8055" s="3" t="str">
        <f>HYPERLINK("proteomic_fractions_linear_files/Yang_linear_img/22122591.jpg", "22122591")</f>
        <v>22122591</v>
      </c>
      <c r="C8055" s="3" t="str">
        <f>HYPERLINK("http://www.ncbi.nlm.nih.gov/protein/22122591","Ubxn1")</f>
        <v>Ubxn1</v>
      </c>
      <c r="E8055" t="str">
        <f>HYPERLINK("J:\Depot - mpkCCD Fractions\Main Web Page\Web Pages_old\proteomic_fractions_linear_files/Yang_linear_img/22122591.jpg","show blot")</f>
        <v>show blot</v>
      </c>
      <c r="G8055" t="s">
        <v>7805</v>
      </c>
      <c r="I8055" s="6">
        <v>5.5559156142064712</v>
      </c>
      <c r="K8055" s="8"/>
    </row>
    <row r="8056" spans="1:11" ht="15" x14ac:dyDescent="0.25">
      <c r="A8056" s="3" t="str">
        <f>HYPERLINK("proteomic_fractions_linear_files/Yang_linear_img/85861252.jpg", "85861252")</f>
        <v>85861252</v>
      </c>
      <c r="C8056" s="3" t="str">
        <f>HYPERLINK("http://www.ncbi.nlm.nih.gov/protein/85861252","Ubxn4")</f>
        <v>Ubxn4</v>
      </c>
      <c r="E8056" t="str">
        <f>HYPERLINK("J:\Depot - mpkCCD Fractions\Main Web Page\Web Pages_old\proteomic_fractions_linear_files/Yang_linear_img/85861252.jpg","show blot")</f>
        <v>show blot</v>
      </c>
      <c r="G8056" t="s">
        <v>7806</v>
      </c>
      <c r="I8056" s="6">
        <v>4.5206094377451391</v>
      </c>
      <c r="K8056" s="8"/>
    </row>
    <row r="8057" spans="1:11" ht="15" x14ac:dyDescent="0.25">
      <c r="A8057" s="3" t="str">
        <f>HYPERLINK("proteomic_fractions_linear_files/Yang_linear_img/13277354.jpg", "13277354")</f>
        <v>13277354</v>
      </c>
      <c r="C8057" s="3" t="str">
        <f>HYPERLINK("http://www.ncbi.nlm.nih.gov/protein/13277354","Ubxn6")</f>
        <v>Ubxn6</v>
      </c>
      <c r="E8057" t="str">
        <f>HYPERLINK("J:\Depot - mpkCCD Fractions\Main Web Page\Web Pages_old\proteomic_fractions_linear_files/Yang_linear_img/13277354.jpg","show blot")</f>
        <v>show blot</v>
      </c>
      <c r="G8057" t="s">
        <v>7807</v>
      </c>
      <c r="I8057" s="6">
        <v>4.8559775182402305</v>
      </c>
      <c r="K8057" s="8"/>
    </row>
    <row r="8058" spans="1:11" ht="15" x14ac:dyDescent="0.25">
      <c r="A8058" s="3" t="str">
        <f>HYPERLINK("proteomic_fractions_linear_files/Yang_linear_img/268839673.jpg", "268839673")</f>
        <v>268839673</v>
      </c>
      <c r="C8058" s="3" t="str">
        <f>HYPERLINK("http://www.ncbi.nlm.nih.gov/protein/268839673","Ubxn7")</f>
        <v>Ubxn7</v>
      </c>
      <c r="E8058" t="str">
        <f>HYPERLINK("J:\Depot - mpkCCD Fractions\Main Web Page\Web Pages_old\proteomic_fractions_linear_files/Yang_linear_img/268839673.jpg","show blot")</f>
        <v>show blot</v>
      </c>
      <c r="G8058" t="s">
        <v>7808</v>
      </c>
      <c r="I8058" s="6">
        <v>4.4646774849649926</v>
      </c>
      <c r="K8058" s="8"/>
    </row>
    <row r="8059" spans="1:11" ht="15" x14ac:dyDescent="0.25">
      <c r="A8059" s="3" t="str">
        <f>HYPERLINK("proteomic_fractions_linear_files/Yang_linear_img/139948802.jpg", "139948802")</f>
        <v>139948802</v>
      </c>
      <c r="C8059" s="3" t="str">
        <f>HYPERLINK("http://www.ncbi.nlm.nih.gov/protein/139948802","Uchl3")</f>
        <v>Uchl3</v>
      </c>
      <c r="E8059" t="str">
        <f>HYPERLINK("J:\Depot - mpkCCD Fractions\Main Web Page\Web Pages_old\proteomic_fractions_linear_files/Yang_linear_img/139948802.jpg","show blot")</f>
        <v>show blot</v>
      </c>
      <c r="G8059" t="s">
        <v>7809</v>
      </c>
      <c r="I8059" s="6">
        <v>6.0315626334716272</v>
      </c>
      <c r="K8059" s="8"/>
    </row>
    <row r="8060" spans="1:11" ht="15" x14ac:dyDescent="0.25">
      <c r="A8060" s="3" t="str">
        <f>HYPERLINK("proteomic_fractions_linear_files/Yang_linear_img/15809026.jpg", "15809026")</f>
        <v>15809026</v>
      </c>
      <c r="C8060" s="3" t="str">
        <f>HYPERLINK("http://www.ncbi.nlm.nih.gov/protein/15809026","Uchl4")</f>
        <v>Uchl4</v>
      </c>
      <c r="E8060" t="str">
        <f>HYPERLINK("J:\Depot - mpkCCD Fractions\Main Web Page\Web Pages_old\proteomic_fractions_linear_files/Yang_linear_img/15809026.jpg","show blot")</f>
        <v>show blot</v>
      </c>
      <c r="G8060" t="s">
        <v>7810</v>
      </c>
      <c r="I8060" s="6">
        <v>5.7191476833954669</v>
      </c>
      <c r="K8060" s="8"/>
    </row>
    <row r="8061" spans="1:11" ht="15" x14ac:dyDescent="0.25">
      <c r="A8061" s="3" t="str">
        <f>HYPERLINK("proteomic_fractions_linear_files/Yang_linear_img/229577281.jpg", "229577281")</f>
        <v>229577281</v>
      </c>
      <c r="C8061" s="3" t="str">
        <f>HYPERLINK("http://www.ncbi.nlm.nih.gov/protein/229577281","Uchl5")</f>
        <v>Uchl5</v>
      </c>
      <c r="E8061" t="str">
        <f>HYPERLINK("J:\Depot - mpkCCD Fractions\Main Web Page\Web Pages_old\proteomic_fractions_linear_files/Yang_linear_img/229577281.jpg","show blot")</f>
        <v>show blot</v>
      </c>
      <c r="G8061" t="s">
        <v>7811</v>
      </c>
      <c r="I8061" s="6">
        <v>5.4347842248166662</v>
      </c>
      <c r="K8061" s="8"/>
    </row>
    <row r="8062" spans="1:11" ht="15" x14ac:dyDescent="0.25">
      <c r="A8062" s="3" t="str">
        <f>HYPERLINK("proteomic_fractions_linear_files/Yang_linear_img/229577283.jpg", "229577283")</f>
        <v>229577283</v>
      </c>
      <c r="C8062" s="3" t="str">
        <f>HYPERLINK("http://www.ncbi.nlm.nih.gov/protein/229577283","Uchl5")</f>
        <v>Uchl5</v>
      </c>
      <c r="E8062" t="str">
        <f>HYPERLINK("J:\Depot - mpkCCD Fractions\Main Web Page\Web Pages_old\proteomic_fractions_linear_files/Yang_linear_img/229577283.jpg","show blot")</f>
        <v>show blot</v>
      </c>
      <c r="G8062" t="s">
        <v>7812</v>
      </c>
      <c r="I8062" s="6">
        <v>5.4347842248166662</v>
      </c>
      <c r="K8062" s="8"/>
    </row>
    <row r="8063" spans="1:11" ht="15" x14ac:dyDescent="0.25">
      <c r="A8063" s="3" t="str">
        <f>HYPERLINK("proteomic_fractions_linear_files/Yang_linear_img/227498248.jpg", "227498248")</f>
        <v>227498248</v>
      </c>
      <c r="C8063" s="3" t="str">
        <f>HYPERLINK("http://www.ncbi.nlm.nih.gov/protein/227498248","Uck1")</f>
        <v>Uck1</v>
      </c>
      <c r="E8063" t="str">
        <f>HYPERLINK("J:\Depot - mpkCCD Fractions\Main Web Page\Web Pages_old\proteomic_fractions_linear_files/Yang_linear_img/227498248.jpg","show blot")</f>
        <v>show blot</v>
      </c>
      <c r="G8063" t="s">
        <v>7813</v>
      </c>
      <c r="I8063" s="6">
        <v>4.6933657219441232</v>
      </c>
      <c r="K8063" s="8"/>
    </row>
    <row r="8064" spans="1:11" ht="15" x14ac:dyDescent="0.25">
      <c r="A8064" s="3" t="str">
        <f>HYPERLINK("proteomic_fractions_linear_files/Yang_linear_img/13507680.jpg", "13507680")</f>
        <v>13507680</v>
      </c>
      <c r="C8064" s="3" t="str">
        <f>HYPERLINK("http://www.ncbi.nlm.nih.gov/protein/13507680","Uck2")</f>
        <v>Uck2</v>
      </c>
      <c r="E8064" t="str">
        <f>HYPERLINK("J:\Depot - mpkCCD Fractions\Main Web Page\Web Pages_old\proteomic_fractions_linear_files/Yang_linear_img/13507680.jpg","show blot")</f>
        <v>show blot</v>
      </c>
      <c r="G8064" t="s">
        <v>7814</v>
      </c>
      <c r="I8064" s="6">
        <v>4.8423153751390924</v>
      </c>
      <c r="K8064" s="8"/>
    </row>
    <row r="8065" spans="1:11" ht="15" x14ac:dyDescent="0.25">
      <c r="A8065" s="3" t="str">
        <f>HYPERLINK("proteomic_fractions_linear_files/Yang_linear_img/31541796.jpg", "31541796")</f>
        <v>31541796</v>
      </c>
      <c r="C8065" s="3" t="str">
        <f>HYPERLINK("http://www.ncbi.nlm.nih.gov/protein/31541796","Uckl1")</f>
        <v>Uckl1</v>
      </c>
      <c r="E8065" t="str">
        <f>HYPERLINK("J:\Depot - mpkCCD Fractions\Main Web Page\Web Pages_old\proteomic_fractions_linear_files/Yang_linear_img/31541796.jpg","show blot")</f>
        <v>show blot</v>
      </c>
      <c r="G8065" t="s">
        <v>7815</v>
      </c>
      <c r="I8065" s="6">
        <v>4.2875154212498874</v>
      </c>
      <c r="K8065" s="8"/>
    </row>
    <row r="8066" spans="1:11" ht="15" x14ac:dyDescent="0.25">
      <c r="A8066" s="3" t="str">
        <f>HYPERLINK("proteomic_fractions_linear_files/Yang_linear_img/104294890.jpg", "104294890")</f>
        <v>104294890</v>
      </c>
      <c r="C8066" s="3" t="str">
        <f>HYPERLINK("http://www.ncbi.nlm.nih.gov/protein/104294890","Uevld")</f>
        <v>Uevld</v>
      </c>
      <c r="E8066" t="str">
        <f>HYPERLINK("J:\Depot - mpkCCD Fractions\Main Web Page\Web Pages_old\proteomic_fractions_linear_files/Yang_linear_img/104294890.jpg","show blot")</f>
        <v>show blot</v>
      </c>
      <c r="G8066" t="s">
        <v>7816</v>
      </c>
      <c r="I8066" s="6">
        <v>5.1443249398549851</v>
      </c>
      <c r="K8066" s="8"/>
    </row>
    <row r="8067" spans="1:11" ht="15" x14ac:dyDescent="0.25">
      <c r="A8067" s="3" t="str">
        <f>HYPERLINK("proteomic_fractions_linear_files/Yang_linear_img/13384768.jpg", "13384768")</f>
        <v>13384768</v>
      </c>
      <c r="C8067" s="3" t="str">
        <f>HYPERLINK("http://www.ncbi.nlm.nih.gov/protein/13384768","Ufc1")</f>
        <v>Ufc1</v>
      </c>
      <c r="E8067" t="str">
        <f>HYPERLINK("J:\Depot - mpkCCD Fractions\Main Web Page\Web Pages_old\proteomic_fractions_linear_files/Yang_linear_img/13384768.jpg","show blot")</f>
        <v>show blot</v>
      </c>
      <c r="G8067" t="s">
        <v>7817</v>
      </c>
      <c r="I8067" s="6">
        <v>4.3900767144061872</v>
      </c>
      <c r="K8067" s="8"/>
    </row>
    <row r="8068" spans="1:11" ht="15" x14ac:dyDescent="0.25">
      <c r="A8068" s="3" t="str">
        <f>HYPERLINK("proteomic_fractions_linear_files/Yang_linear_img/257153392.jpg", "257153392")</f>
        <v>257153392</v>
      </c>
      <c r="C8068" s="3" t="str">
        <f>HYPERLINK("http://www.ncbi.nlm.nih.gov/protein/257153392","Ufd1l")</f>
        <v>Ufd1l</v>
      </c>
      <c r="E8068" t="str">
        <f>HYPERLINK("J:\Depot - mpkCCD Fractions\Main Web Page\Web Pages_old\proteomic_fractions_linear_files/Yang_linear_img/257153392.jpg","show blot")</f>
        <v>show blot</v>
      </c>
      <c r="G8068" t="s">
        <v>7818</v>
      </c>
      <c r="I8068" s="6">
        <v>5.248104559773199</v>
      </c>
      <c r="K8068" s="8"/>
    </row>
    <row r="8069" spans="1:11" ht="15" x14ac:dyDescent="0.25">
      <c r="A8069" s="3" t="str">
        <f>HYPERLINK("proteomic_fractions_linear_files/Yang_linear_img/227330590.jpg", "227330590")</f>
        <v>227330590</v>
      </c>
      <c r="C8069" s="3" t="str">
        <f>HYPERLINK("http://www.ncbi.nlm.nih.gov/protein/227330590","Ufl1")</f>
        <v>Ufl1</v>
      </c>
      <c r="E8069" t="str">
        <f>HYPERLINK("J:\Depot - mpkCCD Fractions\Main Web Page\Web Pages_old\proteomic_fractions_linear_files/Yang_linear_img/227330590.jpg","show blot")</f>
        <v>show blot</v>
      </c>
      <c r="G8069" t="s">
        <v>7819</v>
      </c>
      <c r="I8069" s="6">
        <v>2.5427174966574935</v>
      </c>
      <c r="K8069" s="8"/>
    </row>
    <row r="8070" spans="1:11" ht="15" x14ac:dyDescent="0.25">
      <c r="A8070" s="3" t="str">
        <f>HYPERLINK("proteomic_fractions_linear_files/Yang_linear_img/13385932.jpg", "13385932")</f>
        <v>13385932</v>
      </c>
      <c r="C8070" s="3" t="str">
        <f>HYPERLINK("http://www.ncbi.nlm.nih.gov/protein/13385932","Ufm1")</f>
        <v>Ufm1</v>
      </c>
      <c r="E8070" t="str">
        <f>HYPERLINK("J:\Depot - mpkCCD Fractions\Main Web Page\Web Pages_old\proteomic_fractions_linear_files/Yang_linear_img/13385932.jpg","show blot")</f>
        <v>show blot</v>
      </c>
      <c r="G8070" t="s">
        <v>7820</v>
      </c>
      <c r="I8070" s="6">
        <v>3.7747439884634124</v>
      </c>
      <c r="K8070" s="8"/>
    </row>
    <row r="8071" spans="1:11" ht="15" x14ac:dyDescent="0.25">
      <c r="A8071" s="3" t="str">
        <f>HYPERLINK("proteomic_fractions_linear_files/Yang_linear_img/20149754.jpg", "20149754")</f>
        <v>20149754</v>
      </c>
      <c r="C8071" s="3" t="str">
        <f>HYPERLINK("http://www.ncbi.nlm.nih.gov/protein/20149754","Ufsp2")</f>
        <v>Ufsp2</v>
      </c>
      <c r="E8071" t="str">
        <f>HYPERLINK("J:\Depot - mpkCCD Fractions\Main Web Page\Web Pages_old\proteomic_fractions_linear_files/Yang_linear_img/20149754.jpg","show blot")</f>
        <v>show blot</v>
      </c>
      <c r="G8071" t="s">
        <v>7821</v>
      </c>
      <c r="I8071" s="6">
        <v>3.7307784156475687</v>
      </c>
      <c r="K8071" s="8"/>
    </row>
    <row r="8072" spans="1:11" ht="15" x14ac:dyDescent="0.25">
      <c r="A8072" s="3" t="str">
        <f>HYPERLINK("proteomic_fractions_linear_files/Yang_linear_img/6678499.jpg", "6678499")</f>
        <v>6678499</v>
      </c>
      <c r="C8072" s="3" t="str">
        <f>HYPERLINK("http://www.ncbi.nlm.nih.gov/protein/6678499","Ugdh")</f>
        <v>Ugdh</v>
      </c>
      <c r="E8072" t="str">
        <f>HYPERLINK("J:\Depot - mpkCCD Fractions\Main Web Page\Web Pages_old\proteomic_fractions_linear_files/Yang_linear_img/6678499.jpg","show blot")</f>
        <v>show blot</v>
      </c>
      <c r="G8072" t="s">
        <v>7822</v>
      </c>
      <c r="I8072" s="6">
        <v>5.8162704159084342</v>
      </c>
      <c r="K8072" s="8"/>
    </row>
    <row r="8073" spans="1:11" ht="15" x14ac:dyDescent="0.25">
      <c r="A8073" s="3" t="str">
        <f>HYPERLINK("proteomic_fractions_linear_files/Yang_linear_img/236466498.jpg", "236466498")</f>
        <v>236466498</v>
      </c>
      <c r="C8073" s="3" t="str">
        <f>HYPERLINK("http://www.ncbi.nlm.nih.gov/protein/236466498","Uggt1")</f>
        <v>Uggt1</v>
      </c>
      <c r="E8073" t="str">
        <f>HYPERLINK("J:\Depot - mpkCCD Fractions\Main Web Page\Web Pages_old\proteomic_fractions_linear_files/Yang_linear_img/236466498.jpg","show blot")</f>
        <v>show blot</v>
      </c>
      <c r="G8073" t="s">
        <v>7823</v>
      </c>
      <c r="I8073" s="6">
        <v>4.7456785875696994</v>
      </c>
      <c r="K8073" s="8"/>
    </row>
    <row r="8074" spans="1:11" ht="15" x14ac:dyDescent="0.25">
      <c r="A8074" s="3" t="str">
        <f>HYPERLINK("proteomic_fractions_linear_files/Yang_linear_img/158749642.jpg", "158749642")</f>
        <v>158749642</v>
      </c>
      <c r="C8074" s="3" t="str">
        <f>HYPERLINK("http://www.ncbi.nlm.nih.gov/protein/158749642","Uggt2")</f>
        <v>Uggt2</v>
      </c>
      <c r="E8074" t="str">
        <f>HYPERLINK("J:\Depot - mpkCCD Fractions\Main Web Page\Web Pages_old\proteomic_fractions_linear_files/Yang_linear_img/158749642.jpg","show blot")</f>
        <v>show blot</v>
      </c>
      <c r="G8074" t="s">
        <v>7824</v>
      </c>
      <c r="I8074" s="6">
        <v>2.8841603129486884</v>
      </c>
      <c r="K8074" s="8"/>
    </row>
    <row r="8075" spans="1:11" ht="15" x14ac:dyDescent="0.25">
      <c r="A8075" s="3" t="str">
        <f>HYPERLINK("proteomic_fractions_linear_files/Yang_linear_img/21314832.jpg", "21314832")</f>
        <v>21314832</v>
      </c>
      <c r="C8075" s="3" t="str">
        <f>HYPERLINK("http://www.ncbi.nlm.nih.gov/protein/21314832","Ugp2")</f>
        <v>Ugp2</v>
      </c>
      <c r="E8075" t="str">
        <f>HYPERLINK("J:\Depot - mpkCCD Fractions\Main Web Page\Web Pages_old\proteomic_fractions_linear_files/Yang_linear_img/21314832.jpg","show blot")</f>
        <v>show blot</v>
      </c>
      <c r="G8075" t="s">
        <v>7825</v>
      </c>
      <c r="I8075" s="6">
        <v>5.5723547774313182</v>
      </c>
      <c r="K8075" s="8"/>
    </row>
    <row r="8076" spans="1:11" ht="15" x14ac:dyDescent="0.25">
      <c r="A8076" s="3" t="str">
        <f>HYPERLINK("proteomic_fractions_linear_files/Yang_linear_img/31543926.jpg", "31543926")</f>
        <v>31543926</v>
      </c>
      <c r="C8076" s="3" t="str">
        <f>HYPERLINK("http://www.ncbi.nlm.nih.gov/protein/31543926","Ugt8a")</f>
        <v>Ugt8a</v>
      </c>
      <c r="E8076" t="str">
        <f>HYPERLINK("J:\Depot - mpkCCD Fractions\Main Web Page\Web Pages_old\proteomic_fractions_linear_files/Yang_linear_img/31543926.jpg","show blot")</f>
        <v>show blot</v>
      </c>
      <c r="G8076" t="s">
        <v>7826</v>
      </c>
      <c r="I8076" s="6">
        <v>3.385152681677007</v>
      </c>
      <c r="K8076" s="8"/>
    </row>
    <row r="8077" spans="1:11" ht="15" x14ac:dyDescent="0.25">
      <c r="A8077" s="3" t="str">
        <f>HYPERLINK("proteomic_fractions_linear_files/Yang_linear_img/161621269.jpg", "161621269")</f>
        <v>161621269</v>
      </c>
      <c r="C8077" s="3" t="str">
        <f>HYPERLINK("http://www.ncbi.nlm.nih.gov/protein/161621269","Uhrf1")</f>
        <v>Uhrf1</v>
      </c>
      <c r="E8077" t="str">
        <f>HYPERLINK("J:\Depot - mpkCCD Fractions\Main Web Page\Web Pages_old\proteomic_fractions_linear_files/Yang_linear_img/161621269.jpg","show blot")</f>
        <v>show blot</v>
      </c>
      <c r="G8077" t="s">
        <v>7827</v>
      </c>
      <c r="I8077" s="6">
        <v>4.9017842369706388</v>
      </c>
      <c r="K8077" s="8"/>
    </row>
    <row r="8078" spans="1:11" ht="15" x14ac:dyDescent="0.25">
      <c r="A8078" s="3" t="str">
        <f>HYPERLINK("proteomic_fractions_linear_files/Yang_linear_img/162287241.jpg", "162287241")</f>
        <v>162287241</v>
      </c>
      <c r="C8078" s="3" t="str">
        <f>HYPERLINK("http://www.ncbi.nlm.nih.gov/protein/162287241","Uhrf1")</f>
        <v>Uhrf1</v>
      </c>
      <c r="E8078" t="str">
        <f>HYPERLINK("J:\Depot - mpkCCD Fractions\Main Web Page\Web Pages_old\proteomic_fractions_linear_files/Yang_linear_img/162287241.jpg","show blot")</f>
        <v>show blot</v>
      </c>
      <c r="G8078" t="s">
        <v>7828</v>
      </c>
      <c r="I8078" s="6">
        <v>4.9017842369706388</v>
      </c>
      <c r="K8078" s="8"/>
    </row>
    <row r="8079" spans="1:11" ht="15" x14ac:dyDescent="0.25">
      <c r="A8079" s="3" t="str">
        <f>HYPERLINK("proteomic_fractions_linear_files/Yang_linear_img/124107591.jpg", "124107591")</f>
        <v>124107591</v>
      </c>
      <c r="C8079" s="3" t="str">
        <f>HYPERLINK("http://www.ncbi.nlm.nih.gov/protein/124107591","Uhrf1bp1")</f>
        <v>Uhrf1bp1</v>
      </c>
      <c r="E8079" t="str">
        <f>HYPERLINK("J:\Depot - mpkCCD Fractions\Main Web Page\Web Pages_old\proteomic_fractions_linear_files/Yang_linear_img/124107591.jpg","show blot")</f>
        <v>show blot</v>
      </c>
      <c r="G8079" t="s">
        <v>7829</v>
      </c>
      <c r="I8079" s="6">
        <v>4.074359253457521</v>
      </c>
      <c r="K8079" s="8"/>
    </row>
    <row r="8080" spans="1:11" ht="15" x14ac:dyDescent="0.25">
      <c r="A8080" s="3" t="str">
        <f>HYPERLINK("proteomic_fractions_linear_files/Yang_linear_img/33859498.jpg", "33859498")</f>
        <v>33859498</v>
      </c>
      <c r="C8080" s="3" t="str">
        <f>HYPERLINK("http://www.ncbi.nlm.nih.gov/protein/33859498","Umps")</f>
        <v>Umps</v>
      </c>
      <c r="E8080" t="str">
        <f>HYPERLINK("J:\Depot - mpkCCD Fractions\Main Web Page\Web Pages_old\proteomic_fractions_linear_files/Yang_linear_img/33859498.jpg","show blot")</f>
        <v>show blot</v>
      </c>
      <c r="G8080" t="s">
        <v>7830</v>
      </c>
      <c r="I8080" s="6">
        <v>5.995726309590764</v>
      </c>
      <c r="K8080" s="8"/>
    </row>
    <row r="8081" spans="1:11" ht="15" x14ac:dyDescent="0.25">
      <c r="A8081" s="3" t="str">
        <f>HYPERLINK("proteomic_fractions_linear_files/Yang_linear_img/6755939.jpg", "6755939")</f>
        <v>6755939</v>
      </c>
      <c r="C8081" s="3" t="str">
        <f>HYPERLINK("http://www.ncbi.nlm.nih.gov/protein/6755939","Unc119")</f>
        <v>Unc119</v>
      </c>
      <c r="E8081" t="str">
        <f>HYPERLINK("J:\Depot - mpkCCD Fractions\Main Web Page\Web Pages_old\proteomic_fractions_linear_files/Yang_linear_img/6755939.jpg","show blot")</f>
        <v>show blot</v>
      </c>
      <c r="G8081" t="s">
        <v>7831</v>
      </c>
      <c r="I8081" s="6">
        <v>3.4431116974794973</v>
      </c>
      <c r="K8081" s="8"/>
    </row>
    <row r="8082" spans="1:11" ht="15" x14ac:dyDescent="0.25">
      <c r="A8082" s="3" t="str">
        <f>HYPERLINK("proteomic_fractions_linear_files/Yang_linear_img/30425054.jpg", "30425054")</f>
        <v>30425054</v>
      </c>
      <c r="C8082" s="3" t="str">
        <f>HYPERLINK("http://www.ncbi.nlm.nih.gov/protein/30425054","Unc119b")</f>
        <v>Unc119b</v>
      </c>
      <c r="E8082" t="str">
        <f>HYPERLINK("J:\Depot - mpkCCD Fractions\Main Web Page\Web Pages_old\proteomic_fractions_linear_files/Yang_linear_img/30425054.jpg","show blot")</f>
        <v>show blot</v>
      </c>
      <c r="G8082" t="s">
        <v>7832</v>
      </c>
      <c r="I8082" s="6">
        <v>5.4378262974490559</v>
      </c>
      <c r="K8082" s="8"/>
    </row>
    <row r="8083" spans="1:11" ht="15" x14ac:dyDescent="0.25">
      <c r="A8083" s="3" t="str">
        <f>HYPERLINK("proteomic_fractions_linear_files/Yang_linear_img/124487217.jpg", "124487217")</f>
        <v>124487217</v>
      </c>
      <c r="C8083" s="3" t="str">
        <f>HYPERLINK("http://www.ncbi.nlm.nih.gov/protein/124487217","Unc13c")</f>
        <v>Unc13c</v>
      </c>
      <c r="E8083" t="str">
        <f>HYPERLINK("J:\Depot - mpkCCD Fractions\Main Web Page\Web Pages_old\proteomic_fractions_linear_files/Yang_linear_img/124487217.jpg","show blot")</f>
        <v>show blot</v>
      </c>
      <c r="G8083" t="s">
        <v>7833</v>
      </c>
      <c r="I8083" s="6">
        <v>2.1505550286657353</v>
      </c>
      <c r="K8083" s="8"/>
    </row>
    <row r="8084" spans="1:11" ht="15" x14ac:dyDescent="0.25">
      <c r="A8084" s="3" t="str">
        <f>HYPERLINK("proteomic_fractions_linear_files/Yang_linear_img/62243588.jpg", "62243588")</f>
        <v>62243588</v>
      </c>
      <c r="C8084" s="3" t="str">
        <f>HYPERLINK("http://www.ncbi.nlm.nih.gov/protein/62243588","Unc13d")</f>
        <v>Unc13d</v>
      </c>
      <c r="E8084" t="str">
        <f>HYPERLINK("J:\Depot - mpkCCD Fractions\Main Web Page\Web Pages_old\proteomic_fractions_linear_files/Yang_linear_img/62243588.jpg","show blot")</f>
        <v>show blot</v>
      </c>
      <c r="G8084" t="s">
        <v>7834</v>
      </c>
      <c r="I8084" s="6">
        <v>0.38866138415444546</v>
      </c>
      <c r="K8084" s="8"/>
    </row>
    <row r="8085" spans="1:11" ht="15" x14ac:dyDescent="0.25">
      <c r="A8085" s="3" t="str">
        <f>HYPERLINK("proteomic_fractions_linear_files/Yang_linear_img/227908790.jpg", "227908790")</f>
        <v>227908790</v>
      </c>
      <c r="C8085" s="3" t="str">
        <f>HYPERLINK("http://www.ncbi.nlm.nih.gov/protein/227908790","Unc45a")</f>
        <v>Unc45a</v>
      </c>
      <c r="E8085" t="str">
        <f>HYPERLINK("J:\Depot - mpkCCD Fractions\Main Web Page\Web Pages_old\proteomic_fractions_linear_files/Yang_linear_img/227908790.jpg","show blot")</f>
        <v>show blot</v>
      </c>
      <c r="G8085" t="s">
        <v>7835</v>
      </c>
      <c r="I8085" s="6">
        <v>4.5494252516916118</v>
      </c>
      <c r="K8085" s="8"/>
    </row>
    <row r="8086" spans="1:11" ht="15" x14ac:dyDescent="0.25">
      <c r="A8086" s="3" t="str">
        <f>HYPERLINK("proteomic_fractions_linear_files/Yang_linear_img/313661493.jpg", "313661493")</f>
        <v>313661493</v>
      </c>
      <c r="C8086" s="3" t="str">
        <f>HYPERLINK("http://www.ncbi.nlm.nih.gov/protein/313661493","Unc79")</f>
        <v>Unc79</v>
      </c>
      <c r="E8086" t="str">
        <f>HYPERLINK("J:\Depot - mpkCCD Fractions\Main Web Page\Web Pages_old\proteomic_fractions_linear_files/Yang_linear_img/313661493.jpg","show blot")</f>
        <v>show blot</v>
      </c>
      <c r="G8086" t="s">
        <v>7836</v>
      </c>
      <c r="I8086" s="6">
        <v>1.6678860203832799</v>
      </c>
      <c r="K8086" s="8"/>
    </row>
    <row r="8087" spans="1:11" ht="15" x14ac:dyDescent="0.25">
      <c r="A8087" s="3" t="str">
        <f>HYPERLINK("proteomic_fractions_linear_files/Yang_linear_img/101943608.jpg", "101943608")</f>
        <v>101943608</v>
      </c>
      <c r="C8087" s="3" t="str">
        <f>HYPERLINK("http://www.ncbi.nlm.nih.gov/protein/101943608","Ung")</f>
        <v>Ung</v>
      </c>
      <c r="E8087" t="str">
        <f>HYPERLINK("J:\Depot - mpkCCD Fractions\Main Web Page\Web Pages_old\proteomic_fractions_linear_files/Yang_linear_img/101943608.jpg","show blot")</f>
        <v>show blot</v>
      </c>
      <c r="G8087" t="s">
        <v>7837</v>
      </c>
      <c r="I8087" s="6">
        <v>3.3809118320574618</v>
      </c>
      <c r="K8087" s="8"/>
    </row>
    <row r="8088" spans="1:11" ht="15" x14ac:dyDescent="0.25">
      <c r="A8088" s="3" t="str">
        <f>HYPERLINK("proteomic_fractions_linear_files/Yang_linear_img/27369808.jpg", "27369808")</f>
        <v>27369808</v>
      </c>
      <c r="C8088" s="3" t="str">
        <f>HYPERLINK("http://www.ncbi.nlm.nih.gov/protein/27369808","Unk")</f>
        <v>Unk</v>
      </c>
      <c r="E8088" t="str">
        <f>HYPERLINK("J:\Depot - mpkCCD Fractions\Main Web Page\Web Pages_old\proteomic_fractions_linear_files/Yang_linear_img/27369808.jpg","show blot")</f>
        <v>show blot</v>
      </c>
      <c r="G8088" t="s">
        <v>7838</v>
      </c>
      <c r="I8088" s="6">
        <v>3.8104716494117161</v>
      </c>
      <c r="K8088" s="8"/>
    </row>
    <row r="8089" spans="1:11" ht="15" x14ac:dyDescent="0.25">
      <c r="A8089" s="3" t="str">
        <f>HYPERLINK("proteomic_fractions_linear_files/Yang_linear_img/170784811.jpg", "170784811")</f>
        <v>170784811</v>
      </c>
      <c r="C8089" s="3" t="str">
        <f>HYPERLINK("http://www.ncbi.nlm.nih.gov/protein/170784811","Upf1")</f>
        <v>Upf1</v>
      </c>
      <c r="E8089" t="str">
        <f>HYPERLINK("J:\Depot - mpkCCD Fractions\Main Web Page\Web Pages_old\proteomic_fractions_linear_files/Yang_linear_img/170784811.jpg","show blot")</f>
        <v>show blot</v>
      </c>
      <c r="G8089" t="s">
        <v>7839</v>
      </c>
      <c r="I8089" s="6">
        <v>5.4884378770540225</v>
      </c>
      <c r="K8089" s="8"/>
    </row>
    <row r="8090" spans="1:11" ht="15" x14ac:dyDescent="0.25">
      <c r="A8090" s="3" t="str">
        <f>HYPERLINK("proteomic_fractions_linear_files/Yang_linear_img/170784813.jpg", "170784813")</f>
        <v>170784813</v>
      </c>
      <c r="C8090" s="3" t="str">
        <f>HYPERLINK("http://www.ncbi.nlm.nih.gov/protein/170784813","Upf1")</f>
        <v>Upf1</v>
      </c>
      <c r="E8090" t="str">
        <f>HYPERLINK("J:\Depot - mpkCCD Fractions\Main Web Page\Web Pages_old\proteomic_fractions_linear_files/Yang_linear_img/170784813.jpg","show blot")</f>
        <v>show blot</v>
      </c>
      <c r="G8090" t="s">
        <v>7840</v>
      </c>
      <c r="I8090" s="6">
        <v>5.4884378770540225</v>
      </c>
      <c r="K8090" s="8"/>
    </row>
    <row r="8091" spans="1:11" ht="15" x14ac:dyDescent="0.25">
      <c r="A8091" s="3" t="str">
        <f>HYPERLINK("proteomic_fractions_linear_files/Yang_linear_img/124487283.jpg", "124487283")</f>
        <v>124487283</v>
      </c>
      <c r="C8091" s="3" t="str">
        <f>HYPERLINK("http://www.ncbi.nlm.nih.gov/protein/124487283","Upf2")</f>
        <v>Upf2</v>
      </c>
      <c r="E8091" t="str">
        <f>HYPERLINK("J:\Depot - mpkCCD Fractions\Main Web Page\Web Pages_old\proteomic_fractions_linear_files/Yang_linear_img/124487283.jpg","show blot")</f>
        <v>show blot</v>
      </c>
      <c r="G8091" t="s">
        <v>7841</v>
      </c>
      <c r="I8091" s="6">
        <v>3.5110148965836601</v>
      </c>
      <c r="K8091" s="8"/>
    </row>
    <row r="8092" spans="1:11" ht="15" x14ac:dyDescent="0.25">
      <c r="A8092" s="3" t="str">
        <f>HYPERLINK("proteomic_fractions_linear_files/Yang_linear_img/74959788.jpg", "74959788")</f>
        <v>74959788</v>
      </c>
      <c r="C8092" s="3" t="str">
        <f>HYPERLINK("http://www.ncbi.nlm.nih.gov/protein/74959788","Upf3b")</f>
        <v>Upf3b</v>
      </c>
      <c r="E8092" t="str">
        <f>HYPERLINK("J:\Depot - mpkCCD Fractions\Main Web Page\Web Pages_old\proteomic_fractions_linear_files/Yang_linear_img/74959788.jpg","show blot")</f>
        <v>show blot</v>
      </c>
      <c r="G8092" t="s">
        <v>7842</v>
      </c>
      <c r="I8092" s="6">
        <v>4.170837359089913</v>
      </c>
      <c r="K8092" s="8"/>
    </row>
    <row r="8093" spans="1:11" ht="15" x14ac:dyDescent="0.25">
      <c r="A8093" s="3" t="str">
        <f>HYPERLINK("proteomic_fractions_linear_files/Yang_linear_img/58037127.jpg", "58037127")</f>
        <v>58037127</v>
      </c>
      <c r="C8093" s="3" t="str">
        <f>HYPERLINK("http://www.ncbi.nlm.nih.gov/protein/58037127","Upk1a")</f>
        <v>Upk1a</v>
      </c>
      <c r="E8093" t="str">
        <f>HYPERLINK("J:\Depot - mpkCCD Fractions\Main Web Page\Web Pages_old\proteomic_fractions_linear_files/Yang_linear_img/58037127.jpg","show blot")</f>
        <v>show blot</v>
      </c>
      <c r="G8093" t="s">
        <v>7843</v>
      </c>
      <c r="I8093" s="6">
        <v>4.6160004665875913</v>
      </c>
      <c r="K8093" s="8"/>
    </row>
    <row r="8094" spans="1:11" ht="15" x14ac:dyDescent="0.25">
      <c r="A8094" s="3" t="str">
        <f>HYPERLINK("proteomic_fractions_linear_files/Yang_linear_img/121949819.jpg", "121949819")</f>
        <v>121949819</v>
      </c>
      <c r="C8094" s="3" t="str">
        <f>HYPERLINK("http://www.ncbi.nlm.nih.gov/protein/121949819","Upk2")</f>
        <v>Upk2</v>
      </c>
      <c r="E8094" t="str">
        <f>HYPERLINK("J:\Depot - mpkCCD Fractions\Main Web Page\Web Pages_old\proteomic_fractions_linear_files/Yang_linear_img/121949819.jpg","show blot")</f>
        <v>show blot</v>
      </c>
      <c r="G8094" t="s">
        <v>7844</v>
      </c>
      <c r="I8094" s="6">
        <v>3.5675075789306243</v>
      </c>
      <c r="K8094" s="8"/>
    </row>
    <row r="8095" spans="1:11" ht="15" x14ac:dyDescent="0.25">
      <c r="A8095" s="3" t="str">
        <f>HYPERLINK("proteomic_fractions_linear_files/Yang_linear_img/124487135.jpg", "124487135")</f>
        <v>124487135</v>
      </c>
      <c r="C8095" s="3" t="str">
        <f>HYPERLINK("http://www.ncbi.nlm.nih.gov/protein/124487135","Uprt")</f>
        <v>Uprt</v>
      </c>
      <c r="E8095" t="str">
        <f>HYPERLINK("J:\Depot - mpkCCD Fractions\Main Web Page\Web Pages_old\proteomic_fractions_linear_files/Yang_linear_img/124487135.jpg","show blot")</f>
        <v>show blot</v>
      </c>
      <c r="G8095" t="s">
        <v>7845</v>
      </c>
      <c r="I8095" s="6">
        <v>4.2791280499291293</v>
      </c>
      <c r="K8095" s="8"/>
    </row>
    <row r="8096" spans="1:11" ht="15" x14ac:dyDescent="0.25">
      <c r="A8096" s="3" t="str">
        <f>HYPERLINK("proteomic_fractions_linear_files/Yang_linear_img/213512915.jpg", "213512915")</f>
        <v>213512915</v>
      </c>
      <c r="C8096" s="3" t="str">
        <f>HYPERLINK("http://www.ncbi.nlm.nih.gov/protein/213512915","Uqcc1")</f>
        <v>Uqcc1</v>
      </c>
      <c r="E8096" t="str">
        <f>HYPERLINK("J:\Depot - mpkCCD Fractions\Main Web Page\Web Pages_old\proteomic_fractions_linear_files/Yang_linear_img/213512915.jpg","show blot")</f>
        <v>show blot</v>
      </c>
      <c r="G8096" t="s">
        <v>7846</v>
      </c>
      <c r="I8096" s="6">
        <v>5.0330087903903227</v>
      </c>
      <c r="K8096" s="8"/>
    </row>
    <row r="8097" spans="1:11" ht="15" x14ac:dyDescent="0.25">
      <c r="A8097" s="3" t="str">
        <f>HYPERLINK("proteomic_fractions_linear_files/Yang_linear_img/13385560.jpg", "13385560")</f>
        <v>13385560</v>
      </c>
      <c r="C8097" s="3" t="str">
        <f>HYPERLINK("http://www.ncbi.nlm.nih.gov/protein/13385560","Uqcc2")</f>
        <v>Uqcc2</v>
      </c>
      <c r="E8097" t="str">
        <f>HYPERLINK("J:\Depot - mpkCCD Fractions\Main Web Page\Web Pages_old\proteomic_fractions_linear_files/Yang_linear_img/13385560.jpg","show blot")</f>
        <v>show blot</v>
      </c>
      <c r="G8097" t="s">
        <v>7847</v>
      </c>
      <c r="I8097" s="6">
        <v>4.6562045313770311</v>
      </c>
      <c r="K8097" s="8"/>
    </row>
    <row r="8098" spans="1:11" ht="15" x14ac:dyDescent="0.25">
      <c r="A8098" s="3" t="str">
        <f>HYPERLINK("proteomic_fractions_linear_files/Yang_linear_img/37574048.jpg", "37574048")</f>
        <v>37574048</v>
      </c>
      <c r="C8098" s="3" t="str">
        <f>HYPERLINK("http://www.ncbi.nlm.nih.gov/protein/37574048","Uqcr10")</f>
        <v>Uqcr10</v>
      </c>
      <c r="E8098" t="str">
        <f>HYPERLINK("J:\Depot - mpkCCD Fractions\Main Web Page\Web Pages_old\proteomic_fractions_linear_files/Yang_linear_img/37574048.jpg","show blot")</f>
        <v>show blot</v>
      </c>
      <c r="G8098" t="s">
        <v>7848</v>
      </c>
      <c r="I8098" s="6">
        <v>6.0748429480654975</v>
      </c>
      <c r="K8098" s="8"/>
    </row>
    <row r="8099" spans="1:11" ht="15" x14ac:dyDescent="0.25">
      <c r="A8099" s="3" t="str">
        <f>HYPERLINK("proteomic_fractions_linear_files/Yang_linear_img/13385112.jpg", "13385112")</f>
        <v>13385112</v>
      </c>
      <c r="C8099" s="3" t="str">
        <f>HYPERLINK("http://www.ncbi.nlm.nih.gov/protein/13385112","Uqcr11")</f>
        <v>Uqcr11</v>
      </c>
      <c r="E8099" t="str">
        <f>HYPERLINK("J:\Depot - mpkCCD Fractions\Main Web Page\Web Pages_old\proteomic_fractions_linear_files/Yang_linear_img/13385112.jpg","show blot")</f>
        <v>show blot</v>
      </c>
      <c r="G8099" t="s">
        <v>7849</v>
      </c>
      <c r="I8099" s="6">
        <v>4.3944734419748581</v>
      </c>
      <c r="K8099" s="8"/>
    </row>
    <row r="8100" spans="1:11" ht="15" x14ac:dyDescent="0.25">
      <c r="A8100" s="3" t="str">
        <f>HYPERLINK("proteomic_fractions_linear_files/Yang_linear_img/13385726.jpg", "13385726")</f>
        <v>13385726</v>
      </c>
      <c r="C8100" s="3" t="str">
        <f>HYPERLINK("http://www.ncbi.nlm.nih.gov/protein/13385726","Uqcrb")</f>
        <v>Uqcrb</v>
      </c>
      <c r="E8100" t="str">
        <f>HYPERLINK("J:\Depot - mpkCCD Fractions\Main Web Page\Web Pages_old\proteomic_fractions_linear_files/Yang_linear_img/13385726.jpg","show blot")</f>
        <v>show blot</v>
      </c>
      <c r="G8100" t="s">
        <v>7850</v>
      </c>
      <c r="I8100" s="6">
        <v>5.4580270079337394</v>
      </c>
      <c r="K8100" s="8"/>
    </row>
    <row r="8101" spans="1:11" ht="15" x14ac:dyDescent="0.25">
      <c r="A8101" s="3" t="str">
        <f>HYPERLINK("proteomic_fractions_linear_files/Yang_linear_img/46593021.jpg", "46593021")</f>
        <v>46593021</v>
      </c>
      <c r="C8101" s="3" t="str">
        <f>HYPERLINK("http://www.ncbi.nlm.nih.gov/protein/46593021","Uqcrc1")</f>
        <v>Uqcrc1</v>
      </c>
      <c r="E8101" t="str">
        <f>HYPERLINK("J:\Depot - mpkCCD Fractions\Main Web Page\Web Pages_old\proteomic_fractions_linear_files/Yang_linear_img/46593021.jpg","show blot")</f>
        <v>show blot</v>
      </c>
      <c r="G8101" t="s">
        <v>7851</v>
      </c>
      <c r="I8101" s="6">
        <v>6.2671494388988442</v>
      </c>
      <c r="K8101" s="8"/>
    </row>
    <row r="8102" spans="1:11" ht="15" x14ac:dyDescent="0.25">
      <c r="A8102" s="3" t="str">
        <f>HYPERLINK("proteomic_fractions_linear_files/Yang_linear_img/22267442.jpg", "22267442")</f>
        <v>22267442</v>
      </c>
      <c r="C8102" s="3" t="str">
        <f>HYPERLINK("http://www.ncbi.nlm.nih.gov/protein/22267442","Uqcrc2")</f>
        <v>Uqcrc2</v>
      </c>
      <c r="E8102" t="str">
        <f>HYPERLINK("J:\Depot - mpkCCD Fractions\Main Web Page\Web Pages_old\proteomic_fractions_linear_files/Yang_linear_img/22267442.jpg","show blot")</f>
        <v>show blot</v>
      </c>
      <c r="G8102" t="s">
        <v>7852</v>
      </c>
      <c r="I8102" s="6">
        <v>6.2765101570924875</v>
      </c>
      <c r="K8102" s="8"/>
    </row>
    <row r="8103" spans="1:11" ht="15" x14ac:dyDescent="0.25">
      <c r="A8103" s="3" t="str">
        <f>HYPERLINK("proteomic_fractions_linear_files/Yang_linear_img/13385168.jpg", "13385168")</f>
        <v>13385168</v>
      </c>
      <c r="C8103" s="3" t="str">
        <f>HYPERLINK("http://www.ncbi.nlm.nih.gov/protein/13385168","Uqcrfs1")</f>
        <v>Uqcrfs1</v>
      </c>
      <c r="E8103" t="str">
        <f>HYPERLINK("J:\Depot - mpkCCD Fractions\Main Web Page\Web Pages_old\proteomic_fractions_linear_files/Yang_linear_img/13385168.jpg","show blot")</f>
        <v>show blot</v>
      </c>
      <c r="G8103" t="s">
        <v>7853</v>
      </c>
      <c r="I8103" s="6">
        <v>5.6959376990840065</v>
      </c>
      <c r="K8103" s="8"/>
    </row>
    <row r="8104" spans="1:11" ht="15" x14ac:dyDescent="0.25">
      <c r="A8104" s="3" t="str">
        <f>HYPERLINK("proteomic_fractions_linear_files/Yang_linear_img/21539599.jpg", "21539599")</f>
        <v>21539599</v>
      </c>
      <c r="C8104" s="3" t="str">
        <f>HYPERLINK("http://www.ncbi.nlm.nih.gov/protein/21539599","Uqcrh")</f>
        <v>Uqcrh</v>
      </c>
      <c r="E8104" t="str">
        <f>HYPERLINK("J:\Depot - mpkCCD Fractions\Main Web Page\Web Pages_old\proteomic_fractions_linear_files/Yang_linear_img/21539599.jpg","show blot")</f>
        <v>show blot</v>
      </c>
      <c r="G8104" t="s">
        <v>7854</v>
      </c>
      <c r="I8104" s="6">
        <v>5.0770775822622189</v>
      </c>
      <c r="K8104" s="8"/>
    </row>
    <row r="8105" spans="1:11" ht="15" x14ac:dyDescent="0.25">
      <c r="A8105" s="3" t="str">
        <f>HYPERLINK("proteomic_fractions_linear_files/Yang_linear_img/21539585.jpg", "21539585")</f>
        <v>21539585</v>
      </c>
      <c r="C8105" s="3" t="str">
        <f>HYPERLINK("http://www.ncbi.nlm.nih.gov/protein/21539585","Uqcrq")</f>
        <v>Uqcrq</v>
      </c>
      <c r="E8105" t="str">
        <f>HYPERLINK("J:\Depot - mpkCCD Fractions\Main Web Page\Web Pages_old\proteomic_fractions_linear_files/Yang_linear_img/21539585.jpg","show blot")</f>
        <v>show blot</v>
      </c>
      <c r="G8105" t="s">
        <v>7855</v>
      </c>
      <c r="I8105" s="6">
        <v>5.089307307668915</v>
      </c>
      <c r="K8105" s="8"/>
    </row>
    <row r="8106" spans="1:11" ht="15" x14ac:dyDescent="0.25">
      <c r="A8106" s="3" t="str">
        <f>HYPERLINK("proteomic_fractions_linear_files/Yang_linear_img/256818750.jpg", "256818750")</f>
        <v>256818750</v>
      </c>
      <c r="C8106" s="3" t="str">
        <f>HYPERLINK("http://www.ncbi.nlm.nih.gov/protein/256818750","Urb1")</f>
        <v>Urb1</v>
      </c>
      <c r="E8106" t="str">
        <f>HYPERLINK("J:\Depot - mpkCCD Fractions\Main Web Page\Web Pages_old\proteomic_fractions_linear_files/Yang_linear_img/256818750.jpg","show blot")</f>
        <v>show blot</v>
      </c>
      <c r="G8106" t="s">
        <v>7856</v>
      </c>
      <c r="I8106" s="6">
        <v>3.6637382021403315</v>
      </c>
      <c r="K8106" s="8"/>
    </row>
    <row r="8107" spans="1:11" ht="15" x14ac:dyDescent="0.25">
      <c r="A8107" s="3" t="str">
        <f>HYPERLINK("proteomic_fractions_linear_files/Yang_linear_img/71274162.jpg", "71274162")</f>
        <v>71274162</v>
      </c>
      <c r="C8107" s="3" t="str">
        <f>HYPERLINK("http://www.ncbi.nlm.nih.gov/protein/71274162","Urb2")</f>
        <v>Urb2</v>
      </c>
      <c r="E8107" t="str">
        <f>HYPERLINK("J:\Depot - mpkCCD Fractions\Main Web Page\Web Pages_old\proteomic_fractions_linear_files/Yang_linear_img/71274162.jpg","show blot")</f>
        <v>show blot</v>
      </c>
      <c r="G8107" t="s">
        <v>7857</v>
      </c>
      <c r="I8107" s="6">
        <v>2.968204307735502</v>
      </c>
      <c r="K8107" s="8"/>
    </row>
    <row r="8108" spans="1:11" ht="15" x14ac:dyDescent="0.25">
      <c r="A8108" s="3" t="str">
        <f>HYPERLINK("proteomic_fractions_linear_files/Yang_linear_img/110347606.jpg", "110347606")</f>
        <v>110347606</v>
      </c>
      <c r="C8108" s="3" t="str">
        <f>HYPERLINK("http://www.ncbi.nlm.nih.gov/protein/110347606","Urod")</f>
        <v>Urod</v>
      </c>
      <c r="E8108" t="str">
        <f>HYPERLINK("J:\Depot - mpkCCD Fractions\Main Web Page\Web Pages_old\proteomic_fractions_linear_files/Yang_linear_img/110347606.jpg","show blot")</f>
        <v>show blot</v>
      </c>
      <c r="G8108" t="s">
        <v>7858</v>
      </c>
      <c r="I8108" s="6">
        <v>5.4983236989043194</v>
      </c>
      <c r="K8108" s="8"/>
    </row>
    <row r="8109" spans="1:11" ht="15" x14ac:dyDescent="0.25">
      <c r="A8109" s="3" t="str">
        <f>HYPERLINK("proteomic_fractions_linear_files/Yang_linear_img/6678519.jpg", "6678519")</f>
        <v>6678519</v>
      </c>
      <c r="C8109" s="3" t="str">
        <f>HYPERLINK("http://www.ncbi.nlm.nih.gov/protein/6678519","Uros")</f>
        <v>Uros</v>
      </c>
      <c r="E8109" t="str">
        <f>HYPERLINK("J:\Depot - mpkCCD Fractions\Main Web Page\Web Pages_old\proteomic_fractions_linear_files/Yang_linear_img/6678519.jpg","show blot")</f>
        <v>show blot</v>
      </c>
      <c r="G8109" t="s">
        <v>7859</v>
      </c>
      <c r="I8109" s="6">
        <v>4.9438916863696196</v>
      </c>
      <c r="K8109" s="8"/>
    </row>
    <row r="8110" spans="1:11" ht="15" x14ac:dyDescent="0.25">
      <c r="A8110" s="3" t="str">
        <f>HYPERLINK("proteomic_fractions_linear_files/Yang_linear_img/21630259.jpg", "21630259")</f>
        <v>21630259</v>
      </c>
      <c r="C8110" s="3" t="str">
        <f>HYPERLINK("http://www.ncbi.nlm.nih.gov/protein/21630259","Use1")</f>
        <v>Use1</v>
      </c>
      <c r="E8110" t="str">
        <f>HYPERLINK("J:\Depot - mpkCCD Fractions\Main Web Page\Web Pages_old\proteomic_fractions_linear_files/Yang_linear_img/21630259.jpg","show blot")</f>
        <v>show blot</v>
      </c>
      <c r="G8110" t="s">
        <v>7860</v>
      </c>
      <c r="I8110" s="6">
        <v>2.8768509967668257</v>
      </c>
      <c r="K8110" s="8"/>
    </row>
    <row r="8111" spans="1:11" ht="15" x14ac:dyDescent="0.25">
      <c r="A8111" s="3" t="str">
        <f>HYPERLINK("proteomic_fractions_linear_files/Yang_linear_img/224809387.jpg", "224809387")</f>
        <v>224809387</v>
      </c>
      <c r="C8111" s="3" t="str">
        <f>HYPERLINK("http://www.ncbi.nlm.nih.gov/protein/224809387","Use1")</f>
        <v>Use1</v>
      </c>
      <c r="E8111" t="str">
        <f>HYPERLINK("J:\Depot - mpkCCD Fractions\Main Web Page\Web Pages_old\proteomic_fractions_linear_files/Yang_linear_img/224809387.jpg","show blot")</f>
        <v>show blot</v>
      </c>
      <c r="G8111" t="s">
        <v>7861</v>
      </c>
      <c r="I8111" s="6">
        <v>2.8768509967668257</v>
      </c>
      <c r="K8111" s="8"/>
    </row>
    <row r="8112" spans="1:11" ht="15" x14ac:dyDescent="0.25">
      <c r="A8112" s="3" t="str">
        <f>HYPERLINK("proteomic_fractions_linear_files/Yang_linear_img/254911001.jpg", "254911001")</f>
        <v>254911001</v>
      </c>
      <c r="C8112" s="3" t="str">
        <f>HYPERLINK("http://www.ncbi.nlm.nih.gov/protein/254911001","Ush1c")</f>
        <v>Ush1c</v>
      </c>
      <c r="E8112" t="str">
        <f>HYPERLINK("J:\Depot - mpkCCD Fractions\Main Web Page\Web Pages_old\proteomic_fractions_linear_files/Yang_linear_img/254911001.jpg","show blot")</f>
        <v>show blot</v>
      </c>
      <c r="G8112" t="s">
        <v>7862</v>
      </c>
      <c r="I8112" s="6">
        <v>0.62425641223213868</v>
      </c>
      <c r="K8112" s="8"/>
    </row>
    <row r="8113" spans="1:11" ht="15" x14ac:dyDescent="0.25">
      <c r="A8113" s="3" t="str">
        <f>HYPERLINK("proteomic_fractions_linear_files/Yang_linear_img/254911003.jpg", "254911003")</f>
        <v>254911003</v>
      </c>
      <c r="C8113" s="3" t="str">
        <f>HYPERLINK("http://www.ncbi.nlm.nih.gov/protein/254911003","Ush1c")</f>
        <v>Ush1c</v>
      </c>
      <c r="E8113" t="str">
        <f>HYPERLINK("J:\Depot - mpkCCD Fractions\Main Web Page\Web Pages_old\proteomic_fractions_linear_files/Yang_linear_img/254911003.jpg","show blot")</f>
        <v>show blot</v>
      </c>
      <c r="G8113" t="s">
        <v>7863</v>
      </c>
      <c r="I8113" s="6">
        <v>0.62425641223213868</v>
      </c>
      <c r="K8113" s="8"/>
    </row>
    <row r="8114" spans="1:11" ht="15" x14ac:dyDescent="0.25">
      <c r="A8114" s="3" t="str">
        <f>HYPERLINK("proteomic_fractions_linear_files/Yang_linear_img/254911005.jpg", "254911005")</f>
        <v>254911005</v>
      </c>
      <c r="C8114" s="3" t="str">
        <f>HYPERLINK("http://www.ncbi.nlm.nih.gov/protein/254911005","Ush1c")</f>
        <v>Ush1c</v>
      </c>
      <c r="E8114" t="str">
        <f>HYPERLINK("J:\Depot - mpkCCD Fractions\Main Web Page\Web Pages_old\proteomic_fractions_linear_files/Yang_linear_img/254911005.jpg","show blot")</f>
        <v>show blot</v>
      </c>
      <c r="G8114" t="s">
        <v>7864</v>
      </c>
      <c r="I8114" s="6">
        <v>0.62425641223213868</v>
      </c>
      <c r="K8114" s="8"/>
    </row>
    <row r="8115" spans="1:11" ht="15" x14ac:dyDescent="0.25">
      <c r="A8115" s="3" t="str">
        <f>HYPERLINK("proteomic_fractions_linear_files/Yang_linear_img/23956096.jpg", "23956096")</f>
        <v>23956096</v>
      </c>
      <c r="C8115" s="3" t="str">
        <f>HYPERLINK("http://www.ncbi.nlm.nih.gov/protein/23956096","Uso1")</f>
        <v>Uso1</v>
      </c>
      <c r="E8115" t="str">
        <f>HYPERLINK("J:\Depot - mpkCCD Fractions\Main Web Page\Web Pages_old\proteomic_fractions_linear_files/Yang_linear_img/23956096.jpg","show blot")</f>
        <v>show blot</v>
      </c>
      <c r="G8115" t="s">
        <v>7865</v>
      </c>
      <c r="I8115" s="6">
        <v>5.4392158469512211</v>
      </c>
      <c r="K8115" s="8"/>
    </row>
    <row r="8116" spans="1:11" ht="15" x14ac:dyDescent="0.25">
      <c r="A8116" s="3" t="str">
        <f>HYPERLINK("proteomic_fractions_linear_files/Yang_linear_img/6678493.jpg", "6678493")</f>
        <v>6678493</v>
      </c>
      <c r="C8116" s="3" t="str">
        <f>HYPERLINK("http://www.ncbi.nlm.nih.gov/protein/6678493","Usp10")</f>
        <v>Usp10</v>
      </c>
      <c r="E8116" t="str">
        <f>HYPERLINK("J:\Depot - mpkCCD Fractions\Main Web Page\Web Pages_old\proteomic_fractions_linear_files/Yang_linear_img/6678493.jpg","show blot")</f>
        <v>show blot</v>
      </c>
      <c r="G8116" t="s">
        <v>7866</v>
      </c>
      <c r="I8116" s="6">
        <v>4.8923017951104342</v>
      </c>
      <c r="K8116" s="8"/>
    </row>
    <row r="8117" spans="1:11" ht="15" x14ac:dyDescent="0.25">
      <c r="A8117" s="3" t="str">
        <f>HYPERLINK("proteomic_fractions_linear_files/Yang_linear_img/164663834.jpg", "164663834")</f>
        <v>164663834</v>
      </c>
      <c r="C8117" s="3" t="str">
        <f>HYPERLINK("http://www.ncbi.nlm.nih.gov/protein/164663834","Usp11")</f>
        <v>Usp11</v>
      </c>
      <c r="E8117" t="str">
        <f>HYPERLINK("J:\Depot - mpkCCD Fractions\Main Web Page\Web Pages_old\proteomic_fractions_linear_files/Yang_linear_img/164663834.jpg","show blot")</f>
        <v>show blot</v>
      </c>
      <c r="G8117" t="s">
        <v>7867</v>
      </c>
      <c r="I8117" s="6">
        <v>3.6661995192114021</v>
      </c>
      <c r="K8117" s="8"/>
    </row>
    <row r="8118" spans="1:11" ht="15" x14ac:dyDescent="0.25">
      <c r="A8118" s="3" t="str">
        <f>HYPERLINK("proteomic_fractions_linear_files/Yang_linear_img/34328057.jpg", "34328057")</f>
        <v>34328057</v>
      </c>
      <c r="C8118" s="3" t="str">
        <f>HYPERLINK("http://www.ncbi.nlm.nih.gov/protein/34328057","Usp12")</f>
        <v>Usp12</v>
      </c>
      <c r="E8118" t="str">
        <f>HYPERLINK("J:\Depot - mpkCCD Fractions\Main Web Page\Web Pages_old\proteomic_fractions_linear_files/Yang_linear_img/34328057.jpg","show blot")</f>
        <v>show blot</v>
      </c>
      <c r="G8118" t="s">
        <v>7868</v>
      </c>
      <c r="I8118" s="6">
        <v>2.4014005407815442</v>
      </c>
      <c r="K8118" s="8"/>
    </row>
    <row r="8119" spans="1:11" ht="15" x14ac:dyDescent="0.25">
      <c r="A8119" s="3" t="str">
        <f>HYPERLINK("proteomic_fractions_linear_files/Yang_linear_img/31560313.jpg", "31560313")</f>
        <v>31560313</v>
      </c>
      <c r="C8119" s="3" t="str">
        <f>HYPERLINK("http://www.ncbi.nlm.nih.gov/protein/31560313","Usp14")</f>
        <v>Usp14</v>
      </c>
      <c r="E8119" t="str">
        <f>HYPERLINK("J:\Depot - mpkCCD Fractions\Main Web Page\Web Pages_old\proteomic_fractions_linear_files/Yang_linear_img/31560313.jpg","show blot")</f>
        <v>show blot</v>
      </c>
      <c r="G8119" t="s">
        <v>7869</v>
      </c>
      <c r="I8119" s="6">
        <v>5.833902666152178</v>
      </c>
      <c r="K8119" s="8"/>
    </row>
    <row r="8120" spans="1:11" ht="15" x14ac:dyDescent="0.25">
      <c r="A8120" s="3" t="str">
        <f>HYPERLINK("proteomic_fractions_linear_files/Yang_linear_img/84452155.jpg", "84452155")</f>
        <v>84452155</v>
      </c>
      <c r="C8120" s="3" t="str">
        <f>HYPERLINK("http://www.ncbi.nlm.nih.gov/protein/84452155","Usp14")</f>
        <v>Usp14</v>
      </c>
      <c r="E8120" t="str">
        <f>HYPERLINK("J:\Depot - mpkCCD Fractions\Main Web Page\Web Pages_old\proteomic_fractions_linear_files/Yang_linear_img/84452155.jpg","show blot")</f>
        <v>show blot</v>
      </c>
      <c r="G8120" t="s">
        <v>7870</v>
      </c>
      <c r="I8120" s="6">
        <v>5.833902666152178</v>
      </c>
      <c r="K8120" s="8"/>
    </row>
    <row r="8121" spans="1:11" ht="15" x14ac:dyDescent="0.25">
      <c r="A8121" s="3" t="str">
        <f>HYPERLINK("proteomic_fractions_linear_files/Yang_linear_img/21489969.jpg", "21489969")</f>
        <v>21489969</v>
      </c>
      <c r="C8121" s="3" t="str">
        <f>HYPERLINK("http://www.ncbi.nlm.nih.gov/protein/21489969","Usp15")</f>
        <v>Usp15</v>
      </c>
      <c r="E8121" t="str">
        <f>HYPERLINK("J:\Depot - mpkCCD Fractions\Main Web Page\Web Pages_old\proteomic_fractions_linear_files/Yang_linear_img/21489969.jpg","show blot")</f>
        <v>show blot</v>
      </c>
      <c r="G8121" t="s">
        <v>7871</v>
      </c>
      <c r="I8121" s="6">
        <v>4.8725876077565395</v>
      </c>
      <c r="K8121" s="8"/>
    </row>
    <row r="8122" spans="1:11" ht="15" x14ac:dyDescent="0.25">
      <c r="A8122" s="3" t="str">
        <f>HYPERLINK("proteomic_fractions_linear_files/Yang_linear_img/251823802.jpg", "251823802")</f>
        <v>251823802</v>
      </c>
      <c r="C8122" s="3" t="str">
        <f>HYPERLINK("http://www.ncbi.nlm.nih.gov/protein/251823802","Usp16")</f>
        <v>Usp16</v>
      </c>
      <c r="E8122" t="str">
        <f>HYPERLINK("J:\Depot - mpkCCD Fractions\Main Web Page\Web Pages_old\proteomic_fractions_linear_files/Yang_linear_img/251823802.jpg","show blot")</f>
        <v>show blot</v>
      </c>
      <c r="G8122" t="s">
        <v>7872</v>
      </c>
      <c r="I8122" s="6">
        <v>3.4692353011077794</v>
      </c>
      <c r="K8122" s="8"/>
    </row>
    <row r="8123" spans="1:11" ht="15" x14ac:dyDescent="0.25">
      <c r="A8123" s="3" t="str">
        <f>HYPERLINK("proteomic_fractions_linear_files/Yang_linear_img/112983634.jpg", "112983634")</f>
        <v>112983634</v>
      </c>
      <c r="C8123" s="3" t="str">
        <f>HYPERLINK("http://www.ncbi.nlm.nih.gov/protein/112983634","Usp17ld")</f>
        <v>Usp17ld</v>
      </c>
      <c r="E8123" t="str">
        <f>HYPERLINK("J:\Depot - mpkCCD Fractions\Main Web Page\Web Pages_old\proteomic_fractions_linear_files/Yang_linear_img/112983634.jpg","show blot")</f>
        <v>show blot</v>
      </c>
      <c r="G8123" t="s">
        <v>7873</v>
      </c>
      <c r="I8123" s="6">
        <v>3.3038968236729565</v>
      </c>
      <c r="K8123" s="8"/>
    </row>
    <row r="8124" spans="1:11" ht="15" x14ac:dyDescent="0.25">
      <c r="A8124" s="3" t="str">
        <f>HYPERLINK("proteomic_fractions_linear_files/Yang_linear_img/270265841.jpg", "270265841")</f>
        <v>270265841</v>
      </c>
      <c r="C8124" s="3" t="str">
        <f>HYPERLINK("http://www.ncbi.nlm.nih.gov/protein/270265841","Usp19")</f>
        <v>Usp19</v>
      </c>
      <c r="E8124" t="str">
        <f>HYPERLINK("J:\Depot - mpkCCD Fractions\Main Web Page\Web Pages_old\proteomic_fractions_linear_files/Yang_linear_img/270265841.jpg","show blot")</f>
        <v>show blot</v>
      </c>
      <c r="G8124" t="s">
        <v>7874</v>
      </c>
      <c r="I8124" s="6">
        <v>4.1173673798065211</v>
      </c>
      <c r="K8124" s="8"/>
    </row>
    <row r="8125" spans="1:11" ht="15" x14ac:dyDescent="0.25">
      <c r="A8125" s="3" t="str">
        <f>HYPERLINK("proteomic_fractions_linear_files/Yang_linear_img/270265843.jpg", "270265843")</f>
        <v>270265843</v>
      </c>
      <c r="C8125" s="3" t="str">
        <f>HYPERLINK("http://www.ncbi.nlm.nih.gov/protein/270265843","Usp19")</f>
        <v>Usp19</v>
      </c>
      <c r="E8125" t="str">
        <f>HYPERLINK("J:\Depot - mpkCCD Fractions\Main Web Page\Web Pages_old\proteomic_fractions_linear_files/Yang_linear_img/270265843.jpg","show blot")</f>
        <v>show blot</v>
      </c>
      <c r="G8125" t="s">
        <v>7875</v>
      </c>
      <c r="I8125" s="6">
        <v>4.1173673798065211</v>
      </c>
      <c r="K8125" s="8"/>
    </row>
    <row r="8126" spans="1:11" ht="15" x14ac:dyDescent="0.25">
      <c r="A8126" s="3" t="str">
        <f>HYPERLINK("proteomic_fractions_linear_files/Yang_linear_img/270265845.jpg", "270265845")</f>
        <v>270265845</v>
      </c>
      <c r="C8126" s="3" t="str">
        <f>HYPERLINK("http://www.ncbi.nlm.nih.gov/protein/270265845","Usp19")</f>
        <v>Usp19</v>
      </c>
      <c r="E8126" t="str">
        <f>HYPERLINK("J:\Depot - mpkCCD Fractions\Main Web Page\Web Pages_old\proteomic_fractions_linear_files/Yang_linear_img/270265845.jpg","show blot")</f>
        <v>show blot</v>
      </c>
      <c r="G8126" t="s">
        <v>7876</v>
      </c>
      <c r="I8126" s="6">
        <v>4.1173673798065211</v>
      </c>
      <c r="K8126" s="8"/>
    </row>
    <row r="8127" spans="1:11" ht="15" x14ac:dyDescent="0.25">
      <c r="A8127" s="3" t="str">
        <f>HYPERLINK("proteomic_fractions_linear_files/Yang_linear_img/270265848.jpg", "270265848")</f>
        <v>270265848</v>
      </c>
      <c r="C8127" s="3" t="str">
        <f>HYPERLINK("http://www.ncbi.nlm.nih.gov/protein/270265848","Usp19")</f>
        <v>Usp19</v>
      </c>
      <c r="E8127" t="str">
        <f>HYPERLINK("J:\Depot - mpkCCD Fractions\Main Web Page\Web Pages_old\proteomic_fractions_linear_files/Yang_linear_img/270265848.jpg","show blot")</f>
        <v>show blot</v>
      </c>
      <c r="G8127" t="s">
        <v>7877</v>
      </c>
      <c r="I8127" s="6">
        <v>4.1173673798065211</v>
      </c>
      <c r="K8127" s="8"/>
    </row>
    <row r="8128" spans="1:11" ht="15" x14ac:dyDescent="0.25">
      <c r="A8128" s="3" t="str">
        <f>HYPERLINK("proteomic_fractions_linear_files/Yang_linear_img/270265851.jpg", "270265851")</f>
        <v>270265851</v>
      </c>
      <c r="C8128" s="3" t="str">
        <f>HYPERLINK("http://www.ncbi.nlm.nih.gov/protein/270265851","Usp19")</f>
        <v>Usp19</v>
      </c>
      <c r="E8128" t="str">
        <f>HYPERLINK("J:\Depot - mpkCCD Fractions\Main Web Page\Web Pages_old\proteomic_fractions_linear_files/Yang_linear_img/270265851.jpg","show blot")</f>
        <v>show blot</v>
      </c>
      <c r="G8128" t="s">
        <v>7878</v>
      </c>
      <c r="I8128" s="6">
        <v>4.1173673798065211</v>
      </c>
      <c r="K8128" s="8"/>
    </row>
    <row r="8129" spans="1:11" ht="15" x14ac:dyDescent="0.25">
      <c r="A8129" s="3" t="str">
        <f>HYPERLINK("proteomic_fractions_linear_files/Yang_linear_img/260064007.jpg", "260064007")</f>
        <v>260064007</v>
      </c>
      <c r="C8129" s="3" t="str">
        <f>HYPERLINK("http://www.ncbi.nlm.nih.gov/protein/260064007","Usp24")</f>
        <v>Usp24</v>
      </c>
      <c r="E8129" t="str">
        <f>HYPERLINK("J:\Depot - mpkCCD Fractions\Main Web Page\Web Pages_old\proteomic_fractions_linear_files/Yang_linear_img/260064007.jpg","show blot")</f>
        <v>show blot</v>
      </c>
      <c r="G8129" t="s">
        <v>7879</v>
      </c>
      <c r="I8129" s="6">
        <v>3.1540439680816834</v>
      </c>
      <c r="K8129" s="8"/>
    </row>
    <row r="8130" spans="1:11" ht="15" x14ac:dyDescent="0.25">
      <c r="A8130" s="3" t="str">
        <f>HYPERLINK("proteomic_fractions_linear_files/Yang_linear_img/31980712.jpg", "31980712")</f>
        <v>31980712</v>
      </c>
      <c r="C8130" s="3" t="str">
        <f>HYPERLINK("http://www.ncbi.nlm.nih.gov/protein/31980712","Usp25")</f>
        <v>Usp25</v>
      </c>
      <c r="E8130" t="str">
        <f>HYPERLINK("J:\Depot - mpkCCD Fractions\Main Web Page\Web Pages_old\proteomic_fractions_linear_files/Yang_linear_img/31980712.jpg","show blot")</f>
        <v>show blot</v>
      </c>
      <c r="G8130" t="s">
        <v>7880</v>
      </c>
      <c r="I8130" s="6">
        <v>4.1818976497633811</v>
      </c>
      <c r="K8130" s="8"/>
    </row>
    <row r="8131" spans="1:11" ht="15" x14ac:dyDescent="0.25">
      <c r="A8131" s="3" t="str">
        <f>HYPERLINK("proteomic_fractions_linear_files/Yang_linear_img/126032299.jpg", "126032299")</f>
        <v>126032299</v>
      </c>
      <c r="C8131" s="3" t="str">
        <f>HYPERLINK("http://www.ncbi.nlm.nih.gov/protein/126032299","Usp32")</f>
        <v>Usp32</v>
      </c>
      <c r="E8131" t="str">
        <f>HYPERLINK("J:\Depot - mpkCCD Fractions\Main Web Page\Web Pages_old\proteomic_fractions_linear_files/Yang_linear_img/126032299.jpg","show blot")</f>
        <v>show blot</v>
      </c>
      <c r="G8131" t="s">
        <v>7881</v>
      </c>
      <c r="I8131" s="6">
        <v>1.0635931476230254</v>
      </c>
      <c r="K8131" s="8"/>
    </row>
    <row r="8132" spans="1:11" ht="15" x14ac:dyDescent="0.25">
      <c r="A8132" s="3" t="str">
        <f>HYPERLINK("proteomic_fractions_linear_files/Yang_linear_img/357527386.jpg", "357527386")</f>
        <v>357527386</v>
      </c>
      <c r="C8132" s="3" t="str">
        <f>HYPERLINK("http://www.ncbi.nlm.nih.gov/protein/357527386","Usp34")</f>
        <v>Usp34</v>
      </c>
      <c r="E8132" t="str">
        <f>HYPERLINK("J:\Depot - mpkCCD Fractions\Main Web Page\Web Pages_old\proteomic_fractions_linear_files/Yang_linear_img/357527386.jpg","show blot")</f>
        <v>show blot</v>
      </c>
      <c r="G8132" t="s">
        <v>7882</v>
      </c>
      <c r="I8132" s="6">
        <v>3.437642027080257</v>
      </c>
      <c r="K8132" s="8"/>
    </row>
    <row r="8133" spans="1:11" ht="15" x14ac:dyDescent="0.25">
      <c r="A8133" s="3" t="str">
        <f>HYPERLINK("proteomic_fractions_linear_files/Yang_linear_img/226442882.jpg", "226442882")</f>
        <v>226442882</v>
      </c>
      <c r="C8133" s="3" t="str">
        <f>HYPERLINK("http://www.ncbi.nlm.nih.gov/protein/226442882","Usp36")</f>
        <v>Usp36</v>
      </c>
      <c r="E8133" t="str">
        <f>HYPERLINK("J:\Depot - mpkCCD Fractions\Main Web Page\Web Pages_old\proteomic_fractions_linear_files/Yang_linear_img/226442882.jpg","show blot")</f>
        <v>show blot</v>
      </c>
      <c r="G8133" t="s">
        <v>7883</v>
      </c>
      <c r="I8133" s="6">
        <v>2.7109733298908241</v>
      </c>
      <c r="K8133" s="8"/>
    </row>
    <row r="8134" spans="1:11" ht="15" x14ac:dyDescent="0.25">
      <c r="A8134" s="3" t="str">
        <f>HYPERLINK("proteomic_fractions_linear_files/Yang_linear_img/34328301.jpg", "34328301")</f>
        <v>34328301</v>
      </c>
      <c r="C8134" s="3" t="str">
        <f>HYPERLINK("http://www.ncbi.nlm.nih.gov/protein/34328301","Usp38")</f>
        <v>Usp38</v>
      </c>
      <c r="E8134" t="str">
        <f>HYPERLINK("J:\Depot - mpkCCD Fractions\Main Web Page\Web Pages_old\proteomic_fractions_linear_files/Yang_linear_img/34328301.jpg","show blot")</f>
        <v>show blot</v>
      </c>
      <c r="G8134" t="s">
        <v>7884</v>
      </c>
      <c r="I8134" s="6">
        <v>2.9597797927448983</v>
      </c>
      <c r="K8134" s="8"/>
    </row>
    <row r="8135" spans="1:11" ht="15" x14ac:dyDescent="0.25">
      <c r="A8135" s="3" t="str">
        <f>HYPERLINK("proteomic_fractions_linear_files/Yang_linear_img/20070404.jpg", "20070404")</f>
        <v>20070404</v>
      </c>
      <c r="C8135" s="3" t="str">
        <f>HYPERLINK("http://www.ncbi.nlm.nih.gov/protein/20070404","Usp39")</f>
        <v>Usp39</v>
      </c>
      <c r="E8135" t="str">
        <f>HYPERLINK("J:\Depot - mpkCCD Fractions\Main Web Page\Web Pages_old\proteomic_fractions_linear_files/Yang_linear_img/20070404.jpg","show blot")</f>
        <v>show blot</v>
      </c>
      <c r="G8135" t="s">
        <v>7885</v>
      </c>
      <c r="I8135" s="6">
        <v>4.892836895070257</v>
      </c>
      <c r="K8135" s="8"/>
    </row>
    <row r="8136" spans="1:11" ht="15" x14ac:dyDescent="0.25">
      <c r="A8136" s="3" t="str">
        <f>HYPERLINK("proteomic_fractions_linear_files/Yang_linear_img/164519045.jpg", "164519045")</f>
        <v>164519045</v>
      </c>
      <c r="C8136" s="3" t="str">
        <f>HYPERLINK("http://www.ncbi.nlm.nih.gov/protein/164519045","Usp4")</f>
        <v>Usp4</v>
      </c>
      <c r="E8136" t="str">
        <f>HYPERLINK("J:\Depot - mpkCCD Fractions\Main Web Page\Web Pages_old\proteomic_fractions_linear_files/Yang_linear_img/164519045.jpg","show blot")</f>
        <v>show blot</v>
      </c>
      <c r="G8136" t="s">
        <v>7886</v>
      </c>
      <c r="I8136" s="6">
        <v>4.8101695952028773</v>
      </c>
      <c r="K8136" s="8"/>
    </row>
    <row r="8137" spans="1:11" ht="15" x14ac:dyDescent="0.25">
      <c r="A8137" s="3" t="str">
        <f>HYPERLINK("proteomic_fractions_linear_files/Yang_linear_img/312836847.jpg", "312836847")</f>
        <v>312836847</v>
      </c>
      <c r="C8137" s="3" t="str">
        <f>HYPERLINK("http://www.ncbi.nlm.nih.gov/protein/312836847","Usp47")</f>
        <v>Usp47</v>
      </c>
      <c r="E8137" t="str">
        <f>HYPERLINK("J:\Depot - mpkCCD Fractions\Main Web Page\Web Pages_old\proteomic_fractions_linear_files/Yang_linear_img/312836847.jpg","show blot")</f>
        <v>show blot</v>
      </c>
      <c r="G8137" t="s">
        <v>7887</v>
      </c>
      <c r="I8137" s="6">
        <v>4.8050624992455804</v>
      </c>
      <c r="K8137" s="8"/>
    </row>
    <row r="8138" spans="1:11" ht="15" x14ac:dyDescent="0.25">
      <c r="A8138" s="3" t="str">
        <f>HYPERLINK("proteomic_fractions_linear_files/Yang_linear_img/48928014.jpg", "48928014")</f>
        <v>48928014</v>
      </c>
      <c r="C8138" s="3" t="str">
        <f>HYPERLINK("http://www.ncbi.nlm.nih.gov/protein/48928014","Usp47")</f>
        <v>Usp47</v>
      </c>
      <c r="E8138" t="str">
        <f>HYPERLINK("J:\Depot - mpkCCD Fractions\Main Web Page\Web Pages_old\proteomic_fractions_linear_files/Yang_linear_img/48928014.jpg","show blot")</f>
        <v>show blot</v>
      </c>
      <c r="G8138" t="s">
        <v>7888</v>
      </c>
      <c r="I8138" s="6">
        <v>4.8050624992455804</v>
      </c>
      <c r="K8138" s="8"/>
    </row>
    <row r="8139" spans="1:11" ht="15" x14ac:dyDescent="0.25">
      <c r="A8139" s="3" t="str">
        <f>HYPERLINK("proteomic_fractions_linear_files/Yang_linear_img/7305619.jpg", "7305619")</f>
        <v>7305619</v>
      </c>
      <c r="C8139" s="3" t="str">
        <f>HYPERLINK("http://www.ncbi.nlm.nih.gov/protein/7305619","Usp5")</f>
        <v>Usp5</v>
      </c>
      <c r="E8139" t="str">
        <f>HYPERLINK("J:\Depot - mpkCCD Fractions\Main Web Page\Web Pages_old\proteomic_fractions_linear_files/Yang_linear_img/7305619.jpg","show blot")</f>
        <v>show blot</v>
      </c>
      <c r="G8139" t="s">
        <v>7889</v>
      </c>
      <c r="I8139" s="6">
        <v>5.2958465213516197</v>
      </c>
      <c r="K8139" s="8"/>
    </row>
    <row r="8140" spans="1:11" ht="15" x14ac:dyDescent="0.25">
      <c r="A8140" s="3" t="str">
        <f>HYPERLINK("proteomic_fractions_linear_files/Yang_linear_img/154146209.jpg", "154146209")</f>
        <v>154146209</v>
      </c>
      <c r="C8140" s="3" t="str">
        <f>HYPERLINK("http://www.ncbi.nlm.nih.gov/protein/154146209","Usp7")</f>
        <v>Usp7</v>
      </c>
      <c r="E8140" t="str">
        <f>HYPERLINK("J:\Depot - mpkCCD Fractions\Main Web Page\Web Pages_old\proteomic_fractions_linear_files/Yang_linear_img/154146209.jpg","show blot")</f>
        <v>show blot</v>
      </c>
      <c r="G8140" t="s">
        <v>7890</v>
      </c>
      <c r="I8140" s="6">
        <v>5.2619719249263373</v>
      </c>
      <c r="K8140" s="8"/>
    </row>
    <row r="8141" spans="1:11" ht="15" x14ac:dyDescent="0.25">
      <c r="A8141" s="3" t="str">
        <f>HYPERLINK("proteomic_fractions_linear_files/Yang_linear_img/31981044.jpg", "31981044")</f>
        <v>31981044</v>
      </c>
      <c r="C8141" s="3" t="str">
        <f>HYPERLINK("http://www.ncbi.nlm.nih.gov/protein/31981044","Usp8")</f>
        <v>Usp8</v>
      </c>
      <c r="E8141" t="str">
        <f>HYPERLINK("J:\Depot - mpkCCD Fractions\Main Web Page\Web Pages_old\proteomic_fractions_linear_files/Yang_linear_img/31981044.jpg","show blot")</f>
        <v>show blot</v>
      </c>
      <c r="G8141" t="s">
        <v>7891</v>
      </c>
      <c r="I8141" s="6">
        <v>4.1448966763987833</v>
      </c>
      <c r="K8141" s="8"/>
    </row>
    <row r="8142" spans="1:11" ht="15" x14ac:dyDescent="0.25">
      <c r="A8142" s="3" t="str">
        <f>HYPERLINK("proteomic_fractions_linear_files/Yang_linear_img/357588457.jpg", "357588457")</f>
        <v>357588457</v>
      </c>
      <c r="C8142" s="3" t="str">
        <f>HYPERLINK("http://www.ncbi.nlm.nih.gov/protein/357588457","Usp8")</f>
        <v>Usp8</v>
      </c>
      <c r="E8142" t="str">
        <f>HYPERLINK("J:\Depot - mpkCCD Fractions\Main Web Page\Web Pages_old\proteomic_fractions_linear_files/Yang_linear_img/357588457.jpg","show blot")</f>
        <v>show blot</v>
      </c>
      <c r="G8142" t="s">
        <v>7892</v>
      </c>
      <c r="I8142" s="6">
        <v>4.1448966763987833</v>
      </c>
      <c r="K8142" s="8"/>
    </row>
    <row r="8143" spans="1:11" ht="15" x14ac:dyDescent="0.25">
      <c r="A8143" s="3" t="str">
        <f>HYPERLINK("proteomic_fractions_linear_files/Yang_linear_img/115511018.jpg", "115511018")</f>
        <v>115511018</v>
      </c>
      <c r="C8143" s="3" t="str">
        <f>HYPERLINK("http://www.ncbi.nlm.nih.gov/protein/115511018","Usp9x")</f>
        <v>Usp9x</v>
      </c>
      <c r="E8143" t="str">
        <f>HYPERLINK("J:\Depot - mpkCCD Fractions\Main Web Page\Web Pages_old\proteomic_fractions_linear_files/Yang_linear_img/115511018.jpg","show blot")</f>
        <v>show blot</v>
      </c>
      <c r="G8143" t="s">
        <v>7893</v>
      </c>
      <c r="I8143" s="6">
        <v>5.0573807138646707</v>
      </c>
      <c r="K8143" s="8"/>
    </row>
    <row r="8144" spans="1:11" ht="15" x14ac:dyDescent="0.25">
      <c r="A8144" s="3" t="str">
        <f>HYPERLINK("proteomic_fractions_linear_files/Yang_linear_img/120300980.jpg", "120300980")</f>
        <v>120300980</v>
      </c>
      <c r="C8144" s="3" t="str">
        <f>HYPERLINK("http://www.ncbi.nlm.nih.gov/protein/120300980","Usp9y")</f>
        <v>Usp9y</v>
      </c>
      <c r="E8144" t="str">
        <f>HYPERLINK("J:\Depot - mpkCCD Fractions\Main Web Page\Web Pages_old\proteomic_fractions_linear_files/Yang_linear_img/120300980.jpg","show blot")</f>
        <v>show blot</v>
      </c>
      <c r="G8144" t="s">
        <v>7894</v>
      </c>
      <c r="I8144" s="6">
        <v>4.4617421062145608</v>
      </c>
      <c r="K8144" s="8"/>
    </row>
    <row r="8145" spans="1:11" ht="15" x14ac:dyDescent="0.25">
      <c r="A8145" s="3" t="str">
        <f>HYPERLINK("proteomic_fractions_linear_files/Yang_linear_img/169646253.jpg", "169646253")</f>
        <v>169646253</v>
      </c>
      <c r="C8145" s="3" t="str">
        <f>HYPERLINK("http://www.ncbi.nlm.nih.gov/protein/169646253","Uspl1")</f>
        <v>Uspl1</v>
      </c>
      <c r="E8145" t="str">
        <f>HYPERLINK("J:\Depot - mpkCCD Fractions\Main Web Page\Web Pages_old\proteomic_fractions_linear_files/Yang_linear_img/169646253.jpg","show blot")</f>
        <v>show blot</v>
      </c>
      <c r="G8145" t="s">
        <v>7895</v>
      </c>
      <c r="I8145" s="6">
        <v>3.0950036008232185</v>
      </c>
      <c r="K8145" s="8"/>
    </row>
    <row r="8146" spans="1:11" ht="15" x14ac:dyDescent="0.25">
      <c r="A8146" s="3" t="str">
        <f>HYPERLINK("proteomic_fractions_linear_files/Yang_linear_img/169646335.jpg", "169646335")</f>
        <v>169646335</v>
      </c>
      <c r="C8146" s="3" t="str">
        <f>HYPERLINK("http://www.ncbi.nlm.nih.gov/protein/169646335","Uspl1")</f>
        <v>Uspl1</v>
      </c>
      <c r="E8146" t="str">
        <f>HYPERLINK("J:\Depot - mpkCCD Fractions\Main Web Page\Web Pages_old\proteomic_fractions_linear_files/Yang_linear_img/169646335.jpg","show blot")</f>
        <v>show blot</v>
      </c>
      <c r="G8146" t="s">
        <v>7896</v>
      </c>
      <c r="I8146" s="6">
        <v>3.0950036008232185</v>
      </c>
      <c r="K8146" s="8"/>
    </row>
    <row r="8147" spans="1:11" ht="15" x14ac:dyDescent="0.25">
      <c r="A8147" s="3" t="str">
        <f>HYPERLINK("proteomic_fractions_linear_files/Yang_linear_img/558472807.jpg", "558472807")</f>
        <v>558472807</v>
      </c>
      <c r="C8147" s="3" t="str">
        <f>HYPERLINK("http://www.ncbi.nlm.nih.gov/protein/558472807","Uspl1")</f>
        <v>Uspl1</v>
      </c>
      <c r="E8147" t="str">
        <f>HYPERLINK("J:\Depot - mpkCCD Fractions\Main Web Page\Web Pages_old\proteomic_fractions_linear_files/Yang_linear_img/558472807.jpg","show blot")</f>
        <v>show blot</v>
      </c>
      <c r="G8147" t="s">
        <v>7897</v>
      </c>
      <c r="I8147" s="6">
        <v>3.0950036008232185</v>
      </c>
      <c r="K8147" s="8"/>
    </row>
    <row r="8148" spans="1:11" ht="15" x14ac:dyDescent="0.25">
      <c r="A8148" s="3" t="str">
        <f>HYPERLINK("proteomic_fractions_linear_files/Yang_linear_img/110556631.jpg", "110556631")</f>
        <v>110556631</v>
      </c>
      <c r="C8148" s="3" t="str">
        <f>HYPERLINK("http://www.ncbi.nlm.nih.gov/protein/110556631","Ust")</f>
        <v>Ust</v>
      </c>
      <c r="E8148" t="str">
        <f>HYPERLINK("J:\Depot - mpkCCD Fractions\Main Web Page\Web Pages_old\proteomic_fractions_linear_files/Yang_linear_img/110556631.jpg","show blot")</f>
        <v>show blot</v>
      </c>
      <c r="G8148" t="s">
        <v>7898</v>
      </c>
      <c r="I8148" s="6">
        <v>2.672386521609956</v>
      </c>
      <c r="K8148" s="8"/>
    </row>
    <row r="8149" spans="1:11" ht="15" x14ac:dyDescent="0.25">
      <c r="A8149" s="3" t="str">
        <f>HYPERLINK("proteomic_fractions_linear_files/Yang_linear_img/30725776.jpg", "30725776")</f>
        <v>30725776</v>
      </c>
      <c r="C8149" s="3" t="str">
        <f>HYPERLINK("http://www.ncbi.nlm.nih.gov/protein/30725776","Utp15")</f>
        <v>Utp15</v>
      </c>
      <c r="E8149" t="str">
        <f>HYPERLINK("J:\Depot - mpkCCD Fractions\Main Web Page\Web Pages_old\proteomic_fractions_linear_files/Yang_linear_img/30725776.jpg","show blot")</f>
        <v>show blot</v>
      </c>
      <c r="G8149" t="s">
        <v>7899</v>
      </c>
      <c r="I8149" s="6">
        <v>2.3204983406714348</v>
      </c>
      <c r="K8149" s="8"/>
    </row>
    <row r="8150" spans="1:11" ht="15" x14ac:dyDescent="0.25">
      <c r="A8150" s="3" t="str">
        <f>HYPERLINK("proteomic_fractions_linear_files/Yang_linear_img/226437674.jpg", "226437674")</f>
        <v>226437674</v>
      </c>
      <c r="C8150" s="3" t="str">
        <f>HYPERLINK("http://www.ncbi.nlm.nih.gov/protein/226437674","Utp20")</f>
        <v>Utp20</v>
      </c>
      <c r="E8150" t="str">
        <f>HYPERLINK("J:\Depot - mpkCCD Fractions\Main Web Page\Web Pages_old\proteomic_fractions_linear_files/Yang_linear_img/226437674.jpg","show blot")</f>
        <v>show blot</v>
      </c>
      <c r="G8150" t="s">
        <v>7900</v>
      </c>
      <c r="I8150" s="6">
        <v>4.3940141314971024</v>
      </c>
      <c r="K8150" s="8"/>
    </row>
    <row r="8151" spans="1:11" ht="15" x14ac:dyDescent="0.25">
      <c r="A8151" s="3" t="str">
        <f>HYPERLINK("proteomic_fractions_linear_files/Yang_linear_img/12746430.jpg", "12746430")</f>
        <v>12746430</v>
      </c>
      <c r="C8151" s="3" t="str">
        <f>HYPERLINK("http://www.ncbi.nlm.nih.gov/protein/12746430","Utp3")</f>
        <v>Utp3</v>
      </c>
      <c r="E8151" t="str">
        <f>HYPERLINK("J:\Depot - mpkCCD Fractions\Main Web Page\Web Pages_old\proteomic_fractions_linear_files/Yang_linear_img/12746430.jpg","show blot")</f>
        <v>show blot</v>
      </c>
      <c r="G8151" t="s">
        <v>7901</v>
      </c>
      <c r="I8151" s="6">
        <v>3.6644584881449109</v>
      </c>
      <c r="K8151" s="8"/>
    </row>
    <row r="8152" spans="1:11" ht="15" x14ac:dyDescent="0.25">
      <c r="A8152" s="3" t="str">
        <f>HYPERLINK("proteomic_fractions_linear_files/Yang_linear_img/110431378.jpg", "110431378")</f>
        <v>110431378</v>
      </c>
      <c r="C8152" s="3" t="str">
        <f>HYPERLINK("http://www.ncbi.nlm.nih.gov/protein/110431378","Utrn")</f>
        <v>Utrn</v>
      </c>
      <c r="E8152" t="str">
        <f>HYPERLINK("J:\Depot - mpkCCD Fractions\Main Web Page\Web Pages_old\proteomic_fractions_linear_files/Yang_linear_img/110431378.jpg","show blot")</f>
        <v>show blot</v>
      </c>
      <c r="G8152" t="s">
        <v>7902</v>
      </c>
      <c r="I8152" s="6">
        <v>4.3936253340002365</v>
      </c>
      <c r="K8152" s="8"/>
    </row>
    <row r="8153" spans="1:11" ht="15" x14ac:dyDescent="0.25">
      <c r="A8153" s="3" t="str">
        <f>HYPERLINK("proteomic_fractions_linear_files/Yang_linear_img/6755931.jpg", "6755931")</f>
        <v>6755931</v>
      </c>
      <c r="C8153" s="3" t="str">
        <f>HYPERLINK("http://www.ncbi.nlm.nih.gov/protein/6755931","Uts2")</f>
        <v>Uts2</v>
      </c>
      <c r="E8153" t="str">
        <f>HYPERLINK("J:\Depot - mpkCCD Fractions\Main Web Page\Web Pages_old\proteomic_fractions_linear_files/Yang_linear_img/6755931.jpg","show blot")</f>
        <v>show blot</v>
      </c>
      <c r="G8153" t="s">
        <v>7903</v>
      </c>
      <c r="I8153" s="6">
        <v>5.2151528173445225</v>
      </c>
      <c r="K8153" s="8"/>
    </row>
    <row r="8154" spans="1:11" ht="15" x14ac:dyDescent="0.25">
      <c r="A8154" s="3" t="str">
        <f>HYPERLINK("proteomic_fractions_linear_files/Yang_linear_img/170671724.jpg", "170671724")</f>
        <v>170671724</v>
      </c>
      <c r="C8154" s="3" t="str">
        <f>HYPERLINK("http://www.ncbi.nlm.nih.gov/protein/170671724","Uvrag")</f>
        <v>Uvrag</v>
      </c>
      <c r="E8154" t="str">
        <f>HYPERLINK("J:\Depot - mpkCCD Fractions\Main Web Page\Web Pages_old\proteomic_fractions_linear_files/Yang_linear_img/170671724.jpg","show blot")</f>
        <v>show blot</v>
      </c>
      <c r="G8154" t="s">
        <v>7904</v>
      </c>
      <c r="I8154" s="6">
        <v>3.3569987550712499</v>
      </c>
      <c r="K8154" s="8"/>
    </row>
    <row r="8155" spans="1:11" ht="15" x14ac:dyDescent="0.25">
      <c r="A8155" s="3" t="str">
        <f>HYPERLINK("proteomic_fractions_linear_files/Yang_linear_img/28076899.jpg", "28076899")</f>
        <v>28076899</v>
      </c>
      <c r="C8155" s="3" t="str">
        <f>HYPERLINK("http://www.ncbi.nlm.nih.gov/protein/28076899","Uxs1")</f>
        <v>Uxs1</v>
      </c>
      <c r="E8155" t="str">
        <f>HYPERLINK("J:\Depot - mpkCCD Fractions\Main Web Page\Web Pages_old\proteomic_fractions_linear_files/Yang_linear_img/28076899.jpg","show blot")</f>
        <v>show blot</v>
      </c>
      <c r="G8155" t="s">
        <v>7905</v>
      </c>
      <c r="I8155" s="6">
        <v>1.8058567660725957</v>
      </c>
      <c r="K8155" s="8"/>
    </row>
    <row r="8156" spans="1:11" ht="15" x14ac:dyDescent="0.25">
      <c r="A8156" s="3" t="str">
        <f>HYPERLINK("proteomic_fractions_linear_files/Yang_linear_img/30841023.jpg", "30841023")</f>
        <v>30841023</v>
      </c>
      <c r="C8156" s="3" t="str">
        <f>HYPERLINK("http://www.ncbi.nlm.nih.gov/protein/30841023","Uxt")</f>
        <v>Uxt</v>
      </c>
      <c r="E8156" t="str">
        <f>HYPERLINK("J:\Depot - mpkCCD Fractions\Main Web Page\Web Pages_old\proteomic_fractions_linear_files/Yang_linear_img/30841023.jpg","show blot")</f>
        <v>show blot</v>
      </c>
      <c r="G8156" t="s">
        <v>7906</v>
      </c>
      <c r="I8156" s="6">
        <v>4.5794625992054181</v>
      </c>
      <c r="K8156" s="8"/>
    </row>
    <row r="8157" spans="1:11" ht="15" x14ac:dyDescent="0.25">
      <c r="A8157" s="3" t="str">
        <f>HYPERLINK("proteomic_fractions_linear_files/Yang_linear_img/31542488.jpg", "31542488")</f>
        <v>31542488</v>
      </c>
      <c r="C8157" s="3" t="str">
        <f>HYPERLINK("http://www.ncbi.nlm.nih.gov/protein/31542488","Vac14")</f>
        <v>Vac14</v>
      </c>
      <c r="E8157" t="str">
        <f>HYPERLINK("J:\Depot - mpkCCD Fractions\Main Web Page\Web Pages_old\proteomic_fractions_linear_files/Yang_linear_img/31542488.jpg","show blot")</f>
        <v>show blot</v>
      </c>
      <c r="G8157" t="s">
        <v>7907</v>
      </c>
      <c r="I8157" s="6">
        <v>5.226391797125336</v>
      </c>
      <c r="K8157" s="8"/>
    </row>
    <row r="8158" spans="1:11" ht="15" x14ac:dyDescent="0.25">
      <c r="A8158" s="3" t="str">
        <f>HYPERLINK("proteomic_fractions_linear_files/Yang_linear_img/123702073.jpg", "123702073")</f>
        <v>123702073</v>
      </c>
      <c r="C8158" s="3" t="str">
        <f>HYPERLINK("http://www.ncbi.nlm.nih.gov/protein/123702073","Vamp1")</f>
        <v>Vamp1</v>
      </c>
      <c r="E8158" t="str">
        <f>HYPERLINK("J:\Depot - mpkCCD Fractions\Main Web Page\Web Pages_old\proteomic_fractions_linear_files/Yang_linear_img/123702073.jpg","show blot")</f>
        <v>show blot</v>
      </c>
      <c r="G8158" t="s">
        <v>7908</v>
      </c>
      <c r="I8158" s="6">
        <v>4.9339451168560906</v>
      </c>
      <c r="K8158" s="8"/>
    </row>
    <row r="8159" spans="1:11" ht="15" x14ac:dyDescent="0.25">
      <c r="A8159" s="3" t="str">
        <f>HYPERLINK("proteomic_fractions_linear_files/Yang_linear_img/6678549.jpg", "6678549")</f>
        <v>6678549</v>
      </c>
      <c r="C8159" s="3" t="str">
        <f>HYPERLINK("http://www.ncbi.nlm.nih.gov/protein/6678549","Vamp1")</f>
        <v>Vamp1</v>
      </c>
      <c r="E8159" t="str">
        <f>HYPERLINK("J:\Depot - mpkCCD Fractions\Main Web Page\Web Pages_old\proteomic_fractions_linear_files/Yang_linear_img/6678549.jpg","show blot")</f>
        <v>show blot</v>
      </c>
      <c r="G8159" t="s">
        <v>7909</v>
      </c>
      <c r="I8159" s="6">
        <v>4.9339451168560906</v>
      </c>
      <c r="K8159" s="8"/>
    </row>
    <row r="8160" spans="1:11" ht="15" x14ac:dyDescent="0.25">
      <c r="A8160" s="3" t="str">
        <f>HYPERLINK("proteomic_fractions_linear_files/Yang_linear_img/6678551.jpg", "6678551")</f>
        <v>6678551</v>
      </c>
      <c r="C8160" s="3" t="str">
        <f>HYPERLINK("http://www.ncbi.nlm.nih.gov/protein/6678551","Vamp2")</f>
        <v>Vamp2</v>
      </c>
      <c r="E8160" t="str">
        <f>HYPERLINK("J:\Depot - mpkCCD Fractions\Main Web Page\Web Pages_old\proteomic_fractions_linear_files/Yang_linear_img/6678551.jpg","show blot")</f>
        <v>show blot</v>
      </c>
      <c r="G8160" t="s">
        <v>7910</v>
      </c>
      <c r="I8160" s="6">
        <v>6.0198271379875496</v>
      </c>
      <c r="K8160" s="8"/>
    </row>
    <row r="8161" spans="1:11" ht="15" x14ac:dyDescent="0.25">
      <c r="A8161" s="3" t="str">
        <f>HYPERLINK("proteomic_fractions_linear_files/Yang_linear_img/6678553.jpg", "6678553")</f>
        <v>6678553</v>
      </c>
      <c r="C8161" s="3" t="str">
        <f>HYPERLINK("http://www.ncbi.nlm.nih.gov/protein/6678553","Vamp3")</f>
        <v>Vamp3</v>
      </c>
      <c r="E8161" t="str">
        <f>HYPERLINK("J:\Depot - mpkCCD Fractions\Main Web Page\Web Pages_old\proteomic_fractions_linear_files/Yang_linear_img/6678553.jpg","show blot")</f>
        <v>show blot</v>
      </c>
      <c r="G8161" t="s">
        <v>7911</v>
      </c>
      <c r="I8161" s="6">
        <v>6.1152499951304886</v>
      </c>
      <c r="K8161" s="8"/>
    </row>
    <row r="8162" spans="1:11" ht="15" x14ac:dyDescent="0.25">
      <c r="A8162" s="3" t="str">
        <f>HYPERLINK("proteomic_fractions_linear_files/Yang_linear_img/31543938.jpg", "31543938")</f>
        <v>31543938</v>
      </c>
      <c r="C8162" s="3" t="str">
        <f>HYPERLINK("http://www.ncbi.nlm.nih.gov/protein/31543938","Vamp4")</f>
        <v>Vamp4</v>
      </c>
      <c r="E8162" t="str">
        <f>HYPERLINK("J:\Depot - mpkCCD Fractions\Main Web Page\Web Pages_old\proteomic_fractions_linear_files/Yang_linear_img/31543938.jpg","show blot")</f>
        <v>show blot</v>
      </c>
      <c r="G8162" t="s">
        <v>7912</v>
      </c>
      <c r="I8162" s="6">
        <v>3.9675789426407784</v>
      </c>
      <c r="K8162" s="8"/>
    </row>
    <row r="8163" spans="1:11" ht="15" x14ac:dyDescent="0.25">
      <c r="A8163" s="3" t="str">
        <f>HYPERLINK("proteomic_fractions_linear_files/Yang_linear_img/124001562;8394526.jpg", "124001562;8394526")</f>
        <v>124001562;8394526</v>
      </c>
      <c r="C8163" s="3" t="str">
        <f>HYPERLINK("http://www.ncbi.nlm.nih.gov/protein/124001562;8394526","Vamp5")</f>
        <v>Vamp5</v>
      </c>
      <c r="E8163" t="str">
        <f>HYPERLINK("J:\Depot - mpkCCD Fractions\Main Web Page\Web Pages_old\proteomic_fractions_linear_files/Yang_linear_img/124001562;8394526.jpg","show blot")</f>
        <v>show blot</v>
      </c>
      <c r="G8163" t="s">
        <v>7913</v>
      </c>
      <c r="I8163" s="6">
        <v>3.3338375827728619</v>
      </c>
      <c r="K8163" s="8"/>
    </row>
    <row r="8164" spans="1:11" ht="15" x14ac:dyDescent="0.25">
      <c r="A8164" s="3" t="str">
        <f>HYPERLINK("proteomic_fractions_linear_files/Yang_linear_img/33468929.jpg", "33468929")</f>
        <v>33468929</v>
      </c>
      <c r="C8164" s="3" t="str">
        <f>HYPERLINK("http://www.ncbi.nlm.nih.gov/protein/33468929","Vamp7")</f>
        <v>Vamp7</v>
      </c>
      <c r="E8164" t="str">
        <f>HYPERLINK("J:\Depot - mpkCCD Fractions\Main Web Page\Web Pages_old\proteomic_fractions_linear_files/Yang_linear_img/33468929.jpg","show blot")</f>
        <v>show blot</v>
      </c>
      <c r="G8164" t="s">
        <v>7914</v>
      </c>
      <c r="I8164" s="6">
        <v>4.8147133438174317</v>
      </c>
      <c r="K8164" s="8"/>
    </row>
    <row r="8165" spans="1:11" ht="15" x14ac:dyDescent="0.25">
      <c r="A8165" s="3" t="str">
        <f>HYPERLINK("proteomic_fractions_linear_files/Yang_linear_img/31980629.jpg", "31980629")</f>
        <v>31980629</v>
      </c>
      <c r="C8165" s="3" t="str">
        <f>HYPERLINK("http://www.ncbi.nlm.nih.gov/protein/31980629","Vamp8")</f>
        <v>Vamp8</v>
      </c>
      <c r="E8165" t="str">
        <f>HYPERLINK("J:\Depot - mpkCCD Fractions\Main Web Page\Web Pages_old\proteomic_fractions_linear_files/Yang_linear_img/31980629.jpg","show blot")</f>
        <v>show blot</v>
      </c>
      <c r="G8165" t="s">
        <v>7915</v>
      </c>
      <c r="I8165" s="6">
        <v>5.9484208908148863</v>
      </c>
      <c r="K8165" s="8"/>
    </row>
    <row r="8166" spans="1:11" ht="15" x14ac:dyDescent="0.25">
      <c r="A8166" s="3" t="str">
        <f>HYPERLINK("proteomic_fractions_linear_files/Yang_linear_img/260099697.jpg", "260099697")</f>
        <v>260099697</v>
      </c>
      <c r="C8166" s="3" t="str">
        <f>HYPERLINK("http://www.ncbi.nlm.nih.gov/protein/260099697","Vangl1")</f>
        <v>Vangl1</v>
      </c>
      <c r="E8166" t="str">
        <f>HYPERLINK("J:\Depot - mpkCCD Fractions\Main Web Page\Web Pages_old\proteomic_fractions_linear_files/Yang_linear_img/260099697.jpg","show blot")</f>
        <v>show blot</v>
      </c>
      <c r="G8166" t="s">
        <v>7916</v>
      </c>
      <c r="I8166" s="6">
        <v>4.6559296343993894</v>
      </c>
      <c r="K8166" s="8"/>
    </row>
    <row r="8167" spans="1:11" ht="15" x14ac:dyDescent="0.25">
      <c r="A8167" s="3" t="str">
        <f>HYPERLINK("proteomic_fractions_linear_files/Yang_linear_img/260099699.jpg", "260099699")</f>
        <v>260099699</v>
      </c>
      <c r="C8167" s="3" t="str">
        <f>HYPERLINK("http://www.ncbi.nlm.nih.gov/protein/260099699","Vangl1")</f>
        <v>Vangl1</v>
      </c>
      <c r="E8167" t="str">
        <f>HYPERLINK("J:\Depot - mpkCCD Fractions\Main Web Page\Web Pages_old\proteomic_fractions_linear_files/Yang_linear_img/260099699.jpg","show blot")</f>
        <v>show blot</v>
      </c>
      <c r="G8167" t="s">
        <v>7917</v>
      </c>
      <c r="I8167" s="6">
        <v>4.6559296343993894</v>
      </c>
      <c r="K8167" s="8"/>
    </row>
    <row r="8168" spans="1:11" ht="15" x14ac:dyDescent="0.25">
      <c r="A8168" s="3" t="str">
        <f>HYPERLINK("proteomic_fractions_linear_files/Yang_linear_img/94721328.jpg", "94721328")</f>
        <v>94721328</v>
      </c>
      <c r="C8168" s="3" t="str">
        <f>HYPERLINK("http://www.ncbi.nlm.nih.gov/protein/94721328","Vapa")</f>
        <v>Vapa</v>
      </c>
      <c r="E8168" t="str">
        <f>HYPERLINK("J:\Depot - mpkCCD Fractions\Main Web Page\Web Pages_old\proteomic_fractions_linear_files/Yang_linear_img/94721328.jpg","show blot")</f>
        <v>show blot</v>
      </c>
      <c r="G8168" t="s">
        <v>7918</v>
      </c>
      <c r="I8168" s="6">
        <v>6.1046280985770638</v>
      </c>
      <c r="K8168" s="8"/>
    </row>
    <row r="8169" spans="1:11" ht="15" x14ac:dyDescent="0.25">
      <c r="A8169" s="3" t="str">
        <f>HYPERLINK("proteomic_fractions_linear_files/Yang_linear_img/31543940.jpg", "31543940")</f>
        <v>31543940</v>
      </c>
      <c r="C8169" s="3" t="str">
        <f>HYPERLINK("http://www.ncbi.nlm.nih.gov/protein/31543940","Vapb")</f>
        <v>Vapb</v>
      </c>
      <c r="E8169" t="str">
        <f>HYPERLINK("J:\Depot - mpkCCD Fractions\Main Web Page\Web Pages_old\proteomic_fractions_linear_files/Yang_linear_img/31543940.jpg","show blot")</f>
        <v>show blot</v>
      </c>
      <c r="G8169" t="s">
        <v>7919</v>
      </c>
      <c r="I8169" s="6">
        <v>5.9597191274969017</v>
      </c>
      <c r="K8169" s="8"/>
    </row>
    <row r="8170" spans="1:11" ht="15" x14ac:dyDescent="0.25">
      <c r="A8170" s="3" t="str">
        <f>HYPERLINK("proteomic_fractions_linear_files/Yang_linear_img/255069795.jpg", "255069795")</f>
        <v>255069795</v>
      </c>
      <c r="C8170" s="3" t="str">
        <f>HYPERLINK("http://www.ncbi.nlm.nih.gov/protein/255069795","Vars")</f>
        <v>Vars</v>
      </c>
      <c r="E8170" t="str">
        <f>HYPERLINK("J:\Depot - mpkCCD Fractions\Main Web Page\Web Pages_old\proteomic_fractions_linear_files/Yang_linear_img/255069795.jpg","show blot")</f>
        <v>show blot</v>
      </c>
      <c r="G8170" t="s">
        <v>7920</v>
      </c>
      <c r="I8170" s="6">
        <v>6.4190442419595835</v>
      </c>
      <c r="K8170" s="8"/>
    </row>
    <row r="8171" spans="1:11" ht="15" x14ac:dyDescent="0.25">
      <c r="A8171" s="3" t="str">
        <f>HYPERLINK("proteomic_fractions_linear_files/Yang_linear_img/160333671.jpg", "160333671")</f>
        <v>160333671</v>
      </c>
      <c r="C8171" s="3" t="str">
        <f>HYPERLINK("http://www.ncbi.nlm.nih.gov/protein/160333671","Vars2")</f>
        <v>Vars2</v>
      </c>
      <c r="E8171" t="str">
        <f>HYPERLINK("J:\Depot - mpkCCD Fractions\Main Web Page\Web Pages_old\proteomic_fractions_linear_files/Yang_linear_img/160333671.jpg","show blot")</f>
        <v>show blot</v>
      </c>
      <c r="G8171" t="s">
        <v>7921</v>
      </c>
      <c r="I8171" s="6">
        <v>1.7951196436261685</v>
      </c>
      <c r="K8171" s="8"/>
    </row>
    <row r="8172" spans="1:11" ht="15" x14ac:dyDescent="0.25">
      <c r="A8172" s="3" t="str">
        <f>HYPERLINK("proteomic_fractions_linear_files/Yang_linear_img/31981693.jpg", "31981693")</f>
        <v>31981693</v>
      </c>
      <c r="C8172" s="3" t="str">
        <f>HYPERLINK("http://www.ncbi.nlm.nih.gov/protein/31981693","Vasn")</f>
        <v>Vasn</v>
      </c>
      <c r="E8172" t="str">
        <f>HYPERLINK("J:\Depot - mpkCCD Fractions\Main Web Page\Web Pages_old\proteomic_fractions_linear_files/Yang_linear_img/31981693.jpg","show blot")</f>
        <v>show blot</v>
      </c>
      <c r="G8172" t="s">
        <v>7922</v>
      </c>
      <c r="I8172" s="6">
        <v>2.3429965445962293</v>
      </c>
      <c r="K8172" s="8"/>
    </row>
    <row r="8173" spans="1:11" ht="15" x14ac:dyDescent="0.25">
      <c r="A8173" s="3" t="str">
        <f>HYPERLINK("proteomic_fractions_linear_files/Yang_linear_img/530537260.jpg", "530537260")</f>
        <v>530537260</v>
      </c>
      <c r="C8173" s="3" t="str">
        <f>HYPERLINK("http://www.ncbi.nlm.nih.gov/protein/530537260","Vasp")</f>
        <v>Vasp</v>
      </c>
      <c r="E8173" t="str">
        <f>HYPERLINK("J:\Depot - mpkCCD Fractions\Main Web Page\Web Pages_old\proteomic_fractions_linear_files/Yang_linear_img/530537260.jpg","show blot")</f>
        <v>show blot</v>
      </c>
      <c r="G8173" t="s">
        <v>7923</v>
      </c>
      <c r="I8173" s="6">
        <v>4.7615205236158715</v>
      </c>
      <c r="K8173" s="8"/>
    </row>
    <row r="8174" spans="1:11" ht="15" x14ac:dyDescent="0.25">
      <c r="A8174" s="3" t="str">
        <f>HYPERLINK("proteomic_fractions_linear_files/Yang_linear_img/530537263.jpg", "530537263")</f>
        <v>530537263</v>
      </c>
      <c r="C8174" s="3" t="str">
        <f>HYPERLINK("http://www.ncbi.nlm.nih.gov/protein/530537263","Vasp")</f>
        <v>Vasp</v>
      </c>
      <c r="E8174" t="str">
        <f>HYPERLINK("J:\Depot - mpkCCD Fractions\Main Web Page\Web Pages_old\proteomic_fractions_linear_files/Yang_linear_img/530537263.jpg","show blot")</f>
        <v>show blot</v>
      </c>
      <c r="G8174" t="s">
        <v>7924</v>
      </c>
      <c r="I8174" s="6">
        <v>4.7615205236158715</v>
      </c>
      <c r="K8174" s="8"/>
    </row>
    <row r="8175" spans="1:11" ht="15" x14ac:dyDescent="0.25">
      <c r="A8175" s="3" t="str">
        <f>HYPERLINK("proteomic_fractions_linear_files/Yang_linear_img/160707909.jpg", "160707909")</f>
        <v>160707909</v>
      </c>
      <c r="C8175" s="3" t="str">
        <f>HYPERLINK("http://www.ncbi.nlm.nih.gov/protein/160707909","Vasp")</f>
        <v>Vasp</v>
      </c>
      <c r="E8175" t="str">
        <f>HYPERLINK("J:\Depot - mpkCCD Fractions\Main Web Page\Web Pages_old\proteomic_fractions_linear_files/Yang_linear_img/160707909.jpg","show blot")</f>
        <v>show blot</v>
      </c>
      <c r="G8175" t="s">
        <v>7925</v>
      </c>
      <c r="I8175" s="6">
        <v>4.7615205236158715</v>
      </c>
      <c r="K8175" s="8"/>
    </row>
    <row r="8176" spans="1:11" ht="15" x14ac:dyDescent="0.25">
      <c r="A8176" s="3" t="str">
        <f>HYPERLINK("proteomic_fractions_linear_files/Yang_linear_img/33859662.jpg", "33859662")</f>
        <v>33859662</v>
      </c>
      <c r="C8176" s="3" t="str">
        <f>HYPERLINK("http://www.ncbi.nlm.nih.gov/protein/33859662","Vat1")</f>
        <v>Vat1</v>
      </c>
      <c r="E8176" t="str">
        <f>HYPERLINK("J:\Depot - mpkCCD Fractions\Main Web Page\Web Pages_old\proteomic_fractions_linear_files/Yang_linear_img/33859662.jpg","show blot")</f>
        <v>show blot</v>
      </c>
      <c r="G8176" t="s">
        <v>7926</v>
      </c>
      <c r="I8176" s="6">
        <v>6.1527685062777477</v>
      </c>
      <c r="K8176" s="8"/>
    </row>
    <row r="8177" spans="1:11" ht="15" x14ac:dyDescent="0.25">
      <c r="A8177" s="3" t="str">
        <f>HYPERLINK("proteomic_fractions_linear_files/Yang_linear_img/6678555.jpg", "6678555")</f>
        <v>6678555</v>
      </c>
      <c r="C8177" s="3" t="str">
        <f>HYPERLINK("http://www.ncbi.nlm.nih.gov/protein/6678555","Vav2")</f>
        <v>Vav2</v>
      </c>
      <c r="E8177" t="str">
        <f>HYPERLINK("J:\Depot - mpkCCD Fractions\Main Web Page\Web Pages_old\proteomic_fractions_linear_files/Yang_linear_img/6678555.jpg","show blot")</f>
        <v>show blot</v>
      </c>
      <c r="G8177" t="s">
        <v>7927</v>
      </c>
      <c r="I8177" s="6">
        <v>3.434604411409754</v>
      </c>
      <c r="K8177" s="8"/>
    </row>
    <row r="8178" spans="1:11" ht="15" x14ac:dyDescent="0.25">
      <c r="A8178" s="3" t="str">
        <f>HYPERLINK("proteomic_fractions_linear_files/Yang_linear_img/124248572.jpg", "124248572")</f>
        <v>124248572</v>
      </c>
      <c r="C8178" s="3" t="str">
        <f>HYPERLINK("http://www.ncbi.nlm.nih.gov/protein/124248572","Vbp1")</f>
        <v>Vbp1</v>
      </c>
      <c r="E8178" t="str">
        <f>HYPERLINK("J:\Depot - mpkCCD Fractions\Main Web Page\Web Pages_old\proteomic_fractions_linear_files/Yang_linear_img/124248572.jpg","show blot")</f>
        <v>show blot</v>
      </c>
      <c r="G8178" t="s">
        <v>7928</v>
      </c>
      <c r="I8178" s="6">
        <v>5.6283677755915136</v>
      </c>
      <c r="K8178" s="8"/>
    </row>
    <row r="8179" spans="1:11" ht="15" x14ac:dyDescent="0.25">
      <c r="A8179" s="3" t="str">
        <f>HYPERLINK("proteomic_fractions_linear_files/Yang_linear_img/31543942.jpg", "31543942")</f>
        <v>31543942</v>
      </c>
      <c r="C8179" s="3" t="str">
        <f>HYPERLINK("http://www.ncbi.nlm.nih.gov/protein/31543942","Vcl")</f>
        <v>Vcl</v>
      </c>
      <c r="E8179" t="str">
        <f>HYPERLINK("J:\Depot - mpkCCD Fractions\Main Web Page\Web Pages_old\proteomic_fractions_linear_files/Yang_linear_img/31543942.jpg","show blot")</f>
        <v>show blot</v>
      </c>
      <c r="G8179" t="s">
        <v>7929</v>
      </c>
      <c r="I8179" s="6">
        <v>6.6018543331230468</v>
      </c>
      <c r="K8179" s="8"/>
    </row>
    <row r="8180" spans="1:11" ht="15" x14ac:dyDescent="0.25">
      <c r="A8180" s="3" t="str">
        <f>HYPERLINK("proteomic_fractions_linear_files/Yang_linear_img/225543319.jpg", "225543319")</f>
        <v>225543319</v>
      </c>
      <c r="C8180" s="3" t="str">
        <f>HYPERLINK("http://www.ncbi.nlm.nih.gov/protein/225543319","Vcp")</f>
        <v>Vcp</v>
      </c>
      <c r="E8180" t="str">
        <f>HYPERLINK("J:\Depot - mpkCCD Fractions\Main Web Page\Web Pages_old\proteomic_fractions_linear_files/Yang_linear_img/225543319.jpg","show blot")</f>
        <v>show blot</v>
      </c>
      <c r="G8180" t="s">
        <v>7930</v>
      </c>
      <c r="I8180" s="6">
        <v>6.4135561380724306</v>
      </c>
      <c r="K8180" s="8"/>
    </row>
    <row r="8181" spans="1:11" ht="15" x14ac:dyDescent="0.25">
      <c r="A8181" s="3" t="str">
        <f>HYPERLINK("proteomic_fractions_linear_files/Yang_linear_img/70778826.jpg", "70778826")</f>
        <v>70778826</v>
      </c>
      <c r="C8181" s="3" t="str">
        <f>HYPERLINK("http://www.ncbi.nlm.nih.gov/protein/70778826","Vcpip1")</f>
        <v>Vcpip1</v>
      </c>
      <c r="E8181" t="str">
        <f>HYPERLINK("J:\Depot - mpkCCD Fractions\Main Web Page\Web Pages_old\proteomic_fractions_linear_files/Yang_linear_img/70778826.jpg","show blot")</f>
        <v>show blot</v>
      </c>
      <c r="G8181" t="s">
        <v>7931</v>
      </c>
      <c r="I8181" s="6">
        <v>4.475621005723716</v>
      </c>
      <c r="K8181" s="8"/>
    </row>
    <row r="8182" spans="1:11" ht="15" x14ac:dyDescent="0.25">
      <c r="A8182" s="3" t="str">
        <f>HYPERLINK("proteomic_fractions_linear_files/Yang_linear_img/98986329.jpg", "98986329")</f>
        <v>98986329</v>
      </c>
      <c r="C8182" s="3" t="str">
        <f>HYPERLINK("http://www.ncbi.nlm.nih.gov/protein/98986329","Vcpkmt")</f>
        <v>Vcpkmt</v>
      </c>
      <c r="E8182" t="str">
        <f>HYPERLINK("J:\Depot - mpkCCD Fractions\Main Web Page\Web Pages_old\proteomic_fractions_linear_files/Yang_linear_img/98986329.jpg","show blot")</f>
        <v>show blot</v>
      </c>
      <c r="G8182" t="s">
        <v>7932</v>
      </c>
      <c r="I8182" s="6">
        <v>4.3843892297544542</v>
      </c>
      <c r="K8182" s="8"/>
    </row>
    <row r="8183" spans="1:11" ht="15" x14ac:dyDescent="0.25">
      <c r="A8183" s="3" t="str">
        <f>HYPERLINK("proteomic_fractions_linear_files/Yang_linear_img/6755963.jpg", "6755963")</f>
        <v>6755963</v>
      </c>
      <c r="C8183" s="3" t="str">
        <f>HYPERLINK("http://www.ncbi.nlm.nih.gov/protein/6755963","Vdac1")</f>
        <v>Vdac1</v>
      </c>
      <c r="E8183" t="str">
        <f>HYPERLINK("J:\Depot - mpkCCD Fractions\Main Web Page\Web Pages_old\proteomic_fractions_linear_files/Yang_linear_img/6755963.jpg","show blot")</f>
        <v>show blot</v>
      </c>
      <c r="G8183" t="s">
        <v>7933</v>
      </c>
      <c r="I8183" s="6">
        <v>7.0473027472731395</v>
      </c>
      <c r="K8183" s="8"/>
    </row>
    <row r="8184" spans="1:11" ht="15" x14ac:dyDescent="0.25">
      <c r="A8184" s="3" t="str">
        <f>HYPERLINK("proteomic_fractions_linear_files/Yang_linear_img/6755965.jpg", "6755965")</f>
        <v>6755965</v>
      </c>
      <c r="C8184" s="3" t="str">
        <f>HYPERLINK("http://www.ncbi.nlm.nih.gov/protein/6755965","Vdac2")</f>
        <v>Vdac2</v>
      </c>
      <c r="E8184" t="str">
        <f>HYPERLINK("J:\Depot - mpkCCD Fractions\Main Web Page\Web Pages_old\proteomic_fractions_linear_files/Yang_linear_img/6755965.jpg","show blot")</f>
        <v>show blot</v>
      </c>
      <c r="G8184" t="s">
        <v>7934</v>
      </c>
      <c r="I8184" s="6">
        <v>6.8178318845382924</v>
      </c>
      <c r="K8184" s="8"/>
    </row>
    <row r="8185" spans="1:11" ht="15" x14ac:dyDescent="0.25">
      <c r="A8185" s="3" t="str">
        <f>HYPERLINK("proteomic_fractions_linear_files/Yang_linear_img/312222784.jpg", "312222784")</f>
        <v>312222784</v>
      </c>
      <c r="C8185" s="3" t="str">
        <f>HYPERLINK("http://www.ncbi.nlm.nih.gov/protein/312222784","Vdac3")</f>
        <v>Vdac3</v>
      </c>
      <c r="E8185" t="str">
        <f>HYPERLINK("J:\Depot - mpkCCD Fractions\Main Web Page\Web Pages_old\proteomic_fractions_linear_files/Yang_linear_img/312222784.jpg","show blot")</f>
        <v>show blot</v>
      </c>
      <c r="G8185" t="s">
        <v>7935</v>
      </c>
      <c r="I8185" s="6">
        <v>6.6711616079444198</v>
      </c>
      <c r="K8185" s="8"/>
    </row>
    <row r="8186" spans="1:11" ht="15" x14ac:dyDescent="0.25">
      <c r="A8186" s="3" t="str">
        <f>HYPERLINK("proteomic_fractions_linear_files/Yang_linear_img/6755967.jpg", "6755967")</f>
        <v>6755967</v>
      </c>
      <c r="C8186" s="3" t="str">
        <f>HYPERLINK("http://www.ncbi.nlm.nih.gov/protein/6755967","Vdac3")</f>
        <v>Vdac3</v>
      </c>
      <c r="E8186" t="str">
        <f>HYPERLINK("J:\Depot - mpkCCD Fractions\Main Web Page\Web Pages_old\proteomic_fractions_linear_files/Yang_linear_img/6755967.jpg","show blot")</f>
        <v>show blot</v>
      </c>
      <c r="G8186" t="s">
        <v>7936</v>
      </c>
      <c r="I8186" s="6">
        <v>6.6711616079444198</v>
      </c>
      <c r="K8186" s="8"/>
    </row>
    <row r="8187" spans="1:11" ht="15" x14ac:dyDescent="0.25">
      <c r="A8187" s="3" t="str">
        <f>HYPERLINK("proteomic_fractions_linear_files/Yang_linear_img/240848537.jpg", "240848537")</f>
        <v>240848537</v>
      </c>
      <c r="C8187" s="3" t="str">
        <f>HYPERLINK("http://www.ncbi.nlm.nih.gov/protein/240848537","Veph1")</f>
        <v>Veph1</v>
      </c>
      <c r="E8187" t="str">
        <f>HYPERLINK("J:\Depot - mpkCCD Fractions\Main Web Page\Web Pages_old\proteomic_fractions_linear_files/Yang_linear_img/240848537.jpg","show blot")</f>
        <v>show blot</v>
      </c>
      <c r="G8187" t="s">
        <v>7937</v>
      </c>
      <c r="I8187" s="6">
        <v>4.0652751534746372</v>
      </c>
      <c r="K8187" s="8"/>
    </row>
    <row r="8188" spans="1:11" ht="15" x14ac:dyDescent="0.25">
      <c r="A8188" s="3" t="str">
        <f>HYPERLINK("proteomic_fractions_linear_files/Yang_linear_img/6678567.jpg", "6678567")</f>
        <v>6678567</v>
      </c>
      <c r="C8188" s="3" t="str">
        <f>HYPERLINK("http://www.ncbi.nlm.nih.gov/protein/6678567","Vhl")</f>
        <v>Vhl</v>
      </c>
      <c r="E8188" t="str">
        <f>HYPERLINK("J:\Depot - mpkCCD Fractions\Main Web Page\Web Pages_old\proteomic_fractions_linear_files/Yang_linear_img/6678567.jpg","show blot")</f>
        <v>show blot</v>
      </c>
      <c r="G8188" t="s">
        <v>7938</v>
      </c>
      <c r="I8188" s="6">
        <v>2.9238672368542535</v>
      </c>
      <c r="K8188" s="8"/>
    </row>
    <row r="8189" spans="1:11" ht="15" x14ac:dyDescent="0.25">
      <c r="A8189" s="3" t="str">
        <f>HYPERLINK("proteomic_fractions_linear_files/Yang_linear_img/190684696.jpg", "190684696")</f>
        <v>190684696</v>
      </c>
      <c r="C8189" s="3" t="str">
        <f>HYPERLINK("http://www.ncbi.nlm.nih.gov/protein/190684696","Vil1")</f>
        <v>Vil1</v>
      </c>
      <c r="E8189" t="str">
        <f>HYPERLINK("J:\Depot - mpkCCD Fractions\Main Web Page\Web Pages_old\proteomic_fractions_linear_files/Yang_linear_img/190684696.jpg","show blot")</f>
        <v>show blot</v>
      </c>
      <c r="G8189" t="s">
        <v>7939</v>
      </c>
      <c r="I8189" s="6">
        <v>4.7913204678652388</v>
      </c>
      <c r="K8189" s="8"/>
    </row>
    <row r="8190" spans="1:11" ht="15" x14ac:dyDescent="0.25">
      <c r="A8190" s="3" t="str">
        <f>HYPERLINK("proteomic_fractions_linear_files/Yang_linear_img/257096031.jpg", "257096031")</f>
        <v>257096031</v>
      </c>
      <c r="C8190" s="3" t="str">
        <f>HYPERLINK("http://www.ncbi.nlm.nih.gov/protein/257096031","Vill")</f>
        <v>Vill</v>
      </c>
      <c r="E8190" t="str">
        <f>HYPERLINK("J:\Depot - mpkCCD Fractions\Main Web Page\Web Pages_old\proteomic_fractions_linear_files/Yang_linear_img/257096031.jpg","show blot")</f>
        <v>show blot</v>
      </c>
      <c r="G8190" t="s">
        <v>7940</v>
      </c>
      <c r="I8190" s="6">
        <v>4.554308499967255</v>
      </c>
      <c r="K8190" s="8"/>
    </row>
    <row r="8191" spans="1:11" ht="15" x14ac:dyDescent="0.25">
      <c r="A8191" s="3" t="str">
        <f>HYPERLINK("proteomic_fractions_linear_files/Yang_linear_img/257096033.jpg", "257096033")</f>
        <v>257096033</v>
      </c>
      <c r="C8191" s="3" t="str">
        <f>HYPERLINK("http://www.ncbi.nlm.nih.gov/protein/257096033","Vill")</f>
        <v>Vill</v>
      </c>
      <c r="E8191" t="str">
        <f>HYPERLINK("J:\Depot - mpkCCD Fractions\Main Web Page\Web Pages_old\proteomic_fractions_linear_files/Yang_linear_img/257096033.jpg","show blot")</f>
        <v>show blot</v>
      </c>
      <c r="G8191" t="s">
        <v>7941</v>
      </c>
      <c r="I8191" s="6">
        <v>4.554308499967255</v>
      </c>
      <c r="K8191" s="8"/>
    </row>
    <row r="8192" spans="1:11" ht="15" x14ac:dyDescent="0.25">
      <c r="A8192" s="3" t="str">
        <f>HYPERLINK("proteomic_fractions_linear_files/Yang_linear_img/31982755.jpg", "31982755")</f>
        <v>31982755</v>
      </c>
      <c r="C8192" s="3" t="str">
        <f>HYPERLINK("http://www.ncbi.nlm.nih.gov/protein/31982755","Vim")</f>
        <v>Vim</v>
      </c>
      <c r="E8192" t="str">
        <f>HYPERLINK("J:\Depot - mpkCCD Fractions\Main Web Page\Web Pages_old\proteomic_fractions_linear_files/Yang_linear_img/31982755.jpg","show blot")</f>
        <v>show blot</v>
      </c>
      <c r="G8192" t="s">
        <v>7942</v>
      </c>
      <c r="I8192" s="6">
        <v>6.437105828102073</v>
      </c>
      <c r="K8192" s="8"/>
    </row>
    <row r="8193" spans="1:11" ht="15" x14ac:dyDescent="0.25">
      <c r="A8193" s="3" t="str">
        <f>HYPERLINK("proteomic_fractions_linear_files/Yang_linear_img/111119010.jpg", "111119010")</f>
        <v>111119010</v>
      </c>
      <c r="C8193" s="3" t="str">
        <f>HYPERLINK("http://www.ncbi.nlm.nih.gov/protein/111119010","Vimp")</f>
        <v>Vimp</v>
      </c>
      <c r="E8193" t="str">
        <f>HYPERLINK("J:\Depot - mpkCCD Fractions\Main Web Page\Web Pages_old\proteomic_fractions_linear_files/Yang_linear_img/111119010.jpg","show blot")</f>
        <v>show blot</v>
      </c>
      <c r="G8193" t="s">
        <v>7943</v>
      </c>
      <c r="I8193" s="6">
        <v>3.0763720054929462</v>
      </c>
      <c r="K8193" s="8"/>
    </row>
    <row r="8194" spans="1:11" ht="15" x14ac:dyDescent="0.25">
      <c r="A8194" s="3" t="str">
        <f>HYPERLINK("proteomic_fractions_linear_files/Yang_linear_img/217035166.jpg", "217035166")</f>
        <v>217035166</v>
      </c>
      <c r="C8194" s="3" t="str">
        <f>HYPERLINK("http://www.ncbi.nlm.nih.gov/protein/217035166","Vipas39")</f>
        <v>Vipas39</v>
      </c>
      <c r="E8194" t="str">
        <f>HYPERLINK("J:\Depot - mpkCCD Fractions\Main Web Page\Web Pages_old\proteomic_fractions_linear_files/Yang_linear_img/217035166.jpg","show blot")</f>
        <v>show blot</v>
      </c>
      <c r="G8194" t="s">
        <v>7944</v>
      </c>
      <c r="I8194" s="6">
        <v>1.3482327270988372</v>
      </c>
      <c r="K8194" s="8"/>
    </row>
    <row r="8195" spans="1:11" ht="15" x14ac:dyDescent="0.25">
      <c r="A8195" s="3" t="str">
        <f>HYPERLINK("proteomic_fractions_linear_files/Yang_linear_img/217272818.jpg", "217272818")</f>
        <v>217272818</v>
      </c>
      <c r="C8195" s="3" t="str">
        <f>HYPERLINK("http://www.ncbi.nlm.nih.gov/protein/217272818","Vipas39")</f>
        <v>Vipas39</v>
      </c>
      <c r="E8195" t="str">
        <f>HYPERLINK("J:\Depot - mpkCCD Fractions\Main Web Page\Web Pages_old\proteomic_fractions_linear_files/Yang_linear_img/217272818.jpg","show blot")</f>
        <v>show blot</v>
      </c>
      <c r="G8195" t="s">
        <v>7945</v>
      </c>
      <c r="I8195" s="6">
        <v>1.3482327270988372</v>
      </c>
      <c r="K8195" s="8"/>
    </row>
    <row r="8196" spans="1:11" ht="15" x14ac:dyDescent="0.25">
      <c r="A8196" s="3" t="str">
        <f>HYPERLINK("proteomic_fractions_linear_files/Yang_linear_img/30519915.jpg", "30519915")</f>
        <v>30519915</v>
      </c>
      <c r="C8196" s="3" t="str">
        <f>HYPERLINK("http://www.ncbi.nlm.nih.gov/protein/30519915","Vkorc1")</f>
        <v>Vkorc1</v>
      </c>
      <c r="E8196" t="str">
        <f>HYPERLINK("J:\Depot - mpkCCD Fractions\Main Web Page\Web Pages_old\proteomic_fractions_linear_files/Yang_linear_img/30519915.jpg","show blot")</f>
        <v>show blot</v>
      </c>
      <c r="G8196" t="s">
        <v>7946</v>
      </c>
      <c r="I8196" s="6">
        <v>4.5236650129047034</v>
      </c>
      <c r="K8196" s="8"/>
    </row>
    <row r="8197" spans="1:11" ht="15" x14ac:dyDescent="0.25">
      <c r="A8197" s="3" t="str">
        <f>HYPERLINK("proteomic_fractions_linear_files/Yang_linear_img/556503385.jpg", "556503385")</f>
        <v>556503385</v>
      </c>
      <c r="C8197" s="3" t="str">
        <f>HYPERLINK("http://www.ncbi.nlm.nih.gov/protein/556503385","Vkorc1l1")</f>
        <v>Vkorc1l1</v>
      </c>
      <c r="E8197" t="str">
        <f>HYPERLINK("J:\Depot - mpkCCD Fractions\Main Web Page\Web Pages_old\proteomic_fractions_linear_files/Yang_linear_img/556503385.jpg","show blot")</f>
        <v>show blot</v>
      </c>
      <c r="G8197" t="s">
        <v>7947</v>
      </c>
      <c r="I8197" s="6">
        <v>4.5534834679737211</v>
      </c>
      <c r="K8197" s="8"/>
    </row>
    <row r="8198" spans="1:11" ht="15" x14ac:dyDescent="0.25">
      <c r="A8198" s="3" t="str">
        <f>HYPERLINK("proteomic_fractions_linear_files/Yang_linear_img/47717109.jpg", "47717109")</f>
        <v>47717109</v>
      </c>
      <c r="C8198" s="3" t="str">
        <f>HYPERLINK("http://www.ncbi.nlm.nih.gov/protein/47717109","Vkorc1l1")</f>
        <v>Vkorc1l1</v>
      </c>
      <c r="E8198" t="str">
        <f>HYPERLINK("J:\Depot - mpkCCD Fractions\Main Web Page\Web Pages_old\proteomic_fractions_linear_files/Yang_linear_img/47717109.jpg","show blot")</f>
        <v>show blot</v>
      </c>
      <c r="G8198" t="s">
        <v>7948</v>
      </c>
      <c r="I8198" s="6">
        <v>4.5534834679737211</v>
      </c>
      <c r="K8198" s="8"/>
    </row>
    <row r="8199" spans="1:11" ht="15" x14ac:dyDescent="0.25">
      <c r="A8199" s="3" t="str">
        <f>HYPERLINK("proteomic_fractions_linear_files/Yang_linear_img/46309457.jpg", "46309457")</f>
        <v>46309457</v>
      </c>
      <c r="C8199" s="3" t="str">
        <f>HYPERLINK("http://www.ncbi.nlm.nih.gov/protein/46309457","Vkorc1l1")</f>
        <v>Vkorc1l1</v>
      </c>
      <c r="E8199" t="str">
        <f>HYPERLINK("J:\Depot - mpkCCD Fractions\Main Web Page\Web Pages_old\proteomic_fractions_linear_files/Yang_linear_img/46309457.jpg","show blot")</f>
        <v>show blot</v>
      </c>
      <c r="G8199" t="s">
        <v>7949</v>
      </c>
      <c r="I8199" s="6">
        <v>4.5534834679737211</v>
      </c>
      <c r="K8199" s="8"/>
    </row>
    <row r="8200" spans="1:11" ht="15" x14ac:dyDescent="0.25">
      <c r="A8200" s="3" t="str">
        <f>HYPERLINK("proteomic_fractions_linear_files/Yang_linear_img/238637303.jpg", "238637303")</f>
        <v>238637303</v>
      </c>
      <c r="C8200" s="3" t="str">
        <f>HYPERLINK("http://www.ncbi.nlm.nih.gov/protein/238637303","Vldlr")</f>
        <v>Vldlr</v>
      </c>
      <c r="E8200" t="str">
        <f>HYPERLINK("J:\Depot - mpkCCD Fractions\Main Web Page\Web Pages_old\proteomic_fractions_linear_files/Yang_linear_img/238637303.jpg","show blot")</f>
        <v>show blot</v>
      </c>
      <c r="G8200" t="s">
        <v>7950</v>
      </c>
      <c r="I8200" s="6">
        <v>2.126191892564802</v>
      </c>
      <c r="K8200" s="8"/>
    </row>
    <row r="8201" spans="1:11" ht="15" x14ac:dyDescent="0.25">
      <c r="A8201" s="3" t="str">
        <f>HYPERLINK("proteomic_fractions_linear_files/Yang_linear_img/238637305.jpg", "238637305")</f>
        <v>238637305</v>
      </c>
      <c r="C8201" s="3" t="str">
        <f>HYPERLINK("http://www.ncbi.nlm.nih.gov/protein/238637305","Vldlr")</f>
        <v>Vldlr</v>
      </c>
      <c r="E8201" t="str">
        <f>HYPERLINK("J:\Depot - mpkCCD Fractions\Main Web Page\Web Pages_old\proteomic_fractions_linear_files/Yang_linear_img/238637305.jpg","show blot")</f>
        <v>show blot</v>
      </c>
      <c r="G8201" t="s">
        <v>7951</v>
      </c>
      <c r="I8201" s="6">
        <v>2.126191892564802</v>
      </c>
      <c r="K8201" s="8"/>
    </row>
    <row r="8202" spans="1:11" ht="15" x14ac:dyDescent="0.25">
      <c r="A8202" s="3" t="str">
        <f>HYPERLINK("proteomic_fractions_linear_files/Yang_linear_img/124486867.jpg", "124486867")</f>
        <v>124486867</v>
      </c>
      <c r="C8202" s="3" t="str">
        <f>HYPERLINK("http://www.ncbi.nlm.nih.gov/protein/124486867","Vma21")</f>
        <v>Vma21</v>
      </c>
      <c r="E8202" t="str">
        <f>HYPERLINK("J:\Depot - mpkCCD Fractions\Main Web Page\Web Pages_old\proteomic_fractions_linear_files/Yang_linear_img/124486867.jpg","show blot")</f>
        <v>show blot</v>
      </c>
      <c r="G8202" t="s">
        <v>7952</v>
      </c>
      <c r="I8202" s="6">
        <v>4.3188547920417708</v>
      </c>
      <c r="K8202" s="8"/>
    </row>
    <row r="8203" spans="1:11" ht="15" x14ac:dyDescent="0.25">
      <c r="A8203" s="3" t="str">
        <f>HYPERLINK("proteomic_fractions_linear_files/Yang_linear_img/262050612.jpg", "262050612")</f>
        <v>262050612</v>
      </c>
      <c r="C8203" s="3" t="str">
        <f>HYPERLINK("http://www.ncbi.nlm.nih.gov/protein/262050612","Vmac")</f>
        <v>Vmac</v>
      </c>
      <c r="E8203" t="str">
        <f>HYPERLINK("J:\Depot - mpkCCD Fractions\Main Web Page\Web Pages_old\proteomic_fractions_linear_files/Yang_linear_img/262050612.jpg","show blot")</f>
        <v>show blot</v>
      </c>
      <c r="G8203" t="s">
        <v>7953</v>
      </c>
      <c r="I8203" s="6">
        <v>3.990814026484867</v>
      </c>
      <c r="K8203" s="8"/>
    </row>
    <row r="8204" spans="1:11" ht="15" x14ac:dyDescent="0.25">
      <c r="A8204" s="3" t="str">
        <f>HYPERLINK("proteomic_fractions_linear_files/Yang_linear_img/30725792.jpg", "30725792")</f>
        <v>30725792</v>
      </c>
      <c r="C8204" s="3" t="str">
        <f>HYPERLINK("http://www.ncbi.nlm.nih.gov/protein/30725792","Vmac")</f>
        <v>Vmac</v>
      </c>
      <c r="E8204" t="str">
        <f>HYPERLINK("J:\Depot - mpkCCD Fractions\Main Web Page\Web Pages_old\proteomic_fractions_linear_files/Yang_linear_img/30725792.jpg","show blot")</f>
        <v>show blot</v>
      </c>
      <c r="G8204" t="s">
        <v>7954</v>
      </c>
      <c r="I8204" s="6">
        <v>3.990814026484867</v>
      </c>
      <c r="K8204" s="8"/>
    </row>
    <row r="8205" spans="1:11" ht="15" x14ac:dyDescent="0.25">
      <c r="A8205" s="3" t="str">
        <f>HYPERLINK("proteomic_fractions_linear_files/Yang_linear_img/282847329.jpg", "282847329")</f>
        <v>282847329</v>
      </c>
      <c r="C8205" s="3" t="str">
        <f>HYPERLINK("http://www.ncbi.nlm.nih.gov/protein/282847329","Vmn1r11")</f>
        <v>Vmn1r11</v>
      </c>
      <c r="E8205" t="str">
        <f>HYPERLINK("J:\Depot - mpkCCD Fractions\Main Web Page\Web Pages_old\proteomic_fractions_linear_files/Yang_linear_img/282847329.jpg","show blot")</f>
        <v>show blot</v>
      </c>
      <c r="G8205" t="s">
        <v>7955</v>
      </c>
      <c r="I8205" s="6">
        <v>4.6292984820019045</v>
      </c>
      <c r="K8205" s="8"/>
    </row>
    <row r="8206" spans="1:11" ht="15" x14ac:dyDescent="0.25">
      <c r="A8206" s="3" t="str">
        <f>HYPERLINK("proteomic_fractions_linear_files/Yang_linear_img/285026477.jpg", "285026477")</f>
        <v>285026477</v>
      </c>
      <c r="C8206" s="3" t="str">
        <f>HYPERLINK("http://www.ncbi.nlm.nih.gov/protein/285026477","Vmn1r68")</f>
        <v>Vmn1r68</v>
      </c>
      <c r="E8206" t="str">
        <f>HYPERLINK("J:\Depot - mpkCCD Fractions\Main Web Page\Web Pages_old\proteomic_fractions_linear_files/Yang_linear_img/285026477.jpg","show blot")</f>
        <v>show blot</v>
      </c>
      <c r="G8206" t="s">
        <v>7956</v>
      </c>
      <c r="I8206" s="6">
        <v>3.1677766626407062</v>
      </c>
      <c r="K8206" s="8"/>
    </row>
    <row r="8207" spans="1:11" ht="15" x14ac:dyDescent="0.25">
      <c r="A8207" s="3" t="str">
        <f>HYPERLINK("proteomic_fractions_linear_files/Yang_linear_img/22003898.jpg", "22003898")</f>
        <v>22003898</v>
      </c>
      <c r="C8207" s="3" t="str">
        <f>HYPERLINK("http://www.ncbi.nlm.nih.gov/protein/22003898","Vmn1r69")</f>
        <v>Vmn1r69</v>
      </c>
      <c r="E8207" t="str">
        <f>HYPERLINK("J:\Depot - mpkCCD Fractions\Main Web Page\Web Pages_old\proteomic_fractions_linear_files/Yang_linear_img/22003898.jpg","show blot")</f>
        <v>show blot</v>
      </c>
      <c r="G8207" t="s">
        <v>7957</v>
      </c>
      <c r="I8207" s="6">
        <v>3.1677766626407062</v>
      </c>
      <c r="K8207" s="8"/>
    </row>
    <row r="8208" spans="1:11" ht="15" x14ac:dyDescent="0.25">
      <c r="A8208" s="3" t="str">
        <f>HYPERLINK("proteomic_fractions_linear_files/Yang_linear_img/27753991.jpg", "27753991")</f>
        <v>27753991</v>
      </c>
      <c r="C8208" s="3" t="str">
        <f>HYPERLINK("http://www.ncbi.nlm.nih.gov/protein/27753991","Vmp1")</f>
        <v>Vmp1</v>
      </c>
      <c r="E8208" t="str">
        <f>HYPERLINK("J:\Depot - mpkCCD Fractions\Main Web Page\Web Pages_old\proteomic_fractions_linear_files/Yang_linear_img/27753991.jpg","show blot")</f>
        <v>show blot</v>
      </c>
      <c r="G8208" t="s">
        <v>7958</v>
      </c>
      <c r="I8208" s="6">
        <v>3.5313531846947916</v>
      </c>
      <c r="K8208" s="8"/>
    </row>
    <row r="8209" spans="1:11" ht="15" x14ac:dyDescent="0.25">
      <c r="A8209" s="3" t="str">
        <f>HYPERLINK("proteomic_fractions_linear_files/Yang_linear_img/82617569.jpg", "82617569")</f>
        <v>82617569</v>
      </c>
      <c r="C8209" s="3" t="str">
        <f>HYPERLINK("http://www.ncbi.nlm.nih.gov/protein/82617569","Vprbp")</f>
        <v>Vprbp</v>
      </c>
      <c r="E8209" t="str">
        <f>HYPERLINK("J:\Depot - mpkCCD Fractions\Main Web Page\Web Pages_old\proteomic_fractions_linear_files/Yang_linear_img/82617569.jpg","show blot")</f>
        <v>show blot</v>
      </c>
      <c r="G8209" t="s">
        <v>7959</v>
      </c>
      <c r="I8209" s="6">
        <v>3.8049859445644434</v>
      </c>
      <c r="K8209" s="8"/>
    </row>
    <row r="8210" spans="1:11" ht="15" x14ac:dyDescent="0.25">
      <c r="A8210" s="3" t="str">
        <f>HYPERLINK("proteomic_fractions_linear_files/Yang_linear_img/58037259.jpg", "58037259")</f>
        <v>58037259</v>
      </c>
      <c r="C8210" s="3" t="str">
        <f>HYPERLINK("http://www.ncbi.nlm.nih.gov/protein/58037259","Vps11")</f>
        <v>Vps11</v>
      </c>
      <c r="E8210" t="str">
        <f>HYPERLINK("J:\Depot - mpkCCD Fractions\Main Web Page\Web Pages_old\proteomic_fractions_linear_files/Yang_linear_img/58037259.jpg","show blot")</f>
        <v>show blot</v>
      </c>
      <c r="G8210" t="s">
        <v>7960</v>
      </c>
      <c r="I8210" s="6">
        <v>3.2586313255147097</v>
      </c>
      <c r="K8210" s="8"/>
    </row>
    <row r="8211" spans="1:11" ht="15" x14ac:dyDescent="0.25">
      <c r="A8211" s="3" t="str">
        <f>HYPERLINK("proteomic_fractions_linear_files/Yang_linear_img/66392160.jpg", "66392160")</f>
        <v>66392160</v>
      </c>
      <c r="C8211" s="3" t="str">
        <f>HYPERLINK("http://www.ncbi.nlm.nih.gov/protein/66392160","Vps13a")</f>
        <v>Vps13a</v>
      </c>
      <c r="E8211" t="str">
        <f>HYPERLINK("J:\Depot - mpkCCD Fractions\Main Web Page\Web Pages_old\proteomic_fractions_linear_files/Yang_linear_img/66392160.jpg","show blot")</f>
        <v>show blot</v>
      </c>
      <c r="G8211" t="s">
        <v>7961</v>
      </c>
      <c r="I8211" s="6">
        <v>3.0146811354274061</v>
      </c>
      <c r="K8211" s="8"/>
    </row>
    <row r="8212" spans="1:11" ht="15" x14ac:dyDescent="0.25">
      <c r="A8212" s="3" t="str">
        <f>HYPERLINK("proteomic_fractions_linear_files/Yang_linear_img/122114537.jpg", "122114537")</f>
        <v>122114537</v>
      </c>
      <c r="C8212" s="3" t="str">
        <f>HYPERLINK("http://www.ncbi.nlm.nih.gov/protein/122114537","Vps13c")</f>
        <v>Vps13c</v>
      </c>
      <c r="E8212" t="str">
        <f>HYPERLINK("J:\Depot - mpkCCD Fractions\Main Web Page\Web Pages_old\proteomic_fractions_linear_files/Yang_linear_img/122114537.jpg","show blot")</f>
        <v>show blot</v>
      </c>
      <c r="G8212" t="s">
        <v>7962</v>
      </c>
      <c r="I8212" s="6">
        <v>4.6087021726697239</v>
      </c>
      <c r="K8212" s="8"/>
    </row>
    <row r="8213" spans="1:11" ht="15" x14ac:dyDescent="0.25">
      <c r="A8213" s="3" t="str">
        <f>HYPERLINK("proteomic_fractions_linear_files/Yang_linear_img/451172096.jpg", "451172096")</f>
        <v>451172096</v>
      </c>
      <c r="C8213" s="3" t="str">
        <f>HYPERLINK("http://www.ncbi.nlm.nih.gov/protein/451172096","Vps13d")</f>
        <v>Vps13d</v>
      </c>
      <c r="E8213" t="str">
        <f>HYPERLINK("J:\Depot - mpkCCD Fractions\Main Web Page\Web Pages_old\proteomic_fractions_linear_files/Yang_linear_img/451172096.jpg","show blot")</f>
        <v>show blot</v>
      </c>
      <c r="G8213" t="s">
        <v>7963</v>
      </c>
      <c r="I8213" s="6">
        <v>0.74172751291019967</v>
      </c>
      <c r="K8213" s="8"/>
    </row>
    <row r="8214" spans="1:11" ht="15" x14ac:dyDescent="0.25">
      <c r="A8214" s="3" t="str">
        <f>HYPERLINK("proteomic_fractions_linear_files/Yang_linear_img/451805038.jpg", "451805038")</f>
        <v>451805038</v>
      </c>
      <c r="C8214" s="3" t="str">
        <f>HYPERLINK("http://www.ncbi.nlm.nih.gov/protein/451805038","Vps13d")</f>
        <v>Vps13d</v>
      </c>
      <c r="E8214" t="str">
        <f>HYPERLINK("J:\Depot - mpkCCD Fractions\Main Web Page\Web Pages_old\proteomic_fractions_linear_files/Yang_linear_img/451805038.jpg","show blot")</f>
        <v>show blot</v>
      </c>
      <c r="G8214" t="s">
        <v>7964</v>
      </c>
      <c r="I8214" s="6">
        <v>0.74172751291019967</v>
      </c>
      <c r="K8214" s="8"/>
    </row>
    <row r="8215" spans="1:11" ht="15" x14ac:dyDescent="0.25">
      <c r="A8215" s="3" t="str">
        <f>HYPERLINK("proteomic_fractions_linear_files/Yang_linear_img/254939640.jpg", "254939640")</f>
        <v>254939640</v>
      </c>
      <c r="C8215" s="3" t="str">
        <f>HYPERLINK("http://www.ncbi.nlm.nih.gov/protein/254939640","Vps16")</f>
        <v>Vps16</v>
      </c>
      <c r="E8215" t="str">
        <f>HYPERLINK("J:\Depot - mpkCCD Fractions\Main Web Page\Web Pages_old\proteomic_fractions_linear_files/Yang_linear_img/254939640.jpg","show blot")</f>
        <v>show blot</v>
      </c>
      <c r="G8215" t="s">
        <v>7965</v>
      </c>
      <c r="I8215" s="6">
        <v>4.1185524866007555</v>
      </c>
      <c r="K8215" s="8"/>
    </row>
    <row r="8216" spans="1:11" ht="15" x14ac:dyDescent="0.25">
      <c r="A8216" s="3" t="str">
        <f>HYPERLINK("proteomic_fractions_linear_files/Yang_linear_img/254675217.jpg", "254675217")</f>
        <v>254675217</v>
      </c>
      <c r="C8216" s="3" t="str">
        <f>HYPERLINK("http://www.ncbi.nlm.nih.gov/protein/254675217","Vps18")</f>
        <v>Vps18</v>
      </c>
      <c r="E8216" t="str">
        <f>HYPERLINK("J:\Depot - mpkCCD Fractions\Main Web Page\Web Pages_old\proteomic_fractions_linear_files/Yang_linear_img/254675217.jpg","show blot")</f>
        <v>show blot</v>
      </c>
      <c r="G8216" t="s">
        <v>7966</v>
      </c>
      <c r="I8216" s="6">
        <v>3.7694952608437853</v>
      </c>
      <c r="K8216" s="8"/>
    </row>
    <row r="8217" spans="1:11" ht="15" x14ac:dyDescent="0.25">
      <c r="A8217" s="3" t="str">
        <f>HYPERLINK("proteomic_fractions_linear_files/Yang_linear_img/548923764.jpg", "548923764")</f>
        <v>548923764</v>
      </c>
      <c r="C8217" s="3" t="str">
        <f>HYPERLINK("http://www.ncbi.nlm.nih.gov/protein/548923764","Vps25")</f>
        <v>Vps25</v>
      </c>
      <c r="E8217" t="str">
        <f>HYPERLINK("J:\Depot - mpkCCD Fractions\Main Web Page\Web Pages_old\proteomic_fractions_linear_files/Yang_linear_img/548923764.jpg","show blot")</f>
        <v>show blot</v>
      </c>
      <c r="G8217" t="s">
        <v>7967</v>
      </c>
      <c r="I8217" s="6">
        <v>5.4851344095807368</v>
      </c>
      <c r="K8217" s="8"/>
    </row>
    <row r="8218" spans="1:11" ht="15" x14ac:dyDescent="0.25">
      <c r="A8218" s="3" t="str">
        <f>HYPERLINK("proteomic_fractions_linear_files/Yang_linear_img/25092662.jpg", "25092662")</f>
        <v>25092662</v>
      </c>
      <c r="C8218" s="3" t="str">
        <f>HYPERLINK("http://www.ncbi.nlm.nih.gov/protein/25092662","Vps25")</f>
        <v>Vps25</v>
      </c>
      <c r="E8218" t="str">
        <f>HYPERLINK("J:\Depot - mpkCCD Fractions\Main Web Page\Web Pages_old\proteomic_fractions_linear_files/Yang_linear_img/25092662.jpg","show blot")</f>
        <v>show blot</v>
      </c>
      <c r="G8218" t="s">
        <v>7968</v>
      </c>
      <c r="I8218" s="6">
        <v>5.4851344095807368</v>
      </c>
      <c r="K8218" s="8"/>
    </row>
    <row r="8219" spans="1:11" ht="15" x14ac:dyDescent="0.25">
      <c r="A8219" s="3" t="str">
        <f>HYPERLINK("proteomic_fractions_linear_files/Yang_linear_img/164518904.jpg", "164518904")</f>
        <v>164518904</v>
      </c>
      <c r="C8219" s="3" t="str">
        <f>HYPERLINK("http://www.ncbi.nlm.nih.gov/protein/164518904","Vps26a")</f>
        <v>Vps26a</v>
      </c>
      <c r="E8219" t="str">
        <f>HYPERLINK("J:\Depot - mpkCCD Fractions\Main Web Page\Web Pages_old\proteomic_fractions_linear_files/Yang_linear_img/164518904.jpg","show blot")</f>
        <v>show blot</v>
      </c>
      <c r="G8219" t="s">
        <v>7969</v>
      </c>
      <c r="I8219" s="6">
        <v>6.1825905423422665</v>
      </c>
      <c r="K8219" s="8"/>
    </row>
    <row r="8220" spans="1:11" ht="15" x14ac:dyDescent="0.25">
      <c r="A8220" s="3" t="str">
        <f>HYPERLINK("proteomic_fractions_linear_files/Yang_linear_img/19526826.jpg", "19526826")</f>
        <v>19526826</v>
      </c>
      <c r="C8220" s="3" t="str">
        <f>HYPERLINK("http://www.ncbi.nlm.nih.gov/protein/19526826","Vps26a")</f>
        <v>Vps26a</v>
      </c>
      <c r="E8220" t="str">
        <f>HYPERLINK("J:\Depot - mpkCCD Fractions\Main Web Page\Web Pages_old\proteomic_fractions_linear_files/Yang_linear_img/19526826.jpg","show blot")</f>
        <v>show blot</v>
      </c>
      <c r="G8220" t="s">
        <v>7970</v>
      </c>
      <c r="I8220" s="6">
        <v>6.1825905423422665</v>
      </c>
      <c r="K8220" s="8"/>
    </row>
    <row r="8221" spans="1:11" ht="15" x14ac:dyDescent="0.25">
      <c r="A8221" s="3" t="str">
        <f>HYPERLINK("proteomic_fractions_linear_files/Yang_linear_img/29825827.jpg", "29825827")</f>
        <v>29825827</v>
      </c>
      <c r="C8221" s="3" t="str">
        <f>HYPERLINK("http://www.ncbi.nlm.nih.gov/protein/29825827","Vps26b")</f>
        <v>Vps26b</v>
      </c>
      <c r="E8221" t="str">
        <f>HYPERLINK("J:\Depot - mpkCCD Fractions\Main Web Page\Web Pages_old\proteomic_fractions_linear_files/Yang_linear_img/29825827.jpg","show blot")</f>
        <v>show blot</v>
      </c>
      <c r="G8221" t="s">
        <v>7971</v>
      </c>
      <c r="I8221" s="6">
        <v>5.5119902449435294</v>
      </c>
      <c r="K8221" s="8"/>
    </row>
    <row r="8222" spans="1:11" ht="15" x14ac:dyDescent="0.25">
      <c r="A8222" s="3" t="str">
        <f>HYPERLINK("proteomic_fractions_linear_files/Yang_linear_img/13385320.jpg", "13385320")</f>
        <v>13385320</v>
      </c>
      <c r="C8222" s="3" t="str">
        <f>HYPERLINK("http://www.ncbi.nlm.nih.gov/protein/13385320","Vps28")</f>
        <v>Vps28</v>
      </c>
      <c r="E8222" t="str">
        <f>HYPERLINK("J:\Depot - mpkCCD Fractions\Main Web Page\Web Pages_old\proteomic_fractions_linear_files/Yang_linear_img/13385320.jpg","show blot")</f>
        <v>show blot</v>
      </c>
      <c r="G8222" t="s">
        <v>7972</v>
      </c>
      <c r="I8222" s="6">
        <v>5.3432143562647898</v>
      </c>
      <c r="K8222" s="8"/>
    </row>
    <row r="8223" spans="1:11" ht="15" x14ac:dyDescent="0.25">
      <c r="A8223" s="3" t="str">
        <f>HYPERLINK("proteomic_fractions_linear_files/Yang_linear_img/9790285.jpg", "9790285")</f>
        <v>9790285</v>
      </c>
      <c r="C8223" s="3" t="str">
        <f>HYPERLINK("http://www.ncbi.nlm.nih.gov/protein/9790285","Vps29")</f>
        <v>Vps29</v>
      </c>
      <c r="E8223" t="str">
        <f>HYPERLINK("J:\Depot - mpkCCD Fractions\Main Web Page\Web Pages_old\proteomic_fractions_linear_files/Yang_linear_img/9790285.jpg","show blot")</f>
        <v>show blot</v>
      </c>
      <c r="G8223" t="s">
        <v>7973</v>
      </c>
      <c r="I8223" s="6">
        <v>6.082267459963937</v>
      </c>
      <c r="K8223" s="8"/>
    </row>
    <row r="8224" spans="1:11" ht="15" x14ac:dyDescent="0.25">
      <c r="A8224" s="3" t="str">
        <f>HYPERLINK("proteomic_fractions_linear_files/Yang_linear_img/254588041.jpg", "254588041")</f>
        <v>254588041</v>
      </c>
      <c r="C8224" s="3" t="str">
        <f>HYPERLINK("http://www.ncbi.nlm.nih.gov/protein/254588041","Vps33a")</f>
        <v>Vps33a</v>
      </c>
      <c r="E8224" t="str">
        <f>HYPERLINK("J:\Depot - mpkCCD Fractions\Main Web Page\Web Pages_old\proteomic_fractions_linear_files/Yang_linear_img/254588041.jpg","show blot")</f>
        <v>show blot</v>
      </c>
      <c r="G8224" t="s">
        <v>7974</v>
      </c>
      <c r="I8224" s="6">
        <v>3.9685196148126707</v>
      </c>
      <c r="K8224" s="8"/>
    </row>
    <row r="8225" spans="1:11" ht="15" x14ac:dyDescent="0.25">
      <c r="A8225" s="3" t="str">
        <f>HYPERLINK("proteomic_fractions_linear_files/Yang_linear_img/158937308.jpg", "158937308")</f>
        <v>158937308</v>
      </c>
      <c r="C8225" s="3" t="str">
        <f>HYPERLINK("http://www.ncbi.nlm.nih.gov/protein/158937308","Vps33b")</f>
        <v>Vps33b</v>
      </c>
      <c r="E8225" t="str">
        <f>HYPERLINK("J:\Depot - mpkCCD Fractions\Main Web Page\Web Pages_old\proteomic_fractions_linear_files/Yang_linear_img/158937308.jpg","show blot")</f>
        <v>show blot</v>
      </c>
      <c r="G8225" t="s">
        <v>7975</v>
      </c>
      <c r="I8225" s="6">
        <v>4.388224214616546</v>
      </c>
      <c r="K8225" s="8"/>
    </row>
    <row r="8226" spans="1:11" ht="15" x14ac:dyDescent="0.25">
      <c r="A8226" s="3" t="str">
        <f>HYPERLINK("proteomic_fractions_linear_files/Yang_linear_img/13928670.jpg", "13928670")</f>
        <v>13928670</v>
      </c>
      <c r="C8226" s="3" t="str">
        <f>HYPERLINK("http://www.ncbi.nlm.nih.gov/protein/13928670","Vps35")</f>
        <v>Vps35</v>
      </c>
      <c r="E8226" t="str">
        <f>HYPERLINK("J:\Depot - mpkCCD Fractions\Main Web Page\Web Pages_old\proteomic_fractions_linear_files/Yang_linear_img/13928670.jpg","show blot")</f>
        <v>show blot</v>
      </c>
      <c r="G8226" t="s">
        <v>7976</v>
      </c>
      <c r="I8226" s="6">
        <v>6.0522097725629385</v>
      </c>
      <c r="K8226" s="8"/>
    </row>
    <row r="8227" spans="1:11" ht="15" x14ac:dyDescent="0.25">
      <c r="A8227" s="3" t="str">
        <f>HYPERLINK("proteomic_fractions_linear_files/Yang_linear_img/30794416.jpg", "30794416")</f>
        <v>30794416</v>
      </c>
      <c r="C8227" s="3" t="str">
        <f>HYPERLINK("http://www.ncbi.nlm.nih.gov/protein/30794416","Vps36")</f>
        <v>Vps36</v>
      </c>
      <c r="E8227" t="str">
        <f>HYPERLINK("J:\Depot - mpkCCD Fractions\Main Web Page\Web Pages_old\proteomic_fractions_linear_files/Yang_linear_img/30794416.jpg","show blot")</f>
        <v>show blot</v>
      </c>
      <c r="G8227" t="s">
        <v>7977</v>
      </c>
      <c r="I8227" s="6">
        <v>5.0785347311439279</v>
      </c>
      <c r="K8227" s="8"/>
    </row>
    <row r="8228" spans="1:11" ht="15" x14ac:dyDescent="0.25">
      <c r="A8228" s="3" t="str">
        <f>HYPERLINK("proteomic_fractions_linear_files/Yang_linear_img/29244484.jpg", "29244484")</f>
        <v>29244484</v>
      </c>
      <c r="C8228" s="3" t="str">
        <f>HYPERLINK("http://www.ncbi.nlm.nih.gov/protein/29244484","Vps37b")</f>
        <v>Vps37b</v>
      </c>
      <c r="E8228" t="str">
        <f>HYPERLINK("J:\Depot - mpkCCD Fractions\Main Web Page\Web Pages_old\proteomic_fractions_linear_files/Yang_linear_img/29244484.jpg","show blot")</f>
        <v>show blot</v>
      </c>
      <c r="G8228" t="s">
        <v>7978</v>
      </c>
      <c r="I8228" s="6">
        <v>4.2108321748537954</v>
      </c>
      <c r="K8228" s="8"/>
    </row>
    <row r="8229" spans="1:11" ht="15" x14ac:dyDescent="0.25">
      <c r="A8229" s="3" t="str">
        <f>HYPERLINK("proteomic_fractions_linear_files/Yang_linear_img/31088908.jpg", "31088908")</f>
        <v>31088908</v>
      </c>
      <c r="C8229" s="3" t="str">
        <f>HYPERLINK("http://www.ncbi.nlm.nih.gov/protein/31088908","Vps37c")</f>
        <v>Vps37c</v>
      </c>
      <c r="E8229" t="str">
        <f>HYPERLINK("J:\Depot - mpkCCD Fractions\Main Web Page\Web Pages_old\proteomic_fractions_linear_files/Yang_linear_img/31088908.jpg","show blot")</f>
        <v>show blot</v>
      </c>
      <c r="G8229" t="s">
        <v>7979</v>
      </c>
      <c r="I8229" s="6">
        <v>3.7896675625521237</v>
      </c>
      <c r="K8229" s="8"/>
    </row>
    <row r="8230" spans="1:11" ht="15" x14ac:dyDescent="0.25">
      <c r="A8230" s="3" t="str">
        <f>HYPERLINK("proteomic_fractions_linear_files/Yang_linear_img/22164794.jpg", "22164794")</f>
        <v>22164794</v>
      </c>
      <c r="C8230" s="3" t="str">
        <f>HYPERLINK("http://www.ncbi.nlm.nih.gov/protein/22164794","Vps39")</f>
        <v>Vps39</v>
      </c>
      <c r="E8230" t="str">
        <f>HYPERLINK("J:\Depot - mpkCCD Fractions\Main Web Page\Web Pages_old\proteomic_fractions_linear_files/Yang_linear_img/22164794.jpg","show blot")</f>
        <v>show blot</v>
      </c>
      <c r="G8230" t="s">
        <v>7980</v>
      </c>
      <c r="I8230" s="6">
        <v>3.6051037296659754</v>
      </c>
      <c r="K8230" s="8"/>
    </row>
    <row r="8231" spans="1:11" ht="15" x14ac:dyDescent="0.25">
      <c r="A8231" s="3" t="str">
        <f>HYPERLINK("proteomic_fractions_linear_files/Yang_linear_img/30578384.jpg", "30578384")</f>
        <v>30578384</v>
      </c>
      <c r="C8231" s="3" t="str">
        <f>HYPERLINK("http://www.ncbi.nlm.nih.gov/protein/30578384","Vps39")</f>
        <v>Vps39</v>
      </c>
      <c r="E8231" t="str">
        <f>HYPERLINK("J:\Depot - mpkCCD Fractions\Main Web Page\Web Pages_old\proteomic_fractions_linear_files/Yang_linear_img/30578384.jpg","show blot")</f>
        <v>show blot</v>
      </c>
      <c r="G8231" t="s">
        <v>7981</v>
      </c>
      <c r="I8231" s="6">
        <v>3.6051037296659754</v>
      </c>
      <c r="K8231" s="8"/>
    </row>
    <row r="8232" spans="1:11" ht="15" x14ac:dyDescent="0.25">
      <c r="A8232" s="3" t="str">
        <f>HYPERLINK("proteomic_fractions_linear_files/Yang_linear_img/7305631.jpg", "7305631")</f>
        <v>7305631</v>
      </c>
      <c r="C8232" s="3" t="str">
        <f>HYPERLINK("http://www.ncbi.nlm.nih.gov/protein/7305631","Vps45")</f>
        <v>Vps45</v>
      </c>
      <c r="E8232" t="str">
        <f>HYPERLINK("J:\Depot - mpkCCD Fractions\Main Web Page\Web Pages_old\proteomic_fractions_linear_files/Yang_linear_img/7305631.jpg","show blot")</f>
        <v>show blot</v>
      </c>
      <c r="G8232" t="s">
        <v>7982</v>
      </c>
      <c r="I8232" s="6">
        <v>4.6922386893536414</v>
      </c>
      <c r="K8232" s="8"/>
    </row>
    <row r="8233" spans="1:11" ht="15" x14ac:dyDescent="0.25">
      <c r="A8233" s="3" t="str">
        <f>HYPERLINK("proteomic_fractions_linear_files/Yang_linear_img/18699726.jpg", "18699726")</f>
        <v>18699726</v>
      </c>
      <c r="C8233" s="3" t="str">
        <f>HYPERLINK("http://www.ncbi.nlm.nih.gov/protein/18699726","Vps4a")</f>
        <v>Vps4a</v>
      </c>
      <c r="E8233" t="str">
        <f>HYPERLINK("J:\Depot - mpkCCD Fractions\Main Web Page\Web Pages_old\proteomic_fractions_linear_files/Yang_linear_img/18699726.jpg","show blot")</f>
        <v>show blot</v>
      </c>
      <c r="G8233" t="s">
        <v>7983</v>
      </c>
      <c r="I8233" s="6">
        <v>4.4069166097176238</v>
      </c>
      <c r="K8233" s="8"/>
    </row>
    <row r="8234" spans="1:11" ht="15" x14ac:dyDescent="0.25">
      <c r="A8234" s="3" t="str">
        <f>HYPERLINK("proteomic_fractions_linear_files/Yang_linear_img/164698506.jpg", "164698506")</f>
        <v>164698506</v>
      </c>
      <c r="C8234" s="3" t="str">
        <f>HYPERLINK("http://www.ncbi.nlm.nih.gov/protein/164698506","Vps4b")</f>
        <v>Vps4b</v>
      </c>
      <c r="E8234" t="str">
        <f>HYPERLINK("J:\Depot - mpkCCD Fractions\Main Web Page\Web Pages_old\proteomic_fractions_linear_files/Yang_linear_img/164698506.jpg","show blot")</f>
        <v>show blot</v>
      </c>
      <c r="G8234" t="s">
        <v>7984</v>
      </c>
      <c r="I8234" s="6">
        <v>5.014938617364801</v>
      </c>
      <c r="K8234" s="8"/>
    </row>
    <row r="8235" spans="1:11" ht="15" x14ac:dyDescent="0.25">
      <c r="A8235" s="3" t="str">
        <f>HYPERLINK("proteomic_fractions_linear_files/Yang_linear_img/124486662.jpg", "124486662")</f>
        <v>124486662</v>
      </c>
      <c r="C8235" s="3" t="str">
        <f>HYPERLINK("http://www.ncbi.nlm.nih.gov/protein/124486662","Vps51")</f>
        <v>Vps51</v>
      </c>
      <c r="E8235" t="str">
        <f>HYPERLINK("J:\Depot - mpkCCD Fractions\Main Web Page\Web Pages_old\proteomic_fractions_linear_files/Yang_linear_img/124486662.jpg","show blot")</f>
        <v>show blot</v>
      </c>
      <c r="G8235" t="s">
        <v>7985</v>
      </c>
      <c r="I8235" s="6">
        <v>5.0530722986484511</v>
      </c>
      <c r="K8235" s="8"/>
    </row>
    <row r="8236" spans="1:11" ht="15" x14ac:dyDescent="0.25">
      <c r="A8236" s="3" t="str">
        <f>HYPERLINK("proteomic_fractions_linear_files/Yang_linear_img/148747162.jpg", "148747162")</f>
        <v>148747162</v>
      </c>
      <c r="C8236" s="3" t="str">
        <f>HYPERLINK("http://www.ncbi.nlm.nih.gov/protein/148747162","Vps52")</f>
        <v>Vps52</v>
      </c>
      <c r="E8236" t="str">
        <f>HYPERLINK("J:\Depot - mpkCCD Fractions\Main Web Page\Web Pages_old\proteomic_fractions_linear_files/Yang_linear_img/148747162.jpg","show blot")</f>
        <v>show blot</v>
      </c>
      <c r="G8236" t="s">
        <v>7986</v>
      </c>
      <c r="I8236" s="6">
        <v>5.0907218955918205</v>
      </c>
      <c r="K8236" s="8"/>
    </row>
    <row r="8237" spans="1:11" ht="15" x14ac:dyDescent="0.25">
      <c r="A8237" s="3" t="str">
        <f>HYPERLINK("proteomic_fractions_linear_files/Yang_linear_img/377833518.jpg", "377833518")</f>
        <v>377833518</v>
      </c>
      <c r="C8237" s="3" t="str">
        <f>HYPERLINK("http://www.ncbi.nlm.nih.gov/protein/377833518","Vps52")</f>
        <v>Vps52</v>
      </c>
      <c r="E8237" t="str">
        <f>HYPERLINK("J:\Depot - mpkCCD Fractions\Main Web Page\Web Pages_old\proteomic_fractions_linear_files/Yang_linear_img/377833518.jpg","show blot")</f>
        <v>show blot</v>
      </c>
      <c r="G8237" t="s">
        <v>7987</v>
      </c>
      <c r="I8237" s="6">
        <v>5.0907218955918205</v>
      </c>
      <c r="K8237" s="8"/>
    </row>
    <row r="8238" spans="1:11" ht="15" x14ac:dyDescent="0.25">
      <c r="A8238" s="3" t="str">
        <f>HYPERLINK("proteomic_fractions_linear_files/Yang_linear_img/31980873.jpg", "31980873")</f>
        <v>31980873</v>
      </c>
      <c r="C8238" s="3" t="str">
        <f>HYPERLINK("http://www.ncbi.nlm.nih.gov/protein/31980873","Vps53")</f>
        <v>Vps53</v>
      </c>
      <c r="E8238" t="str">
        <f>HYPERLINK("J:\Depot - mpkCCD Fractions\Main Web Page\Web Pages_old\proteomic_fractions_linear_files/Yang_linear_img/31980873.jpg","show blot")</f>
        <v>show blot</v>
      </c>
      <c r="G8238" t="s">
        <v>7988</v>
      </c>
      <c r="I8238" s="6">
        <v>4.933302550318408</v>
      </c>
      <c r="K8238" s="8"/>
    </row>
    <row r="8239" spans="1:11" ht="15" x14ac:dyDescent="0.25">
      <c r="A8239" s="3" t="str">
        <f>HYPERLINK("proteomic_fractions_linear_files/Yang_linear_img/124486983.jpg", "124486983")</f>
        <v>124486983</v>
      </c>
      <c r="C8239" s="3" t="str">
        <f>HYPERLINK("http://www.ncbi.nlm.nih.gov/protein/124486983","Vps8")</f>
        <v>Vps8</v>
      </c>
      <c r="E8239" t="str">
        <f>HYPERLINK("J:\Depot - mpkCCD Fractions\Main Web Page\Web Pages_old\proteomic_fractions_linear_files/Yang_linear_img/124486983.jpg","show blot")</f>
        <v>show blot</v>
      </c>
      <c r="G8239" t="s">
        <v>7989</v>
      </c>
      <c r="I8239" s="6">
        <v>3.6880273563732389</v>
      </c>
      <c r="K8239" s="8"/>
    </row>
    <row r="8240" spans="1:11" ht="15" x14ac:dyDescent="0.25">
      <c r="A8240" s="3" t="str">
        <f>HYPERLINK("proteomic_fractions_linear_files/Yang_linear_img/71067120.jpg", "71067120")</f>
        <v>71067120</v>
      </c>
      <c r="C8240" s="3" t="str">
        <f>HYPERLINK("http://www.ncbi.nlm.nih.gov/protein/71067120","Vrk1")</f>
        <v>Vrk1</v>
      </c>
      <c r="E8240" t="str">
        <f>HYPERLINK("J:\Depot - mpkCCD Fractions\Main Web Page\Web Pages_old\proteomic_fractions_linear_files/Yang_linear_img/71067120.jpg","show blot")</f>
        <v>show blot</v>
      </c>
      <c r="G8240" t="s">
        <v>7990</v>
      </c>
      <c r="I8240" s="6">
        <v>4.6188784245630448</v>
      </c>
      <c r="K8240" s="8"/>
    </row>
    <row r="8241" spans="1:11" ht="15" x14ac:dyDescent="0.25">
      <c r="A8241" s="3" t="str">
        <f>HYPERLINK("proteomic_fractions_linear_files/Yang_linear_img/71067122.jpg", "71067122")</f>
        <v>71067122</v>
      </c>
      <c r="C8241" s="3" t="str">
        <f>HYPERLINK("http://www.ncbi.nlm.nih.gov/protein/71067122","Vrk1")</f>
        <v>Vrk1</v>
      </c>
      <c r="E8241" t="str">
        <f>HYPERLINK("J:\Depot - mpkCCD Fractions\Main Web Page\Web Pages_old\proteomic_fractions_linear_files/Yang_linear_img/71067122.jpg","show blot")</f>
        <v>show blot</v>
      </c>
      <c r="G8241" t="s">
        <v>7991</v>
      </c>
      <c r="I8241" s="6">
        <v>4.6188784245630448</v>
      </c>
      <c r="K8241" s="8"/>
    </row>
    <row r="8242" spans="1:11" ht="15" x14ac:dyDescent="0.25">
      <c r="A8242" s="3" t="str">
        <f>HYPERLINK("proteomic_fractions_linear_files/Yang_linear_img/6755985.jpg", "6755985")</f>
        <v>6755985</v>
      </c>
      <c r="C8242" s="3" t="str">
        <f>HYPERLINK("http://www.ncbi.nlm.nih.gov/protein/6755985","Vrk1")</f>
        <v>Vrk1</v>
      </c>
      <c r="E8242" t="str">
        <f>HYPERLINK("J:\Depot - mpkCCD Fractions\Main Web Page\Web Pages_old\proteomic_fractions_linear_files/Yang_linear_img/6755985.jpg","show blot")</f>
        <v>show blot</v>
      </c>
      <c r="G8242" t="s">
        <v>7992</v>
      </c>
      <c r="I8242" s="6">
        <v>4.6188784245630448</v>
      </c>
      <c r="K8242" s="8"/>
    </row>
    <row r="8243" spans="1:11" ht="15" x14ac:dyDescent="0.25">
      <c r="A8243" s="3" t="str">
        <f>HYPERLINK("proteomic_fractions_linear_files/Yang_linear_img/148664203.jpg", "148664203")</f>
        <v>148664203</v>
      </c>
      <c r="C8243" s="3" t="str">
        <f>HYPERLINK("http://www.ncbi.nlm.nih.gov/protein/148664203","Vsig10")</f>
        <v>Vsig10</v>
      </c>
      <c r="E8243" t="str">
        <f>HYPERLINK("J:\Depot - mpkCCD Fractions\Main Web Page\Web Pages_old\proteomic_fractions_linear_files/Yang_linear_img/148664203.jpg","show blot")</f>
        <v>show blot</v>
      </c>
      <c r="G8243" t="s">
        <v>7993</v>
      </c>
      <c r="I8243" s="6">
        <v>4.7170113956923254</v>
      </c>
      <c r="K8243" s="8"/>
    </row>
    <row r="8244" spans="1:11" ht="15" x14ac:dyDescent="0.25">
      <c r="A8244" s="3" t="str">
        <f>HYPERLINK("proteomic_fractions_linear_files/Yang_linear_img/27754140.jpg", "27754140")</f>
        <v>27754140</v>
      </c>
      <c r="C8244" s="3" t="str">
        <f>HYPERLINK("http://www.ncbi.nlm.nih.gov/protein/27754140","Vta1")</f>
        <v>Vta1</v>
      </c>
      <c r="E8244" t="str">
        <f>HYPERLINK("J:\Depot - mpkCCD Fractions\Main Web Page\Web Pages_old\proteomic_fractions_linear_files/Yang_linear_img/27754140.jpg","show blot")</f>
        <v>show blot</v>
      </c>
      <c r="G8244" t="s">
        <v>7994</v>
      </c>
      <c r="I8244" s="6">
        <v>5.5614635985262053</v>
      </c>
      <c r="K8244" s="8"/>
    </row>
    <row r="8245" spans="1:11" ht="15" x14ac:dyDescent="0.25">
      <c r="A8245" s="3" t="str">
        <f>HYPERLINK("proteomic_fractions_linear_files/Yang_linear_img/13928668.jpg", "13928668")</f>
        <v>13928668</v>
      </c>
      <c r="C8245" s="3" t="str">
        <f>HYPERLINK("http://www.ncbi.nlm.nih.gov/protein/13928668","Vti1a")</f>
        <v>Vti1a</v>
      </c>
      <c r="E8245" t="str">
        <f>HYPERLINK("J:\Depot - mpkCCD Fractions\Main Web Page\Web Pages_old\proteomic_fractions_linear_files/Yang_linear_img/13928668.jpg","show blot")</f>
        <v>show blot</v>
      </c>
      <c r="G8245" t="s">
        <v>7995</v>
      </c>
      <c r="I8245" s="6">
        <v>4.1772290890206749</v>
      </c>
      <c r="K8245" s="8"/>
    </row>
    <row r="8246" spans="1:11" ht="15" x14ac:dyDescent="0.25">
      <c r="A8246" s="3" t="str">
        <f>HYPERLINK("proteomic_fractions_linear_files/Yang_linear_img/31980617.jpg", "31980617")</f>
        <v>31980617</v>
      </c>
      <c r="C8246" s="3" t="str">
        <f>HYPERLINK("http://www.ncbi.nlm.nih.gov/protein/31980617","Vti1b")</f>
        <v>Vti1b</v>
      </c>
      <c r="E8246" t="str">
        <f>HYPERLINK("J:\Depot - mpkCCD Fractions\Main Web Page\Web Pages_old\proteomic_fractions_linear_files/Yang_linear_img/31980617.jpg","show blot")</f>
        <v>show blot</v>
      </c>
      <c r="G8246" t="s">
        <v>7996</v>
      </c>
      <c r="I8246" s="6">
        <v>4.2996383651401109</v>
      </c>
      <c r="K8246" s="8"/>
    </row>
    <row r="8247" spans="1:11" ht="15" x14ac:dyDescent="0.25">
      <c r="A8247" s="3" t="str">
        <f>HYPERLINK("proteomic_fractions_linear_files/Yang_linear_img/225543183.jpg", "225543183")</f>
        <v>225543183</v>
      </c>
      <c r="C8247" s="3" t="str">
        <f>HYPERLINK("http://www.ncbi.nlm.nih.gov/protein/225543183","Vwa5a")</f>
        <v>Vwa5a</v>
      </c>
      <c r="E8247" t="str">
        <f>HYPERLINK("J:\Depot - mpkCCD Fractions\Main Web Page\Web Pages_old\proteomic_fractions_linear_files/Yang_linear_img/225543183.jpg","show blot")</f>
        <v>show blot</v>
      </c>
      <c r="G8247" t="s">
        <v>7997</v>
      </c>
      <c r="I8247" s="6">
        <v>5.38024773820284</v>
      </c>
      <c r="K8247" s="8"/>
    </row>
    <row r="8248" spans="1:11" ht="15" x14ac:dyDescent="0.25">
      <c r="A8248" s="3" t="str">
        <f>HYPERLINK("proteomic_fractions_linear_files/Yang_linear_img/226958579.jpg", "226958579")</f>
        <v>226958579</v>
      </c>
      <c r="C8248" s="3" t="str">
        <f>HYPERLINK("http://www.ncbi.nlm.nih.gov/protein/226958579","Vwa8")</f>
        <v>Vwa8</v>
      </c>
      <c r="E8248" t="str">
        <f>HYPERLINK("J:\Depot - mpkCCD Fractions\Main Web Page\Web Pages_old\proteomic_fractions_linear_files/Yang_linear_img/226958579.jpg","show blot")</f>
        <v>show blot</v>
      </c>
      <c r="G8248" t="s">
        <v>7998</v>
      </c>
      <c r="I8248" s="6">
        <v>3.4482839533410927</v>
      </c>
      <c r="K8248" s="8"/>
    </row>
    <row r="8249" spans="1:11" ht="15" x14ac:dyDescent="0.25">
      <c r="A8249" s="3" t="str">
        <f>HYPERLINK("proteomic_fractions_linear_files/Yang_linear_img/226958581.jpg", "226958581")</f>
        <v>226958581</v>
      </c>
      <c r="C8249" s="3" t="str">
        <f>HYPERLINK("http://www.ncbi.nlm.nih.gov/protein/226958581","Vwa8")</f>
        <v>Vwa8</v>
      </c>
      <c r="E8249" t="str">
        <f>HYPERLINK("J:\Depot - mpkCCD Fractions\Main Web Page\Web Pages_old\proteomic_fractions_linear_files/Yang_linear_img/226958581.jpg","show blot")</f>
        <v>show blot</v>
      </c>
      <c r="G8249" t="s">
        <v>7999</v>
      </c>
      <c r="I8249" s="6">
        <v>3.4482839533410927</v>
      </c>
      <c r="K8249" s="8"/>
    </row>
    <row r="8250" spans="1:11" ht="15" x14ac:dyDescent="0.25">
      <c r="A8250" s="3" t="str">
        <f>HYPERLINK("proteomic_fractions_linear_files/Yang_linear_img/117647251.jpg", "117647251")</f>
        <v>117647251</v>
      </c>
      <c r="C8250" s="3" t="str">
        <f>HYPERLINK("http://www.ncbi.nlm.nih.gov/protein/117647251","Vwa9")</f>
        <v>Vwa9</v>
      </c>
      <c r="E8250" t="str">
        <f>HYPERLINK("J:\Depot - mpkCCD Fractions\Main Web Page\Web Pages_old\proteomic_fractions_linear_files/Yang_linear_img/117647251.jpg","show blot")</f>
        <v>show blot</v>
      </c>
      <c r="G8250" t="s">
        <v>8000</v>
      </c>
      <c r="I8250" s="6">
        <v>3.1946767565321514</v>
      </c>
      <c r="K8250" s="8"/>
    </row>
    <row r="8251" spans="1:11" ht="15" x14ac:dyDescent="0.25">
      <c r="A8251" s="3" t="str">
        <f>HYPERLINK("proteomic_fractions_linear_files/Yang_linear_img/226371681.jpg", "226371681")</f>
        <v>226371681</v>
      </c>
      <c r="C8251" s="3" t="str">
        <f>HYPERLINK("http://www.ncbi.nlm.nih.gov/protein/226371681","Wac")</f>
        <v>Wac</v>
      </c>
      <c r="E8251" t="str">
        <f>HYPERLINK("J:\Depot - mpkCCD Fractions\Main Web Page\Web Pages_old\proteomic_fractions_linear_files/Yang_linear_img/226371681.jpg","show blot")</f>
        <v>show blot</v>
      </c>
      <c r="G8251" t="s">
        <v>8001</v>
      </c>
      <c r="I8251" s="6">
        <v>4.9240663993532205</v>
      </c>
      <c r="K8251" s="8"/>
    </row>
    <row r="8252" spans="1:11" ht="15" x14ac:dyDescent="0.25">
      <c r="A8252" s="3" t="str">
        <f>HYPERLINK("proteomic_fractions_linear_files/Yang_linear_img/256818746.jpg", "256818746")</f>
        <v>256818746</v>
      </c>
      <c r="C8252" s="3" t="str">
        <f>HYPERLINK("http://www.ncbi.nlm.nih.gov/protein/256818746","Wars")</f>
        <v>Wars</v>
      </c>
      <c r="E8252" t="str">
        <f>HYPERLINK("J:\Depot - mpkCCD Fractions\Main Web Page\Web Pages_old\proteomic_fractions_linear_files/Yang_linear_img/256818746.jpg","show blot")</f>
        <v>show blot</v>
      </c>
      <c r="G8252" t="s">
        <v>8002</v>
      </c>
      <c r="I8252" s="6">
        <v>5.8622514055722137</v>
      </c>
      <c r="K8252" s="8"/>
    </row>
    <row r="8253" spans="1:11" ht="15" x14ac:dyDescent="0.25">
      <c r="A8253" s="3" t="str">
        <f>HYPERLINK("proteomic_fractions_linear_files/Yang_linear_img/256818802.jpg", "256818802")</f>
        <v>256818802</v>
      </c>
      <c r="C8253" s="3" t="str">
        <f>HYPERLINK("http://www.ncbi.nlm.nih.gov/protein/256818802","Wars")</f>
        <v>Wars</v>
      </c>
      <c r="E8253" t="str">
        <f>HYPERLINK("J:\Depot - mpkCCD Fractions\Main Web Page\Web Pages_old\proteomic_fractions_linear_files/Yang_linear_img/256818802.jpg","show blot")</f>
        <v>show blot</v>
      </c>
      <c r="G8253" t="s">
        <v>8003</v>
      </c>
      <c r="I8253" s="6">
        <v>5.8622514055722137</v>
      </c>
      <c r="K8253" s="8"/>
    </row>
    <row r="8254" spans="1:11" ht="15" x14ac:dyDescent="0.25">
      <c r="A8254" s="3" t="str">
        <f>HYPERLINK("proteomic_fractions_linear_files/Yang_linear_img/13994209.jpg", "13994209")</f>
        <v>13994209</v>
      </c>
      <c r="C8254" s="3" t="str">
        <f>HYPERLINK("http://www.ncbi.nlm.nih.gov/protein/13994209","Wasf1")</f>
        <v>Wasf1</v>
      </c>
      <c r="E8254" t="str">
        <f>HYPERLINK("J:\Depot - mpkCCD Fractions\Main Web Page\Web Pages_old\proteomic_fractions_linear_files/Yang_linear_img/13994209.jpg","show blot")</f>
        <v>show blot</v>
      </c>
      <c r="G8254" t="s">
        <v>8004</v>
      </c>
      <c r="I8254" s="6">
        <v>3.2797949983303418</v>
      </c>
      <c r="K8254" s="8"/>
    </row>
    <row r="8255" spans="1:11" ht="15" x14ac:dyDescent="0.25">
      <c r="A8255" s="3" t="str">
        <f>HYPERLINK("proteomic_fractions_linear_files/Yang_linear_img/23510313.jpg", "23510313")</f>
        <v>23510313</v>
      </c>
      <c r="C8255" s="3" t="str">
        <f>HYPERLINK("http://www.ncbi.nlm.nih.gov/protein/23510313","Wasf2")</f>
        <v>Wasf2</v>
      </c>
      <c r="E8255" t="str">
        <f>HYPERLINK("J:\Depot - mpkCCD Fractions\Main Web Page\Web Pages_old\proteomic_fractions_linear_files/Yang_linear_img/23510313.jpg","show blot")</f>
        <v>show blot</v>
      </c>
      <c r="G8255" t="s">
        <v>8005</v>
      </c>
      <c r="I8255" s="6">
        <v>4.6549771381190794</v>
      </c>
      <c r="K8255" s="8"/>
    </row>
    <row r="8256" spans="1:11" ht="15" x14ac:dyDescent="0.25">
      <c r="A8256" s="3" t="str">
        <f>HYPERLINK("proteomic_fractions_linear_files/Yang_linear_img/83649760.jpg", "83649760")</f>
        <v>83649760</v>
      </c>
      <c r="C8256" s="3" t="str">
        <f>HYPERLINK("http://www.ncbi.nlm.nih.gov/protein/83649760","Wash")</f>
        <v>Wash</v>
      </c>
      <c r="E8256" t="str">
        <f>HYPERLINK("J:\Depot - mpkCCD Fractions\Main Web Page\Web Pages_old\proteomic_fractions_linear_files/Yang_linear_img/83649760.jpg","show blot")</f>
        <v>show blot</v>
      </c>
      <c r="G8256" t="s">
        <v>8006</v>
      </c>
      <c r="I8256" s="6">
        <v>4.3285884594110211</v>
      </c>
      <c r="K8256" s="8"/>
    </row>
    <row r="8257" spans="1:11" ht="15" x14ac:dyDescent="0.25">
      <c r="A8257" s="3" t="str">
        <f>HYPERLINK("proteomic_fractions_linear_files/Yang_linear_img/268370040.jpg", "268370040")</f>
        <v>268370040</v>
      </c>
      <c r="C8257" s="3" t="str">
        <f>HYPERLINK("http://www.ncbi.nlm.nih.gov/protein/268370040","Wasl")</f>
        <v>Wasl</v>
      </c>
      <c r="E8257" t="str">
        <f>HYPERLINK("J:\Depot - mpkCCD Fractions\Main Web Page\Web Pages_old\proteomic_fractions_linear_files/Yang_linear_img/268370040.jpg","show blot")</f>
        <v>show blot</v>
      </c>
      <c r="G8257" t="s">
        <v>8007</v>
      </c>
      <c r="I8257" s="6">
        <v>5.0416102750437464</v>
      </c>
      <c r="K8257" s="8"/>
    </row>
    <row r="8258" spans="1:11" ht="15" x14ac:dyDescent="0.25">
      <c r="A8258" s="3" t="str">
        <f>HYPERLINK("proteomic_fractions_linear_files/Yang_linear_img/268370042.jpg", "268370042")</f>
        <v>268370042</v>
      </c>
      <c r="C8258" s="3" t="str">
        <f>HYPERLINK("http://www.ncbi.nlm.nih.gov/protein/268370042","Wasl")</f>
        <v>Wasl</v>
      </c>
      <c r="E8258" t="str">
        <f>HYPERLINK("J:\Depot - mpkCCD Fractions\Main Web Page\Web Pages_old\proteomic_fractions_linear_files/Yang_linear_img/268370042.jpg","show blot")</f>
        <v>show blot</v>
      </c>
      <c r="G8258" t="s">
        <v>8008</v>
      </c>
      <c r="I8258" s="6">
        <v>5.0416102750437464</v>
      </c>
      <c r="K8258" s="8"/>
    </row>
    <row r="8259" spans="1:11" ht="15" x14ac:dyDescent="0.25">
      <c r="A8259" s="3" t="str">
        <f>HYPERLINK("proteomic_fractions_linear_files/Yang_linear_img/267844920.jpg", "267844920")</f>
        <v>267844920</v>
      </c>
      <c r="C8259" s="3" t="str">
        <f>HYPERLINK("http://www.ncbi.nlm.nih.gov/protein/267844920","Wbp11")</f>
        <v>Wbp11</v>
      </c>
      <c r="E8259" t="str">
        <f>HYPERLINK("J:\Depot - mpkCCD Fractions\Main Web Page\Web Pages_old\proteomic_fractions_linear_files/Yang_linear_img/267844920.jpg","show blot")</f>
        <v>show blot</v>
      </c>
      <c r="G8259" t="s">
        <v>8009</v>
      </c>
      <c r="I8259" s="6">
        <v>2.616812533794532</v>
      </c>
      <c r="K8259" s="8"/>
    </row>
    <row r="8260" spans="1:11" ht="15" x14ac:dyDescent="0.25">
      <c r="A8260" s="3" t="str">
        <f>HYPERLINK("proteomic_fractions_linear_files/Yang_linear_img/295317409.jpg", "295317409")</f>
        <v>295317409</v>
      </c>
      <c r="C8260" s="3" t="str">
        <f>HYPERLINK("http://www.ncbi.nlm.nih.gov/protein/295317409","Wbp1l")</f>
        <v>Wbp1l</v>
      </c>
      <c r="E8260" t="str">
        <f>HYPERLINK("J:\Depot - mpkCCD Fractions\Main Web Page\Web Pages_old\proteomic_fractions_linear_files/Yang_linear_img/295317409.jpg","show blot")</f>
        <v>show blot</v>
      </c>
      <c r="G8260" t="s">
        <v>8010</v>
      </c>
      <c r="I8260" s="6">
        <v>3.4353413415485634</v>
      </c>
      <c r="K8260" s="8"/>
    </row>
    <row r="8261" spans="1:11" ht="15" x14ac:dyDescent="0.25">
      <c r="A8261" s="3" t="str">
        <f>HYPERLINK("proteomic_fractions_linear_files/Yang_linear_img/295317411.jpg", "295317411")</f>
        <v>295317411</v>
      </c>
      <c r="C8261" s="3" t="str">
        <f>HYPERLINK("http://www.ncbi.nlm.nih.gov/protein/295317411","Wbp1l")</f>
        <v>Wbp1l</v>
      </c>
      <c r="E8261" t="str">
        <f>HYPERLINK("J:\Depot - mpkCCD Fractions\Main Web Page\Web Pages_old\proteomic_fractions_linear_files/Yang_linear_img/295317411.jpg","show blot")</f>
        <v>show blot</v>
      </c>
      <c r="G8261" t="s">
        <v>8011</v>
      </c>
      <c r="I8261" s="6">
        <v>3.4353413415485634</v>
      </c>
      <c r="K8261" s="8"/>
    </row>
    <row r="8262" spans="1:11" ht="15" x14ac:dyDescent="0.25">
      <c r="A8262" s="3" t="str">
        <f>HYPERLINK("proteomic_fractions_linear_files/Yang_linear_img/295317413.jpg", "295317413")</f>
        <v>295317413</v>
      </c>
      <c r="C8262" s="3" t="str">
        <f>HYPERLINK("http://www.ncbi.nlm.nih.gov/protein/295317413","Wbp1l")</f>
        <v>Wbp1l</v>
      </c>
      <c r="E8262" t="str">
        <f>HYPERLINK("J:\Depot - mpkCCD Fractions\Main Web Page\Web Pages_old\proteomic_fractions_linear_files/Yang_linear_img/295317413.jpg","show blot")</f>
        <v>show blot</v>
      </c>
      <c r="G8262" t="s">
        <v>8012</v>
      </c>
      <c r="I8262" s="6">
        <v>3.4353413415485634</v>
      </c>
      <c r="K8262" s="8"/>
    </row>
    <row r="8263" spans="1:11" ht="15" x14ac:dyDescent="0.25">
      <c r="A8263" s="3" t="str">
        <f>HYPERLINK("proteomic_fractions_linear_files/Yang_linear_img/8394539.jpg", "8394539")</f>
        <v>8394539</v>
      </c>
      <c r="C8263" s="3" t="str">
        <f>HYPERLINK("http://www.ncbi.nlm.nih.gov/protein/8394539","Wbp2")</f>
        <v>Wbp2</v>
      </c>
      <c r="E8263" t="str">
        <f>HYPERLINK("J:\Depot - mpkCCD Fractions\Main Web Page\Web Pages_old\proteomic_fractions_linear_files/Yang_linear_img/8394539.jpg","show blot")</f>
        <v>show blot</v>
      </c>
      <c r="G8263" t="s">
        <v>8013</v>
      </c>
      <c r="I8263" s="6">
        <v>4.9403160277775013</v>
      </c>
      <c r="K8263" s="8"/>
    </row>
    <row r="8264" spans="1:11" ht="15" x14ac:dyDescent="0.25">
      <c r="A8264" s="3" t="str">
        <f>HYPERLINK("proteomic_fractions_linear_files/Yang_linear_img/33468951.jpg", "33468951")</f>
        <v>33468951</v>
      </c>
      <c r="C8264" s="3" t="str">
        <f>HYPERLINK("http://www.ncbi.nlm.nih.gov/protein/33468951","Wbp5")</f>
        <v>Wbp5</v>
      </c>
      <c r="E8264" t="str">
        <f>HYPERLINK("J:\Depot - mpkCCD Fractions\Main Web Page\Web Pages_old\proteomic_fractions_linear_files/Yang_linear_img/33468951.jpg","show blot")</f>
        <v>show blot</v>
      </c>
      <c r="G8264" t="s">
        <v>8014</v>
      </c>
      <c r="I8264" s="6">
        <v>5.0222159338307142</v>
      </c>
      <c r="K8264" s="8"/>
    </row>
    <row r="8265" spans="1:11" ht="15" x14ac:dyDescent="0.25">
      <c r="A8265" s="3" t="str">
        <f>HYPERLINK("proteomic_fractions_linear_files/Yang_linear_img/15809010.jpg", "15809010")</f>
        <v>15809010</v>
      </c>
      <c r="C8265" s="3" t="str">
        <f>HYPERLINK("http://www.ncbi.nlm.nih.gov/protein/15809010","Wbscr16")</f>
        <v>Wbscr16</v>
      </c>
      <c r="E8265" t="str">
        <f>HYPERLINK("J:\Depot - mpkCCD Fractions\Main Web Page\Web Pages_old\proteomic_fractions_linear_files/Yang_linear_img/15809010.jpg","show blot")</f>
        <v>show blot</v>
      </c>
      <c r="G8265" t="s">
        <v>8015</v>
      </c>
      <c r="I8265" s="6">
        <v>2.7663954923642735</v>
      </c>
      <c r="K8265" s="8"/>
    </row>
    <row r="8266" spans="1:11" ht="15" x14ac:dyDescent="0.25">
      <c r="A8266" s="3" t="str">
        <f>HYPERLINK("proteomic_fractions_linear_files/Yang_linear_img/125988405.jpg", "125988405")</f>
        <v>125988405</v>
      </c>
      <c r="C8266" s="3" t="str">
        <f>HYPERLINK("http://www.ncbi.nlm.nih.gov/protein/125988405","Wbscr22")</f>
        <v>Wbscr22</v>
      </c>
      <c r="E8266" t="str">
        <f>HYPERLINK("J:\Depot - mpkCCD Fractions\Main Web Page\Web Pages_old\proteomic_fractions_linear_files/Yang_linear_img/125988405.jpg","show blot")</f>
        <v>show blot</v>
      </c>
      <c r="G8266" t="s">
        <v>8016</v>
      </c>
      <c r="I8266" s="6">
        <v>4.1465337547328112</v>
      </c>
      <c r="K8266" s="8"/>
    </row>
    <row r="8267" spans="1:11" ht="15" x14ac:dyDescent="0.25">
      <c r="A8267" s="3" t="str">
        <f>HYPERLINK("proteomic_fractions_linear_files/Yang_linear_img/50355999.jpg", "50355999")</f>
        <v>50355999</v>
      </c>
      <c r="C8267" s="3" t="str">
        <f>HYPERLINK("http://www.ncbi.nlm.nih.gov/protein/50355999","Wbscr27")</f>
        <v>Wbscr27</v>
      </c>
      <c r="E8267" t="str">
        <f>HYPERLINK("J:\Depot - mpkCCD Fractions\Main Web Page\Web Pages_old\proteomic_fractions_linear_files/Yang_linear_img/50355999.jpg","show blot")</f>
        <v>show blot</v>
      </c>
      <c r="G8267" t="s">
        <v>8017</v>
      </c>
      <c r="I8267" s="6">
        <v>5.5567834541650383</v>
      </c>
      <c r="K8267" s="8"/>
    </row>
    <row r="8268" spans="1:11" ht="15" x14ac:dyDescent="0.25">
      <c r="A8268" s="3" t="str">
        <f>HYPERLINK("proteomic_fractions_linear_files/Yang_linear_img/34732713.jpg", "34732713")</f>
        <v>34732713</v>
      </c>
      <c r="C8268" s="3" t="str">
        <f>HYPERLINK("http://www.ncbi.nlm.nih.gov/protein/34732713","Wbscr28")</f>
        <v>Wbscr28</v>
      </c>
      <c r="E8268" t="str">
        <f>HYPERLINK("J:\Depot - mpkCCD Fractions\Main Web Page\Web Pages_old\proteomic_fractions_linear_files/Yang_linear_img/34732713.jpg","show blot")</f>
        <v>show blot</v>
      </c>
      <c r="G8268" t="s">
        <v>8018</v>
      </c>
      <c r="I8268" s="6">
        <v>2.8492324193992191</v>
      </c>
      <c r="K8268" s="8"/>
    </row>
    <row r="8269" spans="1:11" ht="15" x14ac:dyDescent="0.25">
      <c r="A8269" s="3" t="str">
        <f>HYPERLINK("proteomic_fractions_linear_files/Yang_linear_img/34732715.jpg", "34732715")</f>
        <v>34732715</v>
      </c>
      <c r="C8269" s="3" t="str">
        <f>HYPERLINK("http://www.ncbi.nlm.nih.gov/protein/34732715","Wbscr28")</f>
        <v>Wbscr28</v>
      </c>
      <c r="E8269" t="str">
        <f>HYPERLINK("J:\Depot - mpkCCD Fractions\Main Web Page\Web Pages_old\proteomic_fractions_linear_files/Yang_linear_img/34732715.jpg","show blot")</f>
        <v>show blot</v>
      </c>
      <c r="G8269" t="s">
        <v>8019</v>
      </c>
      <c r="I8269" s="6">
        <v>2.8492324193992191</v>
      </c>
      <c r="K8269" s="8"/>
    </row>
    <row r="8270" spans="1:11" ht="15" x14ac:dyDescent="0.25">
      <c r="A8270" s="3" t="str">
        <f>HYPERLINK("proteomic_fractions_linear_files/Yang_linear_img/162287109.jpg", "162287109")</f>
        <v>162287109</v>
      </c>
      <c r="C8270" s="3" t="str">
        <f>HYPERLINK("http://www.ncbi.nlm.nih.gov/protein/162287109","Wdfy1")</f>
        <v>Wdfy1</v>
      </c>
      <c r="E8270" t="str">
        <f>HYPERLINK("J:\Depot - mpkCCD Fractions\Main Web Page\Web Pages_old\proteomic_fractions_linear_files/Yang_linear_img/162287109.jpg","show blot")</f>
        <v>show blot</v>
      </c>
      <c r="G8270" t="s">
        <v>8020</v>
      </c>
      <c r="I8270" s="6">
        <v>4.2218015979153858</v>
      </c>
      <c r="K8270" s="8"/>
    </row>
    <row r="8271" spans="1:11" ht="15" x14ac:dyDescent="0.25">
      <c r="A8271" s="3" t="str">
        <f>HYPERLINK("proteomic_fractions_linear_files/Yang_linear_img/254540214.jpg", "254540214")</f>
        <v>254540214</v>
      </c>
      <c r="C8271" s="3" t="str">
        <f>HYPERLINK("http://www.ncbi.nlm.nih.gov/protein/254540214","Wdfy2")</f>
        <v>Wdfy2</v>
      </c>
      <c r="E8271" t="str">
        <f>HYPERLINK("J:\Depot - mpkCCD Fractions\Main Web Page\Web Pages_old\proteomic_fractions_linear_files/Yang_linear_img/254540214.jpg","show blot")</f>
        <v>show blot</v>
      </c>
      <c r="G8271" t="s">
        <v>8021</v>
      </c>
      <c r="I8271" s="6">
        <v>2.8847277561344322</v>
      </c>
      <c r="K8271" s="8"/>
    </row>
    <row r="8272" spans="1:11" ht="15" x14ac:dyDescent="0.25">
      <c r="A8272" s="3" t="str">
        <f>HYPERLINK("proteomic_fractions_linear_files/Yang_linear_img/39930599.jpg", "39930599")</f>
        <v>39930599</v>
      </c>
      <c r="C8272" s="3" t="str">
        <f>HYPERLINK("http://www.ncbi.nlm.nih.gov/protein/39930599","Wdfy3")</f>
        <v>Wdfy3</v>
      </c>
      <c r="E8272" t="str">
        <f>HYPERLINK("J:\Depot - mpkCCD Fractions\Main Web Page\Web Pages_old\proteomic_fractions_linear_files/Yang_linear_img/39930599.jpg","show blot")</f>
        <v>show blot</v>
      </c>
      <c r="G8272" t="s">
        <v>8022</v>
      </c>
      <c r="I8272" s="6">
        <v>2.4277715259084096</v>
      </c>
      <c r="K8272" s="8"/>
    </row>
    <row r="8273" spans="1:11" ht="15" x14ac:dyDescent="0.25">
      <c r="A8273" s="3" t="str">
        <f>HYPERLINK("proteomic_fractions_linear_files/Yang_linear_img/40254224.jpg", "40254224")</f>
        <v>40254224</v>
      </c>
      <c r="C8273" s="3" t="str">
        <f>HYPERLINK("http://www.ncbi.nlm.nih.gov/protein/40254224","Wdhd1")</f>
        <v>Wdhd1</v>
      </c>
      <c r="E8273" t="str">
        <f>HYPERLINK("J:\Depot - mpkCCD Fractions\Main Web Page\Web Pages_old\proteomic_fractions_linear_files/Yang_linear_img/40254224.jpg","show blot")</f>
        <v>show blot</v>
      </c>
      <c r="G8273" t="s">
        <v>8023</v>
      </c>
      <c r="I8273" s="6">
        <v>4.0700981906910485</v>
      </c>
      <c r="K8273" s="8"/>
    </row>
    <row r="8274" spans="1:11" ht="15" x14ac:dyDescent="0.25">
      <c r="A8274" s="3" t="str">
        <f>HYPERLINK("proteomic_fractions_linear_files/Yang_linear_img/31981772.jpg", "31981772")</f>
        <v>31981772</v>
      </c>
      <c r="C8274" s="3" t="str">
        <f>HYPERLINK("http://www.ncbi.nlm.nih.gov/protein/31981772","Wdpcp")</f>
        <v>Wdpcp</v>
      </c>
      <c r="E8274" t="str">
        <f>HYPERLINK("J:\Depot - mpkCCD Fractions\Main Web Page\Web Pages_old\proteomic_fractions_linear_files/Yang_linear_img/31981772.jpg","show blot")</f>
        <v>show blot</v>
      </c>
      <c r="G8274" t="s">
        <v>8024</v>
      </c>
      <c r="I8274" s="6">
        <v>5.1186898129204312</v>
      </c>
      <c r="K8274" s="8"/>
    </row>
    <row r="8275" spans="1:11" ht="15" x14ac:dyDescent="0.25">
      <c r="A8275" s="3" t="str">
        <f>HYPERLINK("proteomic_fractions_linear_files/Yang_linear_img/6755995.jpg", "6755995")</f>
        <v>6755995</v>
      </c>
      <c r="C8275" s="3" t="str">
        <f>HYPERLINK("http://www.ncbi.nlm.nih.gov/protein/6755995","Wdr1")</f>
        <v>Wdr1</v>
      </c>
      <c r="E8275" t="str">
        <f>HYPERLINK("J:\Depot - mpkCCD Fractions\Main Web Page\Web Pages_old\proteomic_fractions_linear_files/Yang_linear_img/6755995.jpg","show blot")</f>
        <v>show blot</v>
      </c>
      <c r="G8275" t="s">
        <v>8025</v>
      </c>
      <c r="I8275" s="6">
        <v>6.0922290558796748</v>
      </c>
      <c r="K8275" s="8"/>
    </row>
    <row r="8276" spans="1:11" ht="15" x14ac:dyDescent="0.25">
      <c r="A8276" s="3" t="str">
        <f>HYPERLINK("proteomic_fractions_linear_files/Yang_linear_img/227908800.jpg", "227908800")</f>
        <v>227908800</v>
      </c>
      <c r="C8276" s="3" t="str">
        <f>HYPERLINK("http://www.ncbi.nlm.nih.gov/protein/227908800","Wdr11")</f>
        <v>Wdr11</v>
      </c>
      <c r="E8276" t="str">
        <f>HYPERLINK("J:\Depot - mpkCCD Fractions\Main Web Page\Web Pages_old\proteomic_fractions_linear_files/Yang_linear_img/227908800.jpg","show blot")</f>
        <v>show blot</v>
      </c>
      <c r="G8276" t="s">
        <v>8026</v>
      </c>
      <c r="I8276" s="6">
        <v>4.54129447645402</v>
      </c>
      <c r="K8276" s="8"/>
    </row>
    <row r="8277" spans="1:11" ht="15" x14ac:dyDescent="0.25">
      <c r="A8277" s="3" t="str">
        <f>HYPERLINK("proteomic_fractions_linear_files/Yang_linear_img/10946614;312261271.jpg", "10946614;312261271")</f>
        <v>10946614;312261271</v>
      </c>
      <c r="C8277" s="3" t="str">
        <f>HYPERLINK("http://www.ncbi.nlm.nih.gov/protein/10946614;312261271","Wdr12")</f>
        <v>Wdr12</v>
      </c>
      <c r="E8277" t="str">
        <f>HYPERLINK("J:\Depot - mpkCCD Fractions\Main Web Page\Web Pages_old\proteomic_fractions_linear_files/Yang_linear_img/10946614;312261271.jpg","show blot")</f>
        <v>show blot</v>
      </c>
      <c r="G8277" t="s">
        <v>8027</v>
      </c>
      <c r="I8277" s="6">
        <v>4.5748058345022331</v>
      </c>
      <c r="K8277" s="8"/>
    </row>
    <row r="8278" spans="1:11" ht="15" x14ac:dyDescent="0.25">
      <c r="A8278" s="3" t="str">
        <f>HYPERLINK("proteomic_fractions_linear_files/Yang_linear_img/312261271.jpg", "312261271")</f>
        <v>312261271</v>
      </c>
      <c r="C8278" s="3" t="str">
        <f>HYPERLINK("http://www.ncbi.nlm.nih.gov/protein/312261271","Wdr12")</f>
        <v>Wdr12</v>
      </c>
      <c r="E8278" t="str">
        <f>HYPERLINK("J:\Depot - mpkCCD Fractions\Main Web Page\Web Pages_old\proteomic_fractions_linear_files/Yang_linear_img/312261271.jpg","show blot")</f>
        <v>show blot</v>
      </c>
      <c r="G8278" t="s">
        <v>8027</v>
      </c>
      <c r="I8278" s="6">
        <v>4.5748058345022331</v>
      </c>
      <c r="K8278" s="8"/>
    </row>
    <row r="8279" spans="1:11" ht="15" x14ac:dyDescent="0.25">
      <c r="A8279" s="3" t="str">
        <f>HYPERLINK("proteomic_fractions_linear_files/Yang_linear_img/261878588.jpg", "261878588")</f>
        <v>261878588</v>
      </c>
      <c r="C8279" s="3" t="str">
        <f>HYPERLINK("http://www.ncbi.nlm.nih.gov/protein/261878588","Wdr13")</f>
        <v>Wdr13</v>
      </c>
      <c r="E8279" t="str">
        <f>HYPERLINK("J:\Depot - mpkCCD Fractions\Main Web Page\Web Pages_old\proteomic_fractions_linear_files/Yang_linear_img/261878588.jpg","show blot")</f>
        <v>show blot</v>
      </c>
      <c r="G8279" t="s">
        <v>8028</v>
      </c>
      <c r="I8279" s="6">
        <v>3.4023670016595351</v>
      </c>
      <c r="K8279" s="8"/>
    </row>
    <row r="8280" spans="1:11" ht="15" x14ac:dyDescent="0.25">
      <c r="A8280" s="3" t="str">
        <f>HYPERLINK("proteomic_fractions_linear_files/Yang_linear_img/83649741.jpg", "83649741")</f>
        <v>83649741</v>
      </c>
      <c r="C8280" s="3" t="str">
        <f>HYPERLINK("http://www.ncbi.nlm.nih.gov/protein/83649741","Wdr18")</f>
        <v>Wdr18</v>
      </c>
      <c r="E8280" t="str">
        <f>HYPERLINK("J:\Depot - mpkCCD Fractions\Main Web Page\Web Pages_old\proteomic_fractions_linear_files/Yang_linear_img/83649741.jpg","show blot")</f>
        <v>show blot</v>
      </c>
      <c r="G8280" t="s">
        <v>8029</v>
      </c>
      <c r="I8280" s="6">
        <v>4.9601384209482164</v>
      </c>
      <c r="K8280" s="8"/>
    </row>
    <row r="8281" spans="1:11" ht="15" x14ac:dyDescent="0.25">
      <c r="A8281" s="3" t="str">
        <f>HYPERLINK("proteomic_fractions_linear_files/Yang_linear_img/154240688.jpg", "154240688")</f>
        <v>154240688</v>
      </c>
      <c r="C8281" s="3" t="str">
        <f>HYPERLINK("http://www.ncbi.nlm.nih.gov/protein/154240688","Wdr19")</f>
        <v>Wdr19</v>
      </c>
      <c r="E8281" t="str">
        <f>HYPERLINK("J:\Depot - mpkCCD Fractions\Main Web Page\Web Pages_old\proteomic_fractions_linear_files/Yang_linear_img/154240688.jpg","show blot")</f>
        <v>show blot</v>
      </c>
      <c r="G8281" t="s">
        <v>8030</v>
      </c>
      <c r="I8281" s="6">
        <v>3.4764266600555676</v>
      </c>
      <c r="K8281" s="8"/>
    </row>
    <row r="8282" spans="1:11" ht="15" x14ac:dyDescent="0.25">
      <c r="A8282" s="3" t="str">
        <f>HYPERLINK("proteomic_fractions_linear_files/Yang_linear_img/61742804.jpg", "61742804")</f>
        <v>61742804</v>
      </c>
      <c r="C8282" s="3" t="str">
        <f>HYPERLINK("http://www.ncbi.nlm.nih.gov/protein/61742804","Wdr20")</f>
        <v>Wdr20</v>
      </c>
      <c r="E8282" t="str">
        <f>HYPERLINK("J:\Depot - mpkCCD Fractions\Main Web Page\Web Pages_old\proteomic_fractions_linear_files/Yang_linear_img/61742804.jpg","show blot")</f>
        <v>show blot</v>
      </c>
      <c r="G8282" t="s">
        <v>8031</v>
      </c>
      <c r="I8282" s="6">
        <v>3.505931803008997</v>
      </c>
      <c r="K8282" s="8"/>
    </row>
    <row r="8283" spans="1:11" ht="15" x14ac:dyDescent="0.25">
      <c r="A8283" s="3" t="str">
        <f>HYPERLINK("proteomic_fractions_linear_files/Yang_linear_img/21735451.jpg", "21735451")</f>
        <v>21735451</v>
      </c>
      <c r="C8283" s="3" t="str">
        <f>HYPERLINK("http://www.ncbi.nlm.nih.gov/protein/21735451","Wdr20rt")</f>
        <v>Wdr20rt</v>
      </c>
      <c r="E8283" t="str">
        <f>HYPERLINK("J:\Depot - mpkCCD Fractions\Main Web Page\Web Pages_old\proteomic_fractions_linear_files/Yang_linear_img/21735451.jpg","show blot")</f>
        <v>show blot</v>
      </c>
      <c r="G8283" t="s">
        <v>8032</v>
      </c>
      <c r="I8283" s="6">
        <v>3.3910114642310663</v>
      </c>
      <c r="K8283" s="8"/>
    </row>
    <row r="8284" spans="1:11" ht="15" x14ac:dyDescent="0.25">
      <c r="A8284" s="3" t="str">
        <f>HYPERLINK("proteomic_fractions_linear_files/Yang_linear_img/264681550.jpg", "264681550")</f>
        <v>264681550</v>
      </c>
      <c r="C8284" s="3" t="str">
        <f>HYPERLINK("http://www.ncbi.nlm.nih.gov/protein/264681550","Wdr26")</f>
        <v>Wdr26</v>
      </c>
      <c r="E8284" t="str">
        <f>HYPERLINK("J:\Depot - mpkCCD Fractions\Main Web Page\Web Pages_old\proteomic_fractions_linear_files/Yang_linear_img/264681550.jpg","show blot")</f>
        <v>show blot</v>
      </c>
      <c r="G8284" t="s">
        <v>8033</v>
      </c>
      <c r="I8284" s="6">
        <v>4.5921295593196465</v>
      </c>
      <c r="K8284" s="8"/>
    </row>
    <row r="8285" spans="1:11" ht="15" x14ac:dyDescent="0.25">
      <c r="A8285" s="3" t="str">
        <f>HYPERLINK("proteomic_fractions_linear_files/Yang_linear_img/30425338.jpg", "30425338")</f>
        <v>30425338</v>
      </c>
      <c r="C8285" s="3" t="str">
        <f>HYPERLINK("http://www.ncbi.nlm.nih.gov/protein/30425338","Wdr3")</f>
        <v>Wdr3</v>
      </c>
      <c r="E8285" t="str">
        <f>HYPERLINK("J:\Depot - mpkCCD Fractions\Main Web Page\Web Pages_old\proteomic_fractions_linear_files/Yang_linear_img/30425338.jpg","show blot")</f>
        <v>show blot</v>
      </c>
      <c r="G8285" t="s">
        <v>8034</v>
      </c>
      <c r="I8285" s="6">
        <v>1.7085331354323792</v>
      </c>
      <c r="K8285" s="8"/>
    </row>
    <row r="8286" spans="1:11" ht="15" x14ac:dyDescent="0.25">
      <c r="A8286" s="3" t="str">
        <f>HYPERLINK("proteomic_fractions_linear_files/Yang_linear_img/21362285.jpg", "21362285")</f>
        <v>21362285</v>
      </c>
      <c r="C8286" s="3" t="str">
        <f>HYPERLINK("http://www.ncbi.nlm.nih.gov/protein/21362285","Wdr33")</f>
        <v>Wdr33</v>
      </c>
      <c r="E8286" t="str">
        <f>HYPERLINK("J:\Depot - mpkCCD Fractions\Main Web Page\Web Pages_old\proteomic_fractions_linear_files/Yang_linear_img/21362285.jpg","show blot")</f>
        <v>show blot</v>
      </c>
      <c r="G8286" t="s">
        <v>8035</v>
      </c>
      <c r="I8286" s="6">
        <v>3.5216629685157379</v>
      </c>
      <c r="K8286" s="8"/>
    </row>
    <row r="8287" spans="1:11" ht="15" x14ac:dyDescent="0.25">
      <c r="A8287" s="3" t="str">
        <f>HYPERLINK("proteomic_fractions_linear_files/Yang_linear_img/139948827.jpg", "139948827")</f>
        <v>139948827</v>
      </c>
      <c r="C8287" s="3" t="str">
        <f>HYPERLINK("http://www.ncbi.nlm.nih.gov/protein/139948827","Wdr34")</f>
        <v>Wdr34</v>
      </c>
      <c r="E8287" t="str">
        <f>HYPERLINK("J:\Depot - mpkCCD Fractions\Main Web Page\Web Pages_old\proteomic_fractions_linear_files/Yang_linear_img/139948827.jpg","show blot")</f>
        <v>show blot</v>
      </c>
      <c r="G8287" t="s">
        <v>8036</v>
      </c>
      <c r="I8287" s="6">
        <v>0.86942859043111897</v>
      </c>
      <c r="K8287" s="8"/>
    </row>
    <row r="8288" spans="1:11" ht="15" x14ac:dyDescent="0.25">
      <c r="A8288" s="3" t="str">
        <f>HYPERLINK("proteomic_fractions_linear_files/Yang_linear_img/226958501.jpg", "226958501")</f>
        <v>226958501</v>
      </c>
      <c r="C8288" s="3" t="str">
        <f>HYPERLINK("http://www.ncbi.nlm.nih.gov/protein/226958501","Wdr35")</f>
        <v>Wdr35</v>
      </c>
      <c r="E8288" t="str">
        <f>HYPERLINK("J:\Depot - mpkCCD Fractions\Main Web Page\Web Pages_old\proteomic_fractions_linear_files/Yang_linear_img/226958501.jpg","show blot")</f>
        <v>show blot</v>
      </c>
      <c r="G8288" t="s">
        <v>8037</v>
      </c>
      <c r="I8288" s="6">
        <v>2.9434429715762782</v>
      </c>
      <c r="K8288" s="8"/>
    </row>
    <row r="8289" spans="1:11" ht="15" x14ac:dyDescent="0.25">
      <c r="A8289" s="3" t="str">
        <f>HYPERLINK("proteomic_fractions_linear_files/Yang_linear_img/226958503.jpg", "226958503")</f>
        <v>226958503</v>
      </c>
      <c r="C8289" s="3" t="str">
        <f>HYPERLINK("http://www.ncbi.nlm.nih.gov/protein/226958503","Wdr35")</f>
        <v>Wdr35</v>
      </c>
      <c r="E8289" t="str">
        <f>HYPERLINK("J:\Depot - mpkCCD Fractions\Main Web Page\Web Pages_old\proteomic_fractions_linear_files/Yang_linear_img/226958503.jpg","show blot")</f>
        <v>show blot</v>
      </c>
      <c r="G8289" t="s">
        <v>8038</v>
      </c>
      <c r="I8289" s="6">
        <v>2.9434429715762782</v>
      </c>
      <c r="K8289" s="8"/>
    </row>
    <row r="8290" spans="1:11" ht="15" x14ac:dyDescent="0.25">
      <c r="A8290" s="3" t="str">
        <f>HYPERLINK("proteomic_fractions_linear_files/Yang_linear_img/31542010.jpg", "31542010")</f>
        <v>31542010</v>
      </c>
      <c r="C8290" s="3" t="str">
        <f>HYPERLINK("http://www.ncbi.nlm.nih.gov/protein/31542010","Wdr36")</f>
        <v>Wdr36</v>
      </c>
      <c r="E8290" t="str">
        <f>HYPERLINK("J:\Depot - mpkCCD Fractions\Main Web Page\Web Pages_old\proteomic_fractions_linear_files/Yang_linear_img/31542010.jpg","show blot")</f>
        <v>show blot</v>
      </c>
      <c r="G8290" t="s">
        <v>8039</v>
      </c>
      <c r="I8290" s="6">
        <v>3.4824012328757323</v>
      </c>
      <c r="K8290" s="8"/>
    </row>
    <row r="8291" spans="1:11" ht="15" x14ac:dyDescent="0.25">
      <c r="A8291" s="3" t="str">
        <f>HYPERLINK("proteomic_fractions_linear_files/Yang_linear_img/158517940.jpg", "158517940")</f>
        <v>158517940</v>
      </c>
      <c r="C8291" s="3" t="str">
        <f>HYPERLINK("http://www.ncbi.nlm.nih.gov/protein/158517940","Wdr36")</f>
        <v>Wdr36</v>
      </c>
      <c r="E8291" t="str">
        <f>HYPERLINK("J:\Depot - mpkCCD Fractions\Main Web Page\Web Pages_old\proteomic_fractions_linear_files/Yang_linear_img/158517940.jpg","show blot")</f>
        <v>show blot</v>
      </c>
      <c r="G8291" t="s">
        <v>8040</v>
      </c>
      <c r="I8291" s="6">
        <v>3.4824012328757323</v>
      </c>
      <c r="K8291" s="8"/>
    </row>
    <row r="8292" spans="1:11" ht="15" x14ac:dyDescent="0.25">
      <c r="A8292" s="3" t="str">
        <f>HYPERLINK("proteomic_fractions_linear_files/Yang_linear_img/158517942.jpg", "158517942")</f>
        <v>158517942</v>
      </c>
      <c r="C8292" s="3" t="str">
        <f>HYPERLINK("http://www.ncbi.nlm.nih.gov/protein/158517942","Wdr36")</f>
        <v>Wdr36</v>
      </c>
      <c r="E8292" t="str">
        <f>HYPERLINK("J:\Depot - mpkCCD Fractions\Main Web Page\Web Pages_old\proteomic_fractions_linear_files/Yang_linear_img/158517942.jpg","show blot")</f>
        <v>show blot</v>
      </c>
      <c r="G8292" t="s">
        <v>8041</v>
      </c>
      <c r="I8292" s="6">
        <v>3.4824012328757323</v>
      </c>
      <c r="K8292" s="8"/>
    </row>
    <row r="8293" spans="1:11" ht="15" x14ac:dyDescent="0.25">
      <c r="A8293" s="3" t="str">
        <f>HYPERLINK("proteomic_fractions_linear_files/Yang_linear_img/27369593.jpg", "27369593")</f>
        <v>27369593</v>
      </c>
      <c r="C8293" s="3" t="str">
        <f>HYPERLINK("http://www.ncbi.nlm.nih.gov/protein/27369593","Wdr37")</f>
        <v>Wdr37</v>
      </c>
      <c r="E8293" t="str">
        <f>HYPERLINK("J:\Depot - mpkCCD Fractions\Main Web Page\Web Pages_old\proteomic_fractions_linear_files/Yang_linear_img/27369593.jpg","show blot")</f>
        <v>show blot</v>
      </c>
      <c r="G8293" t="s">
        <v>8042</v>
      </c>
      <c r="I8293" s="6">
        <v>4.720322990491054</v>
      </c>
      <c r="K8293" s="8"/>
    </row>
    <row r="8294" spans="1:11" ht="15" x14ac:dyDescent="0.25">
      <c r="A8294" s="3" t="str">
        <f>HYPERLINK("proteomic_fractions_linear_files/Yang_linear_img/86476061.jpg", "86476061")</f>
        <v>86476061</v>
      </c>
      <c r="C8294" s="3" t="str">
        <f>HYPERLINK("http://www.ncbi.nlm.nih.gov/protein/86476061","Wdr37")</f>
        <v>Wdr37</v>
      </c>
      <c r="E8294" t="str">
        <f>HYPERLINK("J:\Depot - mpkCCD Fractions\Main Web Page\Web Pages_old\proteomic_fractions_linear_files/Yang_linear_img/86476061.jpg","show blot")</f>
        <v>show blot</v>
      </c>
      <c r="G8294" t="s">
        <v>8043</v>
      </c>
      <c r="I8294" s="6">
        <v>4.720322990491054</v>
      </c>
      <c r="K8294" s="8"/>
    </row>
    <row r="8295" spans="1:11" ht="15" x14ac:dyDescent="0.25">
      <c r="A8295" s="3" t="str">
        <f>HYPERLINK("proteomic_fractions_linear_files/Yang_linear_img/255308863.jpg", "255308863")</f>
        <v>255308863</v>
      </c>
      <c r="C8295" s="3" t="str">
        <f>HYPERLINK("http://www.ncbi.nlm.nih.gov/protein/255308863","Wdr4")</f>
        <v>Wdr4</v>
      </c>
      <c r="E8295" t="str">
        <f>HYPERLINK("J:\Depot - mpkCCD Fractions\Main Web Page\Web Pages_old\proteomic_fractions_linear_files/Yang_linear_img/255308863.jpg","show blot")</f>
        <v>show blot</v>
      </c>
      <c r="G8295" t="s">
        <v>8044</v>
      </c>
      <c r="I8295" s="6">
        <v>4.5130388502235066</v>
      </c>
      <c r="K8295" s="8"/>
    </row>
    <row r="8296" spans="1:11" ht="15" x14ac:dyDescent="0.25">
      <c r="A8296" s="3" t="str">
        <f>HYPERLINK("proteomic_fractions_linear_files/Yang_linear_img/123702001.jpg", "123702001")</f>
        <v>123702001</v>
      </c>
      <c r="C8296" s="3" t="str">
        <f>HYPERLINK("http://www.ncbi.nlm.nih.gov/protein/123702001","Wdr41")</f>
        <v>Wdr41</v>
      </c>
      <c r="E8296" t="str">
        <f>HYPERLINK("J:\Depot - mpkCCD Fractions\Main Web Page\Web Pages_old\proteomic_fractions_linear_files/Yang_linear_img/123702001.jpg","show blot")</f>
        <v>show blot</v>
      </c>
      <c r="G8296" t="s">
        <v>8045</v>
      </c>
      <c r="I8296" s="6">
        <v>2.4729480759452422</v>
      </c>
      <c r="K8296" s="8"/>
    </row>
    <row r="8297" spans="1:11" ht="15" x14ac:dyDescent="0.25">
      <c r="A8297" s="3" t="str">
        <f>HYPERLINK("proteomic_fractions_linear_files/Yang_linear_img/124249073.jpg", "124249073")</f>
        <v>124249073</v>
      </c>
      <c r="C8297" s="3" t="str">
        <f>HYPERLINK("http://www.ncbi.nlm.nih.gov/protein/124249073","Wdr44")</f>
        <v>Wdr44</v>
      </c>
      <c r="E8297" t="str">
        <f>HYPERLINK("J:\Depot - mpkCCD Fractions\Main Web Page\Web Pages_old\proteomic_fractions_linear_files/Yang_linear_img/124249073.jpg","show blot")</f>
        <v>show blot</v>
      </c>
      <c r="G8297" t="s">
        <v>8046</v>
      </c>
      <c r="I8297" s="6">
        <v>3.5084112275184518</v>
      </c>
      <c r="K8297" s="8"/>
    </row>
    <row r="8298" spans="1:11" ht="15" x14ac:dyDescent="0.25">
      <c r="A8298" s="3" t="str">
        <f>HYPERLINK("proteomic_fractions_linear_files/Yang_linear_img/27363472.jpg", "27363472")</f>
        <v>27363472</v>
      </c>
      <c r="C8298" s="3" t="str">
        <f>HYPERLINK("http://www.ncbi.nlm.nih.gov/protein/27363472","Wdr45")</f>
        <v>Wdr45</v>
      </c>
      <c r="E8298" t="str">
        <f>HYPERLINK("J:\Depot - mpkCCD Fractions\Main Web Page\Web Pages_old\proteomic_fractions_linear_files/Yang_linear_img/27363472.jpg","show blot")</f>
        <v>show blot</v>
      </c>
      <c r="G8298" t="s">
        <v>8047</v>
      </c>
      <c r="I8298" s="6">
        <v>4.3301212706314773</v>
      </c>
      <c r="K8298" s="8"/>
    </row>
    <row r="8299" spans="1:11" ht="15" x14ac:dyDescent="0.25">
      <c r="A8299" s="3" t="str">
        <f>HYPERLINK("proteomic_fractions_linear_files/Yang_linear_img/27229002.jpg", "27229002")</f>
        <v>27229002</v>
      </c>
      <c r="C8299" s="3" t="str">
        <f>HYPERLINK("http://www.ncbi.nlm.nih.gov/protein/27229002","Wdr45b")</f>
        <v>Wdr45b</v>
      </c>
      <c r="E8299" t="str">
        <f>HYPERLINK("J:\Depot - mpkCCD Fractions\Main Web Page\Web Pages_old\proteomic_fractions_linear_files/Yang_linear_img/27229002.jpg","show blot")</f>
        <v>show blot</v>
      </c>
      <c r="G8299" t="s">
        <v>8048</v>
      </c>
      <c r="I8299" s="6">
        <v>4.1753396564719667</v>
      </c>
      <c r="K8299" s="8"/>
    </row>
    <row r="8300" spans="1:11" ht="15" x14ac:dyDescent="0.25">
      <c r="A8300" s="3" t="str">
        <f>HYPERLINK("proteomic_fractions_linear_files/Yang_linear_img/10181122.jpg", "10181122")</f>
        <v>10181122</v>
      </c>
      <c r="C8300" s="3" t="str">
        <f>HYPERLINK("http://www.ncbi.nlm.nih.gov/protein/10181122","Wdr46")</f>
        <v>Wdr46</v>
      </c>
      <c r="E8300" t="str">
        <f>HYPERLINK("J:\Depot - mpkCCD Fractions\Main Web Page\Web Pages_old\proteomic_fractions_linear_files/Yang_linear_img/10181122.jpg","show blot")</f>
        <v>show blot</v>
      </c>
      <c r="G8300" t="s">
        <v>8049</v>
      </c>
      <c r="I8300" s="6">
        <v>3.8468856345275486</v>
      </c>
      <c r="K8300" s="8"/>
    </row>
    <row r="8301" spans="1:11" ht="15" x14ac:dyDescent="0.25">
      <c r="A8301" s="3" t="str">
        <f>HYPERLINK("proteomic_fractions_linear_files/Yang_linear_img/170172546.jpg", "170172546")</f>
        <v>170172546</v>
      </c>
      <c r="C8301" s="3" t="str">
        <f>HYPERLINK("http://www.ncbi.nlm.nih.gov/protein/170172546","Wdr47")</f>
        <v>Wdr47</v>
      </c>
      <c r="E8301" t="str">
        <f>HYPERLINK("J:\Depot - mpkCCD Fractions\Main Web Page\Web Pages_old\proteomic_fractions_linear_files/Yang_linear_img/170172546.jpg","show blot")</f>
        <v>show blot</v>
      </c>
      <c r="G8301" t="s">
        <v>8050</v>
      </c>
      <c r="I8301" s="6">
        <v>3.5437831735292602</v>
      </c>
      <c r="K8301" s="8"/>
    </row>
    <row r="8302" spans="1:11" ht="15" x14ac:dyDescent="0.25">
      <c r="A8302" s="3" t="str">
        <f>HYPERLINK("proteomic_fractions_linear_files/Yang_linear_img/33468987.jpg", "33468987")</f>
        <v>33468987</v>
      </c>
      <c r="C8302" s="3" t="str">
        <f>HYPERLINK("http://www.ncbi.nlm.nih.gov/protein/33468987","Wdr48")</f>
        <v>Wdr48</v>
      </c>
      <c r="E8302" t="str">
        <f>HYPERLINK("J:\Depot - mpkCCD Fractions\Main Web Page\Web Pages_old\proteomic_fractions_linear_files/Yang_linear_img/33468987.jpg","show blot")</f>
        <v>show blot</v>
      </c>
      <c r="G8302" t="s">
        <v>8051</v>
      </c>
      <c r="I8302" s="6">
        <v>4.3773153373115612</v>
      </c>
      <c r="K8302" s="8"/>
    </row>
    <row r="8303" spans="1:11" ht="15" x14ac:dyDescent="0.25">
      <c r="A8303" s="3" t="str">
        <f>HYPERLINK("proteomic_fractions_linear_files/Yang_linear_img/309264766.jpg", "309264766")</f>
        <v>309264766</v>
      </c>
      <c r="C8303" s="3" t="str">
        <f>HYPERLINK("http://www.ncbi.nlm.nih.gov/protein/309264766","Wdr49")</f>
        <v>Wdr49</v>
      </c>
      <c r="E8303" t="str">
        <f>HYPERLINK("J:\Depot - mpkCCD Fractions\Main Web Page\Web Pages_old\proteomic_fractions_linear_files/Yang_linear_img/309264766.jpg","show blot")</f>
        <v>show blot</v>
      </c>
      <c r="G8303" t="s">
        <v>8052</v>
      </c>
      <c r="I8303" s="6">
        <v>4.4083081952969403</v>
      </c>
      <c r="K8303" s="8"/>
    </row>
    <row r="8304" spans="1:11" ht="15" x14ac:dyDescent="0.25">
      <c r="A8304" s="3" t="str">
        <f>HYPERLINK("proteomic_fractions_linear_files/Yang_linear_img/407263036.jpg", "407263036")</f>
        <v>407263036</v>
      </c>
      <c r="C8304" s="3" t="str">
        <f>HYPERLINK("http://www.ncbi.nlm.nih.gov/protein/407263036","Wdr49")</f>
        <v>Wdr49</v>
      </c>
      <c r="E8304" t="str">
        <f>HYPERLINK("J:\Depot - mpkCCD Fractions\Main Web Page\Web Pages_old\proteomic_fractions_linear_files/Yang_linear_img/407263036.jpg","show blot")</f>
        <v>show blot</v>
      </c>
      <c r="G8304" t="s">
        <v>8052</v>
      </c>
      <c r="I8304" s="6">
        <v>4.4083081952969403</v>
      </c>
      <c r="K8304" s="8"/>
    </row>
    <row r="8305" spans="1:11" ht="15" x14ac:dyDescent="0.25">
      <c r="A8305" s="3" t="str">
        <f>HYPERLINK("proteomic_fractions_linear_files/Yang_linear_img/18252790.jpg", "18252790")</f>
        <v>18252790</v>
      </c>
      <c r="C8305" s="3" t="str">
        <f>HYPERLINK("http://www.ncbi.nlm.nih.gov/protein/18252790","Wdr5")</f>
        <v>Wdr5</v>
      </c>
      <c r="E8305" t="str">
        <f>HYPERLINK("J:\Depot - mpkCCD Fractions\Main Web Page\Web Pages_old\proteomic_fractions_linear_files/Yang_linear_img/18252790.jpg","show blot")</f>
        <v>show blot</v>
      </c>
      <c r="G8305" t="s">
        <v>8053</v>
      </c>
      <c r="I8305" s="6">
        <v>5.1528682317315848</v>
      </c>
      <c r="K8305" s="8"/>
    </row>
    <row r="8306" spans="1:11" ht="15" x14ac:dyDescent="0.25">
      <c r="A8306" s="3" t="str">
        <f>HYPERLINK("proteomic_fractions_linear_files/Yang_linear_img/256818776.jpg", "256818776")</f>
        <v>256818776</v>
      </c>
      <c r="C8306" s="3" t="str">
        <f>HYPERLINK("http://www.ncbi.nlm.nih.gov/protein/256818776","Wdr52")</f>
        <v>Wdr52</v>
      </c>
      <c r="E8306" t="str">
        <f>HYPERLINK("J:\Depot - mpkCCD Fractions\Main Web Page\Web Pages_old\proteomic_fractions_linear_files/Yang_linear_img/256818776.jpg","show blot")</f>
        <v>show blot</v>
      </c>
      <c r="G8306" t="s">
        <v>8054</v>
      </c>
      <c r="I8306" s="6">
        <v>2.7735938245810603</v>
      </c>
      <c r="K8306" s="8"/>
    </row>
    <row r="8307" spans="1:11" ht="15" x14ac:dyDescent="0.25">
      <c r="A8307" s="3" t="str">
        <f>HYPERLINK("proteomic_fractions_linear_files/Yang_linear_img/12963827.jpg", "12963827")</f>
        <v>12963827</v>
      </c>
      <c r="C8307" s="3" t="str">
        <f>HYPERLINK("http://www.ncbi.nlm.nih.gov/protein/12963827","Wdr54")</f>
        <v>Wdr54</v>
      </c>
      <c r="E8307" t="str">
        <f>HYPERLINK("J:\Depot - mpkCCD Fractions\Main Web Page\Web Pages_old\proteomic_fractions_linear_files/Yang_linear_img/12963827.jpg","show blot")</f>
        <v>show blot</v>
      </c>
      <c r="G8307" t="s">
        <v>8055</v>
      </c>
      <c r="I8307" s="6">
        <v>4.06374632325549</v>
      </c>
      <c r="K8307" s="8"/>
    </row>
    <row r="8308" spans="1:11" ht="15" x14ac:dyDescent="0.25">
      <c r="A8308" s="3" t="str">
        <f>HYPERLINK("proteomic_fractions_linear_files/Yang_linear_img/13878227.jpg", "13878227")</f>
        <v>13878227</v>
      </c>
      <c r="C8308" s="3" t="str">
        <f>HYPERLINK("http://www.ncbi.nlm.nih.gov/protein/13878227","Wdr6")</f>
        <v>Wdr6</v>
      </c>
      <c r="E8308" t="str">
        <f>HYPERLINK("J:\Depot - mpkCCD Fractions\Main Web Page\Web Pages_old\proteomic_fractions_linear_files/Yang_linear_img/13878227.jpg","show blot")</f>
        <v>show blot</v>
      </c>
      <c r="G8308" t="s">
        <v>8056</v>
      </c>
      <c r="I8308" s="6">
        <v>3.9473286425621228</v>
      </c>
      <c r="K8308" s="8"/>
    </row>
    <row r="8309" spans="1:11" ht="15" x14ac:dyDescent="0.25">
      <c r="A8309" s="3" t="str">
        <f>HYPERLINK("proteomic_fractions_linear_files/Yang_linear_img/70778824.jpg", "70778824")</f>
        <v>70778824</v>
      </c>
      <c r="C8309" s="3" t="str">
        <f>HYPERLINK("http://www.ncbi.nlm.nih.gov/protein/70778824","Wdr61")</f>
        <v>Wdr61</v>
      </c>
      <c r="E8309" t="str">
        <f>HYPERLINK("J:\Depot - mpkCCD Fractions\Main Web Page\Web Pages_old\proteomic_fractions_linear_files/Yang_linear_img/70778824.jpg","show blot")</f>
        <v>show blot</v>
      </c>
      <c r="G8309" t="s">
        <v>8057</v>
      </c>
      <c r="I8309" s="6">
        <v>4.6204118221503006</v>
      </c>
      <c r="K8309" s="8"/>
    </row>
    <row r="8310" spans="1:11" ht="15" x14ac:dyDescent="0.25">
      <c r="A8310" s="3" t="str">
        <f>HYPERLINK("proteomic_fractions_linear_files/Yang_linear_img/13277350;70778817.jpg", "13277350;70778817")</f>
        <v>13277350;70778817</v>
      </c>
      <c r="C8310" s="3" t="str">
        <f>HYPERLINK("http://www.ncbi.nlm.nih.gov/protein/13277350;70778817","Wdr61")</f>
        <v>Wdr61</v>
      </c>
      <c r="E8310" t="str">
        <f>HYPERLINK("J:\Depot - mpkCCD Fractions\Main Web Page\Web Pages_old\proteomic_fractions_linear_files/Yang_linear_img/13277350;70778817.jpg","show blot")</f>
        <v>show blot</v>
      </c>
      <c r="G8310" t="s">
        <v>8058</v>
      </c>
      <c r="I8310" s="6">
        <v>4.6204118221503006</v>
      </c>
      <c r="K8310" s="8"/>
    </row>
    <row r="8311" spans="1:11" ht="15" x14ac:dyDescent="0.25">
      <c r="A8311" s="3" t="str">
        <f>HYPERLINK("proteomic_fractions_linear_files/Yang_linear_img/124487149.jpg", "124487149")</f>
        <v>124487149</v>
      </c>
      <c r="C8311" s="3" t="str">
        <f>HYPERLINK("http://www.ncbi.nlm.nih.gov/protein/124487149","Wdr70")</f>
        <v>Wdr70</v>
      </c>
      <c r="E8311" t="str">
        <f>HYPERLINK("J:\Depot - mpkCCD Fractions\Main Web Page\Web Pages_old\proteomic_fractions_linear_files/Yang_linear_img/124487149.jpg","show blot")</f>
        <v>show blot</v>
      </c>
      <c r="G8311" t="s">
        <v>8059</v>
      </c>
      <c r="I8311" s="6">
        <v>3.7011551300970207</v>
      </c>
      <c r="K8311" s="8"/>
    </row>
    <row r="8312" spans="1:11" ht="15" x14ac:dyDescent="0.25">
      <c r="A8312" s="3" t="str">
        <f>HYPERLINK("proteomic_fractions_linear_files/Yang_linear_img/148226059.jpg", "148226059")</f>
        <v>148226059</v>
      </c>
      <c r="C8312" s="3" t="str">
        <f>HYPERLINK("http://www.ncbi.nlm.nih.gov/protein/148226059","Wdr72")</f>
        <v>Wdr72</v>
      </c>
      <c r="E8312" t="str">
        <f>HYPERLINK("J:\Depot - mpkCCD Fractions\Main Web Page\Web Pages_old\proteomic_fractions_linear_files/Yang_linear_img/148226059.jpg","show blot")</f>
        <v>show blot</v>
      </c>
      <c r="G8312" t="s">
        <v>8060</v>
      </c>
      <c r="I8312" s="6">
        <v>5.1494042732338201</v>
      </c>
      <c r="K8312" s="8"/>
    </row>
    <row r="8313" spans="1:11" ht="15" x14ac:dyDescent="0.25">
      <c r="A8313" s="3" t="str">
        <f>HYPERLINK("proteomic_fractions_linear_files/Yang_linear_img/254910981.jpg", "254910981")</f>
        <v>254910981</v>
      </c>
      <c r="C8313" s="3" t="str">
        <f>HYPERLINK("http://www.ncbi.nlm.nih.gov/protein/254910981","Wdr73")</f>
        <v>Wdr73</v>
      </c>
      <c r="E8313" t="str">
        <f>HYPERLINK("J:\Depot - mpkCCD Fractions\Main Web Page\Web Pages_old\proteomic_fractions_linear_files/Yang_linear_img/254910981.jpg","show blot")</f>
        <v>show blot</v>
      </c>
      <c r="G8313" t="s">
        <v>8061</v>
      </c>
      <c r="I8313" s="6">
        <v>3.6110262801572852</v>
      </c>
      <c r="K8313" s="8"/>
    </row>
    <row r="8314" spans="1:11" ht="15" x14ac:dyDescent="0.25">
      <c r="A8314" s="3" t="str">
        <f>HYPERLINK("proteomic_fractions_linear_files/Yang_linear_img/19527374.jpg", "19527374")</f>
        <v>19527374</v>
      </c>
      <c r="C8314" s="3" t="str">
        <f>HYPERLINK("http://www.ncbi.nlm.nih.gov/protein/19527374","Wdr74")</f>
        <v>Wdr74</v>
      </c>
      <c r="E8314" t="str">
        <f>HYPERLINK("J:\Depot - mpkCCD Fractions\Main Web Page\Web Pages_old\proteomic_fractions_linear_files/Yang_linear_img/19527374.jpg","show blot")</f>
        <v>show blot</v>
      </c>
      <c r="G8314" t="s">
        <v>8062</v>
      </c>
      <c r="I8314" s="6">
        <v>3.1992064791616577</v>
      </c>
      <c r="K8314" s="8"/>
    </row>
    <row r="8315" spans="1:11" ht="15" x14ac:dyDescent="0.25">
      <c r="A8315" s="3" t="str">
        <f>HYPERLINK("proteomic_fractions_linear_files/Yang_linear_img/124487321.jpg", "124487321")</f>
        <v>124487321</v>
      </c>
      <c r="C8315" s="3" t="str">
        <f>HYPERLINK("http://www.ncbi.nlm.nih.gov/protein/124487321","Wdr76")</f>
        <v>Wdr76</v>
      </c>
      <c r="E8315" t="str">
        <f>HYPERLINK("J:\Depot - mpkCCD Fractions\Main Web Page\Web Pages_old\proteomic_fractions_linear_files/Yang_linear_img/124487321.jpg","show blot")</f>
        <v>show blot</v>
      </c>
      <c r="G8315" t="s">
        <v>8063</v>
      </c>
      <c r="I8315" s="6">
        <v>3.9341394600998552</v>
      </c>
      <c r="K8315" s="8"/>
    </row>
    <row r="8316" spans="1:11" ht="15" x14ac:dyDescent="0.25">
      <c r="A8316" s="3" t="str">
        <f>HYPERLINK("proteomic_fractions_linear_files/Yang_linear_img/19263322.jpg", "19263322")</f>
        <v>19263322</v>
      </c>
      <c r="C8316" s="3" t="str">
        <f>HYPERLINK("http://www.ncbi.nlm.nih.gov/protein/19263322","Wdr77")</f>
        <v>Wdr77</v>
      </c>
      <c r="E8316" t="str">
        <f>HYPERLINK("J:\Depot - mpkCCD Fractions\Main Web Page\Web Pages_old\proteomic_fractions_linear_files/Yang_linear_img/19263322.jpg","show blot")</f>
        <v>show blot</v>
      </c>
      <c r="G8316" t="s">
        <v>8064</v>
      </c>
      <c r="I8316" s="6">
        <v>5.6595428500371003</v>
      </c>
      <c r="K8316" s="8"/>
    </row>
    <row r="8317" spans="1:11" ht="15" x14ac:dyDescent="0.25">
      <c r="A8317" s="3" t="str">
        <f>HYPERLINK("proteomic_fractions_linear_files/Yang_linear_img/242118003.jpg", "242118003")</f>
        <v>242118003</v>
      </c>
      <c r="C8317" s="3" t="str">
        <f>HYPERLINK("http://www.ncbi.nlm.nih.gov/protein/242118003","Wdr81")</f>
        <v>Wdr81</v>
      </c>
      <c r="E8317" t="str">
        <f>HYPERLINK("J:\Depot - mpkCCD Fractions\Main Web Page\Web Pages_old\proteomic_fractions_linear_files/Yang_linear_img/242118003.jpg","show blot")</f>
        <v>show blot</v>
      </c>
      <c r="G8317" t="s">
        <v>8065</v>
      </c>
      <c r="I8317" s="6">
        <v>2.8178698958864699</v>
      </c>
      <c r="K8317" s="8"/>
    </row>
    <row r="8318" spans="1:11" ht="15" x14ac:dyDescent="0.25">
      <c r="A8318" s="3" t="str">
        <f>HYPERLINK("proteomic_fractions_linear_files/Yang_linear_img/148223079.jpg", "148223079")</f>
        <v>148223079</v>
      </c>
      <c r="C8318" s="3" t="str">
        <f>HYPERLINK("http://www.ncbi.nlm.nih.gov/protein/148223079","Wdr82")</f>
        <v>Wdr82</v>
      </c>
      <c r="E8318" t="str">
        <f>HYPERLINK("J:\Depot - mpkCCD Fractions\Main Web Page\Web Pages_old\proteomic_fractions_linear_files/Yang_linear_img/148223079.jpg","show blot")</f>
        <v>show blot</v>
      </c>
      <c r="G8318" t="s">
        <v>8066</v>
      </c>
      <c r="I8318" s="6">
        <v>4.8897742525128329</v>
      </c>
      <c r="K8318" s="8"/>
    </row>
    <row r="8319" spans="1:11" ht="15" x14ac:dyDescent="0.25">
      <c r="A8319" s="3" t="str">
        <f>HYPERLINK("proteomic_fractions_linear_files/Yang_linear_img/71067130.jpg", "71067130")</f>
        <v>71067130</v>
      </c>
      <c r="C8319" s="3" t="str">
        <f>HYPERLINK("http://www.ncbi.nlm.nih.gov/protein/71067130","Wdr83")</f>
        <v>Wdr83</v>
      </c>
      <c r="E8319" t="str">
        <f>HYPERLINK("J:\Depot - mpkCCD Fractions\Main Web Page\Web Pages_old\proteomic_fractions_linear_files/Yang_linear_img/71067130.jpg","show blot")</f>
        <v>show blot</v>
      </c>
      <c r="G8319" t="s">
        <v>8067</v>
      </c>
      <c r="I8319" s="6">
        <v>2.9093531007734912</v>
      </c>
      <c r="K8319" s="8"/>
    </row>
    <row r="8320" spans="1:11" ht="15" x14ac:dyDescent="0.25">
      <c r="A8320" s="3" t="str">
        <f>HYPERLINK("proteomic_fractions_linear_files/Yang_linear_img/61656182.jpg", "61656182")</f>
        <v>61656182</v>
      </c>
      <c r="C8320" s="3" t="str">
        <f>HYPERLINK("http://www.ncbi.nlm.nih.gov/protein/61656182","Wdr91")</f>
        <v>Wdr91</v>
      </c>
      <c r="E8320" t="str">
        <f>HYPERLINK("J:\Depot - mpkCCD Fractions\Main Web Page\Web Pages_old\proteomic_fractions_linear_files/Yang_linear_img/61656182.jpg","show blot")</f>
        <v>show blot</v>
      </c>
      <c r="G8320" t="s">
        <v>8068</v>
      </c>
      <c r="I8320" s="6">
        <v>3.8871931393965493</v>
      </c>
      <c r="K8320" s="8"/>
    </row>
    <row r="8321" spans="1:11" ht="15" x14ac:dyDescent="0.25">
      <c r="A8321" s="3" t="str">
        <f>HYPERLINK("proteomic_fractions_linear_files/Yang_linear_img/30725770.jpg", "30725770")</f>
        <v>30725770</v>
      </c>
      <c r="C8321" s="3" t="str">
        <f>HYPERLINK("http://www.ncbi.nlm.nih.gov/protein/30725770","Wdr92")</f>
        <v>Wdr92</v>
      </c>
      <c r="E8321" t="str">
        <f>HYPERLINK("J:\Depot - mpkCCD Fractions\Main Web Page\Web Pages_old\proteomic_fractions_linear_files/Yang_linear_img/30725770.jpg","show blot")</f>
        <v>show blot</v>
      </c>
      <c r="G8321" t="s">
        <v>8069</v>
      </c>
      <c r="I8321" s="6">
        <v>4.9161668385110717</v>
      </c>
      <c r="K8321" s="8"/>
    </row>
    <row r="8322" spans="1:11" ht="15" x14ac:dyDescent="0.25">
      <c r="A8322" s="3" t="str">
        <f>HYPERLINK("proteomic_fractions_linear_files/Yang_linear_img/227452250.jpg", "227452250")</f>
        <v>227452250</v>
      </c>
      <c r="C8322" s="3" t="str">
        <f>HYPERLINK("http://www.ncbi.nlm.nih.gov/protein/227452250","Wdsub1")</f>
        <v>Wdsub1</v>
      </c>
      <c r="E8322" t="str">
        <f>HYPERLINK("J:\Depot - mpkCCD Fractions\Main Web Page\Web Pages_old\proteomic_fractions_linear_files/Yang_linear_img/227452250.jpg","show blot")</f>
        <v>show blot</v>
      </c>
      <c r="G8322" t="s">
        <v>8070</v>
      </c>
      <c r="I8322" s="6">
        <v>2.9685376317737147</v>
      </c>
      <c r="K8322" s="8"/>
    </row>
    <row r="8323" spans="1:11" ht="15" x14ac:dyDescent="0.25">
      <c r="A8323" s="3" t="str">
        <f>HYPERLINK("proteomic_fractions_linear_files/Yang_linear_img/58037281.jpg", "58037281")</f>
        <v>58037281</v>
      </c>
      <c r="C8323" s="3" t="str">
        <f>HYPERLINK("http://www.ncbi.nlm.nih.gov/protein/58037281","Wdsub1")</f>
        <v>Wdsub1</v>
      </c>
      <c r="E8323" t="str">
        <f>HYPERLINK("J:\Depot - mpkCCD Fractions\Main Web Page\Web Pages_old\proteomic_fractions_linear_files/Yang_linear_img/58037281.jpg","show blot")</f>
        <v>show blot</v>
      </c>
      <c r="G8323" t="s">
        <v>8071</v>
      </c>
      <c r="I8323" s="6">
        <v>2.9685376317737147</v>
      </c>
      <c r="K8323" s="8"/>
    </row>
    <row r="8324" spans="1:11" ht="15" x14ac:dyDescent="0.25">
      <c r="A8324" s="3" t="str">
        <f>HYPERLINK("proteomic_fractions_linear_files/Yang_linear_img/40556280.jpg", "40556280")</f>
        <v>40556280</v>
      </c>
      <c r="C8324" s="3" t="str">
        <f>HYPERLINK("http://www.ncbi.nlm.nih.gov/protein/40556280","Wdtc1")</f>
        <v>Wdtc1</v>
      </c>
      <c r="E8324" t="str">
        <f>HYPERLINK("J:\Depot - mpkCCD Fractions\Main Web Page\Web Pages_old\proteomic_fractions_linear_files/Yang_linear_img/40556280.jpg","show blot")</f>
        <v>show blot</v>
      </c>
      <c r="G8324" t="s">
        <v>8072</v>
      </c>
      <c r="I8324" s="6">
        <v>3.1056356288016254</v>
      </c>
      <c r="K8324" s="8"/>
    </row>
    <row r="8325" spans="1:11" ht="15" x14ac:dyDescent="0.25">
      <c r="A8325" s="3" t="str">
        <f>HYPERLINK("proteomic_fractions_linear_files/Yang_linear_img/58037459.jpg", "58037459")</f>
        <v>58037459</v>
      </c>
      <c r="C8325" s="3" t="str">
        <f>HYPERLINK("http://www.ncbi.nlm.nih.gov/protein/58037459","Wdyhv1")</f>
        <v>Wdyhv1</v>
      </c>
      <c r="E8325" t="str">
        <f>HYPERLINK("J:\Depot - mpkCCD Fractions\Main Web Page\Web Pages_old\proteomic_fractions_linear_files/Yang_linear_img/58037459.jpg","show blot")</f>
        <v>show blot</v>
      </c>
      <c r="G8325" t="s">
        <v>8073</v>
      </c>
      <c r="I8325" s="6">
        <v>4.008108281671281</v>
      </c>
      <c r="K8325" s="8"/>
    </row>
    <row r="8326" spans="1:11" ht="15" x14ac:dyDescent="0.25">
      <c r="A8326" s="3" t="str">
        <f>HYPERLINK("proteomic_fractions_linear_files/Yang_linear_img/6755997.jpg", "6755997")</f>
        <v>6755997</v>
      </c>
      <c r="C8326" s="3" t="str">
        <f>HYPERLINK("http://www.ncbi.nlm.nih.gov/protein/6755997","Wfs1")</f>
        <v>Wfs1</v>
      </c>
      <c r="E8326" t="str">
        <f>HYPERLINK("J:\Depot - mpkCCD Fractions\Main Web Page\Web Pages_old\proteomic_fractions_linear_files/Yang_linear_img/6755997.jpg","show blot")</f>
        <v>show blot</v>
      </c>
      <c r="G8326" t="s">
        <v>8074</v>
      </c>
      <c r="I8326" s="6">
        <v>3.4516971629786077</v>
      </c>
      <c r="K8326" s="8"/>
    </row>
    <row r="8327" spans="1:11" ht="15" x14ac:dyDescent="0.25">
      <c r="A8327" s="3" t="str">
        <f>HYPERLINK("proteomic_fractions_linear_files/Yang_linear_img/358679337.jpg", "358679337")</f>
        <v>358679337</v>
      </c>
      <c r="C8327" s="3" t="str">
        <f>HYPERLINK("http://www.ncbi.nlm.nih.gov/protein/358679337","Wibg")</f>
        <v>Wibg</v>
      </c>
      <c r="E8327" t="str">
        <f>HYPERLINK("J:\Depot - mpkCCD Fractions\Main Web Page\Web Pages_old\proteomic_fractions_linear_files/Yang_linear_img/358679337.jpg","show blot")</f>
        <v>show blot</v>
      </c>
      <c r="G8327" t="s">
        <v>8075</v>
      </c>
      <c r="I8327" s="6">
        <v>5.5737506856020671</v>
      </c>
      <c r="K8327" s="8"/>
    </row>
    <row r="8328" spans="1:11" ht="15" x14ac:dyDescent="0.25">
      <c r="A8328" s="3" t="str">
        <f>HYPERLINK("proteomic_fractions_linear_files/Yang_linear_img/283945598.jpg", "283945598")</f>
        <v>283945598</v>
      </c>
      <c r="C8328" s="3" t="str">
        <f>HYPERLINK("http://www.ncbi.nlm.nih.gov/protein/283945598","Wibg")</f>
        <v>Wibg</v>
      </c>
      <c r="E8328" t="str">
        <f>HYPERLINK("J:\Depot - mpkCCD Fractions\Main Web Page\Web Pages_old\proteomic_fractions_linear_files/Yang_linear_img/283945598.jpg","show blot")</f>
        <v>show blot</v>
      </c>
      <c r="G8328" t="s">
        <v>8076</v>
      </c>
      <c r="I8328" s="6">
        <v>5.5737506856020671</v>
      </c>
      <c r="K8328" s="8"/>
    </row>
    <row r="8329" spans="1:11" ht="15" x14ac:dyDescent="0.25">
      <c r="A8329" s="3" t="str">
        <f>HYPERLINK("proteomic_fractions_linear_files/Yang_linear_img/283945600.jpg", "283945600")</f>
        <v>283945600</v>
      </c>
      <c r="C8329" s="3" t="str">
        <f>HYPERLINK("http://www.ncbi.nlm.nih.gov/protein/283945600","Wibg")</f>
        <v>Wibg</v>
      </c>
      <c r="E8329" t="str">
        <f>HYPERLINK("J:\Depot - mpkCCD Fractions\Main Web Page\Web Pages_old\proteomic_fractions_linear_files/Yang_linear_img/283945600.jpg","show blot")</f>
        <v>show blot</v>
      </c>
      <c r="G8329" t="s">
        <v>8077</v>
      </c>
      <c r="I8329" s="6">
        <v>5.5737506856020671</v>
      </c>
      <c r="K8329" s="8"/>
    </row>
    <row r="8330" spans="1:11" ht="15" x14ac:dyDescent="0.25">
      <c r="A8330" s="3" t="str">
        <f>HYPERLINK("proteomic_fractions_linear_files/Yang_linear_img/98986316.jpg", "98986316")</f>
        <v>98986316</v>
      </c>
      <c r="C8330" s="3" t="str">
        <f>HYPERLINK("http://www.ncbi.nlm.nih.gov/protein/98986316","Wls")</f>
        <v>Wls</v>
      </c>
      <c r="E8330" t="str">
        <f>HYPERLINK("J:\Depot - mpkCCD Fractions\Main Web Page\Web Pages_old\proteomic_fractions_linear_files/Yang_linear_img/98986316.jpg","show blot")</f>
        <v>show blot</v>
      </c>
      <c r="G8330" t="s">
        <v>8078</v>
      </c>
      <c r="I8330" s="6">
        <v>4.0736998921331145</v>
      </c>
      <c r="K8330" s="8"/>
    </row>
    <row r="8331" spans="1:11" ht="15" x14ac:dyDescent="0.25">
      <c r="A8331" s="3" t="str">
        <f>HYPERLINK("proteomic_fractions_linear_files/Yang_linear_img/257900530.jpg", "257900530")</f>
        <v>257900530</v>
      </c>
      <c r="C8331" s="3" t="str">
        <f>HYPERLINK("http://www.ncbi.nlm.nih.gov/protein/257900530","Wnk1")</f>
        <v>Wnk1</v>
      </c>
      <c r="E8331" t="str">
        <f>HYPERLINK("J:\Depot - mpkCCD Fractions\Main Web Page\Web Pages_old\proteomic_fractions_linear_files/Yang_linear_img/257900530.jpg","show blot")</f>
        <v>show blot</v>
      </c>
      <c r="G8331" t="s">
        <v>8079</v>
      </c>
      <c r="I8331" s="6">
        <v>4.4240419241976481</v>
      </c>
      <c r="K8331" s="8"/>
    </row>
    <row r="8332" spans="1:11" ht="15" x14ac:dyDescent="0.25">
      <c r="A8332" s="3" t="str">
        <f>HYPERLINK("proteomic_fractions_linear_files/Yang_linear_img/297206804.jpg", "297206804")</f>
        <v>297206804</v>
      </c>
      <c r="C8332" s="3" t="str">
        <f>HYPERLINK("http://www.ncbi.nlm.nih.gov/protein/297206804","Wnk1")</f>
        <v>Wnk1</v>
      </c>
      <c r="E8332" t="str">
        <f>HYPERLINK("J:\Depot - mpkCCD Fractions\Main Web Page\Web Pages_old\proteomic_fractions_linear_files/Yang_linear_img/297206804.jpg","show blot")</f>
        <v>show blot</v>
      </c>
      <c r="G8332" t="s">
        <v>8080</v>
      </c>
      <c r="I8332" s="6">
        <v>4.4240419241976481</v>
      </c>
      <c r="K8332" s="8"/>
    </row>
    <row r="8333" spans="1:11" ht="15" x14ac:dyDescent="0.25">
      <c r="A8333" s="3" t="str">
        <f>HYPERLINK("proteomic_fractions_linear_files/Yang_linear_img/297206806.jpg", "297206806")</f>
        <v>297206806</v>
      </c>
      <c r="C8333" s="3" t="str">
        <f>HYPERLINK("http://www.ncbi.nlm.nih.gov/protein/297206806","Wnk1")</f>
        <v>Wnk1</v>
      </c>
      <c r="E8333" t="str">
        <f>HYPERLINK("J:\Depot - mpkCCD Fractions\Main Web Page\Web Pages_old\proteomic_fractions_linear_files/Yang_linear_img/297206806.jpg","show blot")</f>
        <v>show blot</v>
      </c>
      <c r="G8333" t="s">
        <v>8081</v>
      </c>
      <c r="I8333" s="6">
        <v>4.4240419241976481</v>
      </c>
      <c r="K8333" s="8"/>
    </row>
    <row r="8334" spans="1:11" ht="15" x14ac:dyDescent="0.25">
      <c r="A8334" s="3" t="str">
        <f>HYPERLINK("proteomic_fractions_linear_files/Yang_linear_img/312283629.jpg", "312283629")</f>
        <v>312283629</v>
      </c>
      <c r="C8334" s="3" t="str">
        <f>HYPERLINK("http://www.ncbi.nlm.nih.gov/protein/312283629","Wnk1")</f>
        <v>Wnk1</v>
      </c>
      <c r="E8334" t="str">
        <f>HYPERLINK("J:\Depot - mpkCCD Fractions\Main Web Page\Web Pages_old\proteomic_fractions_linear_files/Yang_linear_img/312283629.jpg","show blot")</f>
        <v>show blot</v>
      </c>
      <c r="G8334" t="s">
        <v>8082</v>
      </c>
      <c r="I8334" s="6">
        <v>4.4240419241976481</v>
      </c>
      <c r="K8334" s="8"/>
    </row>
    <row r="8335" spans="1:11" ht="15" x14ac:dyDescent="0.25">
      <c r="A8335" s="3" t="str">
        <f>HYPERLINK("proteomic_fractions_linear_files/Yang_linear_img/312283631.jpg", "312283631")</f>
        <v>312283631</v>
      </c>
      <c r="C8335" s="3" t="str">
        <f>HYPERLINK("http://www.ncbi.nlm.nih.gov/protein/312283631","Wnk1")</f>
        <v>Wnk1</v>
      </c>
      <c r="E8335" t="str">
        <f>HYPERLINK("J:\Depot - mpkCCD Fractions\Main Web Page\Web Pages_old\proteomic_fractions_linear_files/Yang_linear_img/312283631.jpg","show blot")</f>
        <v>show blot</v>
      </c>
      <c r="G8335" t="s">
        <v>8083</v>
      </c>
      <c r="I8335" s="6">
        <v>4.4240419241976481</v>
      </c>
      <c r="K8335" s="8"/>
    </row>
    <row r="8336" spans="1:11" ht="15" x14ac:dyDescent="0.25">
      <c r="A8336" s="3" t="str">
        <f>HYPERLINK("proteomic_fractions_linear_files/Yang_linear_img/157057176.jpg", "157057176")</f>
        <v>157057176</v>
      </c>
      <c r="C8336" s="3" t="str">
        <f>HYPERLINK("http://www.ncbi.nlm.nih.gov/protein/157057176","Wnk2")</f>
        <v>Wnk2</v>
      </c>
      <c r="E8336" t="str">
        <f>HYPERLINK("J:\Depot - mpkCCD Fractions\Main Web Page\Web Pages_old\proteomic_fractions_linear_files/Yang_linear_img/157057176.jpg","show blot")</f>
        <v>show blot</v>
      </c>
      <c r="G8336" t="s">
        <v>8084</v>
      </c>
      <c r="I8336" s="6">
        <v>3.6738569315577365</v>
      </c>
      <c r="K8336" s="8"/>
    </row>
    <row r="8337" spans="1:11" ht="15" x14ac:dyDescent="0.25">
      <c r="A8337" s="3" t="str">
        <f>HYPERLINK("proteomic_fractions_linear_files/Yang_linear_img/28316732.jpg", "28316732")</f>
        <v>28316732</v>
      </c>
      <c r="C8337" s="3" t="str">
        <f>HYPERLINK("http://www.ncbi.nlm.nih.gov/protein/28316732","Wnk4")</f>
        <v>Wnk4</v>
      </c>
      <c r="E8337" t="str">
        <f>HYPERLINK("J:\Depot - mpkCCD Fractions\Main Web Page\Web Pages_old\proteomic_fractions_linear_files/Yang_linear_img/28316732.jpg","show blot")</f>
        <v>show blot</v>
      </c>
      <c r="G8337" t="s">
        <v>8085</v>
      </c>
      <c r="I8337" s="6">
        <v>4.2409004603136875</v>
      </c>
      <c r="K8337" s="8"/>
    </row>
    <row r="8338" spans="1:11" ht="15" x14ac:dyDescent="0.25">
      <c r="A8338" s="3" t="str">
        <f>HYPERLINK("proteomic_fractions_linear_files/Yang_linear_img/170763502.jpg", "170763502")</f>
        <v>170763502</v>
      </c>
      <c r="C8338" s="3" t="str">
        <f>HYPERLINK("http://www.ncbi.nlm.nih.gov/protein/170763502","Wrn")</f>
        <v>Wrn</v>
      </c>
      <c r="E8338" t="str">
        <f>HYPERLINK("J:\Depot - mpkCCD Fractions\Main Web Page\Web Pages_old\proteomic_fractions_linear_files/Yang_linear_img/170763502.jpg","show blot")</f>
        <v>show blot</v>
      </c>
      <c r="G8338" t="s">
        <v>8086</v>
      </c>
      <c r="I8338" s="6">
        <v>2.5749229145410855</v>
      </c>
      <c r="K8338" s="8"/>
    </row>
    <row r="8339" spans="1:11" ht="15" x14ac:dyDescent="0.25">
      <c r="A8339" s="3" t="str">
        <f>HYPERLINK("proteomic_fractions_linear_files/Yang_linear_img/407261615.jpg", "407261615")</f>
        <v>407261615</v>
      </c>
      <c r="C8339" s="3" t="str">
        <f>HYPERLINK("http://www.ncbi.nlm.nih.gov/protein/407261615","Wrn")</f>
        <v>Wrn</v>
      </c>
      <c r="E8339" t="str">
        <f>HYPERLINK("J:\Depot - mpkCCD Fractions\Main Web Page\Web Pages_old\proteomic_fractions_linear_files/Yang_linear_img/407261615.jpg","show blot")</f>
        <v>show blot</v>
      </c>
      <c r="G8339" t="s">
        <v>8087</v>
      </c>
      <c r="I8339" s="6">
        <v>2.5749229145410855</v>
      </c>
      <c r="K8339" s="8"/>
    </row>
    <row r="8340" spans="1:11" ht="15" x14ac:dyDescent="0.25">
      <c r="A8340" s="3" t="str">
        <f>HYPERLINK("proteomic_fractions_linear_files/Yang_linear_img/254540120.jpg", "254540120")</f>
        <v>254540120</v>
      </c>
      <c r="C8340" s="3" t="str">
        <f>HYPERLINK("http://www.ncbi.nlm.nih.gov/protein/254540120","Wrnip1")</f>
        <v>Wrnip1</v>
      </c>
      <c r="E8340" t="str">
        <f>HYPERLINK("J:\Depot - mpkCCD Fractions\Main Web Page\Web Pages_old\proteomic_fractions_linear_files/Yang_linear_img/254540120.jpg","show blot")</f>
        <v>show blot</v>
      </c>
      <c r="G8340" t="s">
        <v>8088</v>
      </c>
      <c r="I8340" s="6">
        <v>2.9710032375005477</v>
      </c>
      <c r="K8340" s="8"/>
    </row>
    <row r="8341" spans="1:11" ht="15" x14ac:dyDescent="0.25">
      <c r="A8341" s="3" t="str">
        <f>HYPERLINK("proteomic_fractions_linear_files/Yang_linear_img/165377291.jpg", "165377291")</f>
        <v>165377291</v>
      </c>
      <c r="C8341" s="3" t="str">
        <f>HYPERLINK("http://www.ncbi.nlm.nih.gov/protein/165377291","Wtap")</f>
        <v>Wtap</v>
      </c>
      <c r="E8341" t="str">
        <f>HYPERLINK("J:\Depot - mpkCCD Fractions\Main Web Page\Web Pages_old\proteomic_fractions_linear_files/Yang_linear_img/165377291.jpg","show blot")</f>
        <v>show blot</v>
      </c>
      <c r="G8341" t="s">
        <v>8089</v>
      </c>
      <c r="I8341" s="6">
        <v>3.5134756237594087</v>
      </c>
      <c r="K8341" s="8"/>
    </row>
    <row r="8342" spans="1:11" ht="15" x14ac:dyDescent="0.25">
      <c r="A8342" s="3" t="str">
        <f>HYPERLINK("proteomic_fractions_linear_files/Yang_linear_img/82524278.jpg", "82524278")</f>
        <v>82524278</v>
      </c>
      <c r="C8342" s="3" t="str">
        <f>HYPERLINK("http://www.ncbi.nlm.nih.gov/protein/82524278","Wwc1")</f>
        <v>Wwc1</v>
      </c>
      <c r="E8342" t="str">
        <f>HYPERLINK("J:\Depot - mpkCCD Fractions\Main Web Page\Web Pages_old\proteomic_fractions_linear_files/Yang_linear_img/82524278.jpg","show blot")</f>
        <v>show blot</v>
      </c>
      <c r="G8342" t="s">
        <v>8090</v>
      </c>
      <c r="I8342" s="6">
        <v>3.9676052113272808</v>
      </c>
      <c r="K8342" s="8"/>
    </row>
    <row r="8343" spans="1:11" ht="15" x14ac:dyDescent="0.25">
      <c r="A8343" s="3" t="str">
        <f>HYPERLINK("proteomic_fractions_linear_files/Yang_linear_img/46575912.jpg", "46575912")</f>
        <v>46575912</v>
      </c>
      <c r="C8343" s="3" t="str">
        <f>HYPERLINK("http://www.ncbi.nlm.nih.gov/protein/46575912","Wwc2")</f>
        <v>Wwc2</v>
      </c>
      <c r="E8343" t="str">
        <f>HYPERLINK("J:\Depot - mpkCCD Fractions\Main Web Page\Web Pages_old\proteomic_fractions_linear_files/Yang_linear_img/46575912.jpg","show blot")</f>
        <v>show blot</v>
      </c>
      <c r="G8343" t="s">
        <v>8091</v>
      </c>
      <c r="I8343" s="6">
        <v>3.848762980765422</v>
      </c>
      <c r="K8343" s="8"/>
    </row>
    <row r="8344" spans="1:11" ht="15" x14ac:dyDescent="0.25">
      <c r="A8344" s="3" t="str">
        <f>HYPERLINK("proteomic_fractions_linear_files/Yang_linear_img/31980962.jpg", "31980962")</f>
        <v>31980962</v>
      </c>
      <c r="C8344" s="3" t="str">
        <f>HYPERLINK("http://www.ncbi.nlm.nih.gov/protein/31980962","Wwox")</f>
        <v>Wwox</v>
      </c>
      <c r="E8344" t="str">
        <f>HYPERLINK("J:\Depot - mpkCCD Fractions\Main Web Page\Web Pages_old\proteomic_fractions_linear_files/Yang_linear_img/31980962.jpg","show blot")</f>
        <v>show blot</v>
      </c>
      <c r="G8344" t="s">
        <v>8092</v>
      </c>
      <c r="I8344" s="6">
        <v>1.929752016219106</v>
      </c>
      <c r="K8344" s="8"/>
    </row>
    <row r="8345" spans="1:11" ht="15" x14ac:dyDescent="0.25">
      <c r="A8345" s="3" t="str">
        <f>HYPERLINK("proteomic_fractions_linear_files/Yang_linear_img/112734836.jpg", "112734836")</f>
        <v>112734836</v>
      </c>
      <c r="C8345" s="3" t="str">
        <f>HYPERLINK("http://www.ncbi.nlm.nih.gov/protein/112734836","Wwp1")</f>
        <v>Wwp1</v>
      </c>
      <c r="E8345" t="str">
        <f>HYPERLINK("J:\Depot - mpkCCD Fractions\Main Web Page\Web Pages_old\proteomic_fractions_linear_files/Yang_linear_img/112734836.jpg","show blot")</f>
        <v>show blot</v>
      </c>
      <c r="G8345" t="s">
        <v>8093</v>
      </c>
      <c r="I8345" s="6">
        <v>3.6466724244746427</v>
      </c>
      <c r="K8345" s="8"/>
    </row>
    <row r="8346" spans="1:11" ht="15" x14ac:dyDescent="0.25">
      <c r="A8346" s="3" t="str">
        <f>HYPERLINK("proteomic_fractions_linear_files/Yang_linear_img/443906717.jpg", "443906717")</f>
        <v>443906717</v>
      </c>
      <c r="C8346" s="3" t="str">
        <f>HYPERLINK("http://www.ncbi.nlm.nih.gov/protein/443906717","Wwp1")</f>
        <v>Wwp1</v>
      </c>
      <c r="E8346" t="str">
        <f>HYPERLINK("J:\Depot - mpkCCD Fractions\Main Web Page\Web Pages_old\proteomic_fractions_linear_files/Yang_linear_img/443906717.jpg","show blot")</f>
        <v>show blot</v>
      </c>
      <c r="G8346" t="s">
        <v>8094</v>
      </c>
      <c r="I8346" s="6">
        <v>3.6466724244746427</v>
      </c>
      <c r="K8346" s="8"/>
    </row>
    <row r="8347" spans="1:11" ht="15" x14ac:dyDescent="0.25">
      <c r="A8347" s="3" t="str">
        <f>HYPERLINK("proteomic_fractions_linear_files/Yang_linear_img/13385304.jpg", "13385304")</f>
        <v>13385304</v>
      </c>
      <c r="C8347" s="3" t="str">
        <f>HYPERLINK("http://www.ncbi.nlm.nih.gov/protein/13385304","Wwp2")</f>
        <v>Wwp2</v>
      </c>
      <c r="E8347" t="str">
        <f>HYPERLINK("J:\Depot - mpkCCD Fractions\Main Web Page\Web Pages_old\proteomic_fractions_linear_files/Yang_linear_img/13385304.jpg","show blot")</f>
        <v>show blot</v>
      </c>
      <c r="G8347" t="s">
        <v>8095</v>
      </c>
      <c r="I8347" s="6">
        <v>3.5195601963584546</v>
      </c>
      <c r="K8347" s="8"/>
    </row>
    <row r="8348" spans="1:11" ht="15" x14ac:dyDescent="0.25">
      <c r="A8348" s="3" t="str">
        <f>HYPERLINK("proteomic_fractions_linear_files/Yang_linear_img/13385660.jpg", "13385660")</f>
        <v>13385660</v>
      </c>
      <c r="C8348" s="3" t="str">
        <f>HYPERLINK("http://www.ncbi.nlm.nih.gov/protein/13385660","Xab2")</f>
        <v>Xab2</v>
      </c>
      <c r="E8348" t="str">
        <f>HYPERLINK("J:\Depot - mpkCCD Fractions\Main Web Page\Web Pages_old\proteomic_fractions_linear_files/Yang_linear_img/13385660.jpg","show blot")</f>
        <v>show blot</v>
      </c>
      <c r="G8348" t="s">
        <v>8096</v>
      </c>
      <c r="I8348" s="6">
        <v>3.0382189990018005</v>
      </c>
      <c r="K8348" s="8"/>
    </row>
    <row r="8349" spans="1:11" ht="15" x14ac:dyDescent="0.25">
      <c r="A8349" s="3" t="str">
        <f>HYPERLINK("proteomic_fractions_linear_files/Yang_linear_img/157951674.jpg", "157951674")</f>
        <v>157951674</v>
      </c>
      <c r="C8349" s="3" t="str">
        <f>HYPERLINK("http://www.ncbi.nlm.nih.gov/protein/157951674","Xiap")</f>
        <v>Xiap</v>
      </c>
      <c r="E8349" t="str">
        <f>HYPERLINK("J:\Depot - mpkCCD Fractions\Main Web Page\Web Pages_old\proteomic_fractions_linear_files/Yang_linear_img/157951674.jpg","show blot")</f>
        <v>show blot</v>
      </c>
      <c r="G8349" t="s">
        <v>8097</v>
      </c>
      <c r="I8349" s="6">
        <v>3.1745921142068392</v>
      </c>
      <c r="K8349" s="8"/>
    </row>
    <row r="8350" spans="1:11" ht="15" x14ac:dyDescent="0.25">
      <c r="A8350" s="3" t="str">
        <f>HYPERLINK("proteomic_fractions_linear_files/Yang_linear_img/406855427.jpg", "406855427")</f>
        <v>406855427</v>
      </c>
      <c r="C8350" s="3" t="str">
        <f>HYPERLINK("http://www.ncbi.nlm.nih.gov/protein/406855427","Xpnpep1")</f>
        <v>Xpnpep1</v>
      </c>
      <c r="E8350" t="str">
        <f>HYPERLINK("J:\Depot - mpkCCD Fractions\Main Web Page\Web Pages_old\proteomic_fractions_linear_files/Yang_linear_img/406855427.jpg","show blot")</f>
        <v>show blot</v>
      </c>
      <c r="G8350" t="s">
        <v>8098</v>
      </c>
      <c r="I8350" s="6">
        <v>5.6295295058619823</v>
      </c>
      <c r="K8350" s="8"/>
    </row>
    <row r="8351" spans="1:11" ht="15" x14ac:dyDescent="0.25">
      <c r="A8351" s="3" t="str">
        <f>HYPERLINK("proteomic_fractions_linear_files/Yang_linear_img/28893421.jpg", "28893421")</f>
        <v>28893421</v>
      </c>
      <c r="C8351" s="3" t="str">
        <f>HYPERLINK("http://www.ncbi.nlm.nih.gov/protein/28893421","Xpnpep3")</f>
        <v>Xpnpep3</v>
      </c>
      <c r="E8351" t="str">
        <f>HYPERLINK("J:\Depot - mpkCCD Fractions\Main Web Page\Web Pages_old\proteomic_fractions_linear_files/Yang_linear_img/28893421.jpg","show blot")</f>
        <v>show blot</v>
      </c>
      <c r="G8351" t="s">
        <v>8099</v>
      </c>
      <c r="I8351" s="6">
        <v>3.927154012939237</v>
      </c>
      <c r="K8351" s="8"/>
    </row>
    <row r="8352" spans="1:11" ht="15" x14ac:dyDescent="0.25">
      <c r="A8352" s="3" t="str">
        <f>HYPERLINK("proteomic_fractions_linear_files/Yang_linear_img/38604071.jpg", "38604071")</f>
        <v>38604071</v>
      </c>
      <c r="C8352" s="3" t="str">
        <f>HYPERLINK("http://www.ncbi.nlm.nih.gov/protein/38604071","Xpo1")</f>
        <v>Xpo1</v>
      </c>
      <c r="E8352" t="str">
        <f>HYPERLINK("J:\Depot - mpkCCD Fractions\Main Web Page\Web Pages_old\proteomic_fractions_linear_files/Yang_linear_img/38604071.jpg","show blot")</f>
        <v>show blot</v>
      </c>
      <c r="G8352" t="s">
        <v>8100</v>
      </c>
      <c r="I8352" s="6">
        <v>5.6919380577281684</v>
      </c>
      <c r="K8352" s="8"/>
    </row>
    <row r="8353" spans="1:11" ht="15" x14ac:dyDescent="0.25">
      <c r="A8353" s="3" t="str">
        <f>HYPERLINK("proteomic_fractions_linear_files/Yang_linear_img/10048438.jpg", "10048438")</f>
        <v>10048438</v>
      </c>
      <c r="C8353" s="3" t="str">
        <f>HYPERLINK("http://www.ncbi.nlm.nih.gov/protein/10048438","Xpo4")</f>
        <v>Xpo4</v>
      </c>
      <c r="E8353" t="str">
        <f>HYPERLINK("J:\Depot - mpkCCD Fractions\Main Web Page\Web Pages_old\proteomic_fractions_linear_files/Yang_linear_img/10048438.jpg","show blot")</f>
        <v>show blot</v>
      </c>
      <c r="G8353" t="s">
        <v>8101</v>
      </c>
      <c r="I8353" s="6">
        <v>3.921696484633248</v>
      </c>
      <c r="K8353" s="8"/>
    </row>
    <row r="8354" spans="1:11" ht="15" x14ac:dyDescent="0.25">
      <c r="A8354" s="3" t="str">
        <f>HYPERLINK("proteomic_fractions_linear_files/Yang_linear_img/24429570.jpg", "24429570")</f>
        <v>24429570</v>
      </c>
      <c r="C8354" s="3" t="str">
        <f>HYPERLINK("http://www.ncbi.nlm.nih.gov/protein/24429570","Xpo5")</f>
        <v>Xpo5</v>
      </c>
      <c r="E8354" t="str">
        <f>HYPERLINK("J:\Depot - mpkCCD Fractions\Main Web Page\Web Pages_old\proteomic_fractions_linear_files/Yang_linear_img/24429570.jpg","show blot")</f>
        <v>show blot</v>
      </c>
      <c r="G8354" t="s">
        <v>8102</v>
      </c>
      <c r="I8354" s="6">
        <v>5.2332693419150598</v>
      </c>
      <c r="K8354" s="8"/>
    </row>
    <row r="8355" spans="1:11" ht="15" x14ac:dyDescent="0.25">
      <c r="A8355" s="3" t="str">
        <f>HYPERLINK("proteomic_fractions_linear_files/Yang_linear_img/12746422.jpg", "12746422")</f>
        <v>12746422</v>
      </c>
      <c r="C8355" s="3" t="str">
        <f>HYPERLINK("http://www.ncbi.nlm.nih.gov/protein/12746422","Xpo7")</f>
        <v>Xpo7</v>
      </c>
      <c r="E8355" t="str">
        <f>HYPERLINK("J:\Depot - mpkCCD Fractions\Main Web Page\Web Pages_old\proteomic_fractions_linear_files/Yang_linear_img/12746422.jpg","show blot")</f>
        <v>show blot</v>
      </c>
      <c r="G8355" t="s">
        <v>8103</v>
      </c>
      <c r="I8355" s="6">
        <v>4.9487113343458411</v>
      </c>
      <c r="K8355" s="8"/>
    </row>
    <row r="8356" spans="1:11" ht="15" x14ac:dyDescent="0.25">
      <c r="A8356" s="3" t="str">
        <f>HYPERLINK("proteomic_fractions_linear_files/Yang_linear_img/124486686.jpg", "124486686")</f>
        <v>124486686</v>
      </c>
      <c r="C8356" s="3" t="str">
        <f>HYPERLINK("http://www.ncbi.nlm.nih.gov/protein/124486686","Xpot")</f>
        <v>Xpot</v>
      </c>
      <c r="E8356" t="str">
        <f>HYPERLINK("J:\Depot - mpkCCD Fractions\Main Web Page\Web Pages_old\proteomic_fractions_linear_files/Yang_linear_img/124486686.jpg","show blot")</f>
        <v>show blot</v>
      </c>
      <c r="G8356" t="s">
        <v>8104</v>
      </c>
      <c r="I8356" s="6">
        <v>4.501643322907988</v>
      </c>
      <c r="K8356" s="8"/>
    </row>
    <row r="8357" spans="1:11" ht="15" x14ac:dyDescent="0.25">
      <c r="A8357" s="3" t="str">
        <f>HYPERLINK("proteomic_fractions_linear_files/Yang_linear_img/170295844.jpg", "170295844")</f>
        <v>170295844</v>
      </c>
      <c r="C8357" s="3" t="str">
        <f>HYPERLINK("http://www.ncbi.nlm.nih.gov/protein/170295844","Xrcc1")</f>
        <v>Xrcc1</v>
      </c>
      <c r="E8357" t="str">
        <f>HYPERLINK("J:\Depot - mpkCCD Fractions\Main Web Page\Web Pages_old\proteomic_fractions_linear_files/Yang_linear_img/170295844.jpg","show blot")</f>
        <v>show blot</v>
      </c>
      <c r="G8357" t="s">
        <v>8105</v>
      </c>
      <c r="I8357" s="6">
        <v>4.2599135035363194</v>
      </c>
      <c r="K8357" s="8"/>
    </row>
    <row r="8358" spans="1:11" ht="15" x14ac:dyDescent="0.25">
      <c r="A8358" s="3" t="str">
        <f>HYPERLINK("proteomic_fractions_linear_files/Yang_linear_img/160333605.jpg", "160333605")</f>
        <v>160333605</v>
      </c>
      <c r="C8358" s="3" t="str">
        <f>HYPERLINK("http://www.ncbi.nlm.nih.gov/protein/160333605","Xrcc5")</f>
        <v>Xrcc5</v>
      </c>
      <c r="E8358" t="str">
        <f>HYPERLINK("J:\Depot - mpkCCD Fractions\Main Web Page\Web Pages_old\proteomic_fractions_linear_files/Yang_linear_img/160333605.jpg","show blot")</f>
        <v>show blot</v>
      </c>
      <c r="G8358" t="s">
        <v>8106</v>
      </c>
      <c r="I8358" s="6">
        <v>5.4331470580851668</v>
      </c>
      <c r="K8358" s="8"/>
    </row>
    <row r="8359" spans="1:11" ht="15" x14ac:dyDescent="0.25">
      <c r="A8359" s="3" t="str">
        <f>HYPERLINK("proteomic_fractions_linear_files/Yang_linear_img/145587104.jpg", "145587104")</f>
        <v>145587104</v>
      </c>
      <c r="C8359" s="3" t="str">
        <f>HYPERLINK("http://www.ncbi.nlm.nih.gov/protein/145587104","Xrcc6")</f>
        <v>Xrcc6</v>
      </c>
      <c r="E8359" t="str">
        <f>HYPERLINK("J:\Depot - mpkCCD Fractions\Main Web Page\Web Pages_old\proteomic_fractions_linear_files/Yang_linear_img/145587104.jpg","show blot")</f>
        <v>show blot</v>
      </c>
      <c r="G8359" t="s">
        <v>8107</v>
      </c>
      <c r="I8359" s="6">
        <v>5.3988399553090352</v>
      </c>
      <c r="K8359" s="8"/>
    </row>
    <row r="8360" spans="1:11" ht="15" x14ac:dyDescent="0.25">
      <c r="A8360" s="3" t="str">
        <f>HYPERLINK("proteomic_fractions_linear_files/Yang_linear_img/227116360.jpg", "227116360")</f>
        <v>227116360</v>
      </c>
      <c r="C8360" s="3" t="str">
        <f>HYPERLINK("http://www.ncbi.nlm.nih.gov/protein/227116360","Xrcc6bp1")</f>
        <v>Xrcc6bp1</v>
      </c>
      <c r="E8360" t="str">
        <f>HYPERLINK("J:\Depot - mpkCCD Fractions\Main Web Page\Web Pages_old\proteomic_fractions_linear_files/Yang_linear_img/227116360.jpg","show blot")</f>
        <v>show blot</v>
      </c>
      <c r="G8360" t="s">
        <v>8108</v>
      </c>
      <c r="I8360" s="6">
        <v>2.8349612754146554</v>
      </c>
      <c r="K8360" s="8"/>
    </row>
    <row r="8361" spans="1:11" ht="15" x14ac:dyDescent="0.25">
      <c r="A8361" s="3" t="str">
        <f>HYPERLINK("proteomic_fractions_linear_files/Yang_linear_img/115495455.jpg", "115495455")</f>
        <v>115495455</v>
      </c>
      <c r="C8361" s="3" t="str">
        <f>HYPERLINK("http://www.ncbi.nlm.nih.gov/protein/115495455","Xrn1")</f>
        <v>Xrn1</v>
      </c>
      <c r="E8361" t="str">
        <f>HYPERLINK("J:\Depot - mpkCCD Fractions\Main Web Page\Web Pages_old\proteomic_fractions_linear_files/Yang_linear_img/115495455.jpg","show blot")</f>
        <v>show blot</v>
      </c>
      <c r="G8361" t="s">
        <v>8109</v>
      </c>
      <c r="I8361" s="6">
        <v>2.8796133763542939</v>
      </c>
      <c r="K8361" s="8"/>
    </row>
    <row r="8362" spans="1:11" ht="15" x14ac:dyDescent="0.25">
      <c r="A8362" s="3" t="str">
        <f>HYPERLINK("proteomic_fractions_linear_files/Yang_linear_img/117606214.jpg", "117606214")</f>
        <v>117606214</v>
      </c>
      <c r="C8362" s="3" t="str">
        <f>HYPERLINK("http://www.ncbi.nlm.nih.gov/protein/117606214","Xrn2")</f>
        <v>Xrn2</v>
      </c>
      <c r="E8362" t="str">
        <f>HYPERLINK("J:\Depot - mpkCCD Fractions\Main Web Page\Web Pages_old\proteomic_fractions_linear_files/Yang_linear_img/117606214.jpg","show blot")</f>
        <v>show blot</v>
      </c>
      <c r="G8362" t="s">
        <v>8110</v>
      </c>
      <c r="I8362" s="6">
        <v>4.5994008878710924</v>
      </c>
      <c r="K8362" s="8"/>
    </row>
    <row r="8363" spans="1:11" ht="15" x14ac:dyDescent="0.25">
      <c r="A8363" s="3" t="str">
        <f>HYPERLINK("proteomic_fractions_linear_files/Yang_linear_img/256000811.jpg", "256000811")</f>
        <v>256000811</v>
      </c>
      <c r="C8363" s="3" t="str">
        <f>HYPERLINK("http://www.ncbi.nlm.nih.gov/protein/256000811","Xrra1")</f>
        <v>Xrra1</v>
      </c>
      <c r="E8363" t="str">
        <f>HYPERLINK("J:\Depot - mpkCCD Fractions\Main Web Page\Web Pages_old\proteomic_fractions_linear_files/Yang_linear_img/256000811.jpg","show blot")</f>
        <v>show blot</v>
      </c>
      <c r="G8363" t="s">
        <v>8111</v>
      </c>
      <c r="I8363" s="6">
        <v>3.5402448468416483</v>
      </c>
      <c r="K8363" s="8"/>
    </row>
    <row r="8364" spans="1:11" ht="15" x14ac:dyDescent="0.25">
      <c r="A8364" s="3" t="str">
        <f>HYPERLINK("proteomic_fractions_linear_files/Yang_linear_img/313760620.jpg", "313760620")</f>
        <v>313760620</v>
      </c>
      <c r="C8364" s="3" t="str">
        <f>HYPERLINK("http://www.ncbi.nlm.nih.gov/protein/313760620","Xylb")</f>
        <v>Xylb</v>
      </c>
      <c r="E8364" t="str">
        <f>HYPERLINK("J:\Depot - mpkCCD Fractions\Main Web Page\Web Pages_old\proteomic_fractions_linear_files/Yang_linear_img/313760620.jpg","show blot")</f>
        <v>show blot</v>
      </c>
      <c r="G8364" t="s">
        <v>8112</v>
      </c>
      <c r="I8364" s="6">
        <v>5.2741854024086914</v>
      </c>
      <c r="K8364" s="8"/>
    </row>
    <row r="8365" spans="1:11" ht="15" x14ac:dyDescent="0.25">
      <c r="A8365" s="3" t="str">
        <f>HYPERLINK("proteomic_fractions_linear_files/Yang_linear_img/84794607.jpg", "84794607")</f>
        <v>84794607</v>
      </c>
      <c r="C8365" s="3" t="str">
        <f>HYPERLINK("http://www.ncbi.nlm.nih.gov/protein/84794607","Xylb")</f>
        <v>Xylb</v>
      </c>
      <c r="E8365" t="str">
        <f>HYPERLINK("J:\Depot - mpkCCD Fractions\Main Web Page\Web Pages_old\proteomic_fractions_linear_files/Yang_linear_img/84794607.jpg","show blot")</f>
        <v>show blot</v>
      </c>
      <c r="G8365" t="s">
        <v>8113</v>
      </c>
      <c r="I8365" s="6">
        <v>5.2741854024086914</v>
      </c>
      <c r="K8365" s="8"/>
    </row>
    <row r="8366" spans="1:11" ht="15" x14ac:dyDescent="0.25">
      <c r="A8366" s="3" t="str">
        <f>HYPERLINK("proteomic_fractions_linear_files/Yang_linear_img/40254385.jpg", "40254385")</f>
        <v>40254385</v>
      </c>
      <c r="C8366" s="3" t="str">
        <f>HYPERLINK("http://www.ncbi.nlm.nih.gov/protein/40254385","Yaf2")</f>
        <v>Yaf2</v>
      </c>
      <c r="E8366" t="str">
        <f>HYPERLINK("J:\Depot - mpkCCD Fractions\Main Web Page\Web Pages_old\proteomic_fractions_linear_files/Yang_linear_img/40254385.jpg","show blot")</f>
        <v>show blot</v>
      </c>
      <c r="G8366" t="s">
        <v>8114</v>
      </c>
      <c r="I8366" s="6">
        <v>2.644276756651994</v>
      </c>
      <c r="K8366" s="8"/>
    </row>
    <row r="8367" spans="1:11" ht="15" x14ac:dyDescent="0.25">
      <c r="A8367" s="3" t="str">
        <f>HYPERLINK("proteomic_fractions_linear_files/Yang_linear_img/283945493.jpg", "283945493")</f>
        <v>283945493</v>
      </c>
      <c r="C8367" s="3" t="str">
        <f>HYPERLINK("http://www.ncbi.nlm.nih.gov/protein/283945493","Yap1")</f>
        <v>Yap1</v>
      </c>
      <c r="E8367" t="str">
        <f>HYPERLINK("J:\Depot - mpkCCD Fractions\Main Web Page\Web Pages_old\proteomic_fractions_linear_files/Yang_linear_img/283945493.jpg","show blot")</f>
        <v>show blot</v>
      </c>
      <c r="G8367" t="s">
        <v>8115</v>
      </c>
      <c r="I8367" s="6">
        <v>2.9492124956953494</v>
      </c>
      <c r="K8367" s="8"/>
    </row>
    <row r="8368" spans="1:11" ht="15" x14ac:dyDescent="0.25">
      <c r="A8368" s="3" t="str">
        <f>HYPERLINK("proteomic_fractions_linear_files/Yang_linear_img/6678615.jpg", "6678615")</f>
        <v>6678615</v>
      </c>
      <c r="C8368" s="3" t="str">
        <f>HYPERLINK("http://www.ncbi.nlm.nih.gov/protein/6678615","Yap1")</f>
        <v>Yap1</v>
      </c>
      <c r="E8368" t="str">
        <f>HYPERLINK("J:\Depot - mpkCCD Fractions\Main Web Page\Web Pages_old\proteomic_fractions_linear_files/Yang_linear_img/6678615.jpg","show blot")</f>
        <v>show blot</v>
      </c>
      <c r="G8368" t="s">
        <v>8116</v>
      </c>
      <c r="I8368" s="6">
        <v>2.9492124956953494</v>
      </c>
      <c r="K8368" s="8"/>
    </row>
    <row r="8369" spans="1:11" ht="15" x14ac:dyDescent="0.25">
      <c r="A8369" s="3" t="str">
        <f>HYPERLINK("proteomic_fractions_linear_files/Yang_linear_img/411147387.jpg", "411147387")</f>
        <v>411147387</v>
      </c>
      <c r="C8369" s="3" t="str">
        <f>HYPERLINK("http://www.ncbi.nlm.nih.gov/protein/411147387","Yars")</f>
        <v>Yars</v>
      </c>
      <c r="E8369" t="str">
        <f>HYPERLINK("J:\Depot - mpkCCD Fractions\Main Web Page\Web Pages_old\proteomic_fractions_linear_files/Yang_linear_img/411147387.jpg","show blot")</f>
        <v>show blot</v>
      </c>
      <c r="G8369" t="s">
        <v>8117</v>
      </c>
      <c r="I8369" s="6">
        <v>5.5018017079361243</v>
      </c>
      <c r="K8369" s="8"/>
    </row>
    <row r="8370" spans="1:11" ht="15" x14ac:dyDescent="0.25">
      <c r="A8370" s="3" t="str">
        <f>HYPERLINK("proteomic_fractions_linear_files/Yang_linear_img/39930579.jpg", "39930579")</f>
        <v>39930579</v>
      </c>
      <c r="C8370" s="3" t="str">
        <f>HYPERLINK("http://www.ncbi.nlm.nih.gov/protein/39930579","Yars2")</f>
        <v>Yars2</v>
      </c>
      <c r="E8370" t="str">
        <f>HYPERLINK("J:\Depot - mpkCCD Fractions\Main Web Page\Web Pages_old\proteomic_fractions_linear_files/Yang_linear_img/39930579.jpg","show blot")</f>
        <v>show blot</v>
      </c>
      <c r="G8370" t="s">
        <v>8118</v>
      </c>
      <c r="I8370" s="6">
        <v>3.4192803603436897</v>
      </c>
      <c r="K8370" s="8"/>
    </row>
    <row r="8371" spans="1:11" ht="15" x14ac:dyDescent="0.25">
      <c r="A8371" s="3" t="str">
        <f>HYPERLINK("proteomic_fractions_linear_files/Yang_linear_img/54607131.jpg", "54607131")</f>
        <v>54607131</v>
      </c>
      <c r="C8371" s="3" t="str">
        <f>HYPERLINK("http://www.ncbi.nlm.nih.gov/protein/54607131","Ybey")</f>
        <v>Ybey</v>
      </c>
      <c r="E8371" t="str">
        <f>HYPERLINK("J:\Depot - mpkCCD Fractions\Main Web Page\Web Pages_old\proteomic_fractions_linear_files/Yang_linear_img/54607131.jpg","show blot")</f>
        <v>show blot</v>
      </c>
      <c r="G8371" t="s">
        <v>8119</v>
      </c>
      <c r="I8371" s="6">
        <v>3.257192970033171</v>
      </c>
      <c r="K8371" s="8"/>
    </row>
    <row r="8372" spans="1:11" ht="15" x14ac:dyDescent="0.25">
      <c r="A8372" s="3" t="str">
        <f>HYPERLINK("proteomic_fractions_linear_files/Yang_linear_img/113205059.jpg", "113205059")</f>
        <v>113205059</v>
      </c>
      <c r="C8372" s="3" t="str">
        <f>HYPERLINK("http://www.ncbi.nlm.nih.gov/protein/113205059","Ybx1")</f>
        <v>Ybx1</v>
      </c>
      <c r="E8372" t="str">
        <f>HYPERLINK("J:\Depot - mpkCCD Fractions\Main Web Page\Web Pages_old\proteomic_fractions_linear_files/Yang_linear_img/113205059.jpg","show blot")</f>
        <v>show blot</v>
      </c>
      <c r="G8372" t="s">
        <v>8120</v>
      </c>
      <c r="I8372" s="6">
        <v>6.4582267961188338</v>
      </c>
      <c r="K8372" s="8"/>
    </row>
    <row r="8373" spans="1:11" ht="15" x14ac:dyDescent="0.25">
      <c r="A8373" s="3" t="str">
        <f>HYPERLINK("proteomic_fractions_linear_files/Yang_linear_img/117956377.jpg", "117956377")</f>
        <v>117956377</v>
      </c>
      <c r="C8373" s="3" t="str">
        <f>HYPERLINK("http://www.ncbi.nlm.nih.gov/protein/117956377","Ybx2")</f>
        <v>Ybx2</v>
      </c>
      <c r="E8373" t="str">
        <f>HYPERLINK("J:\Depot - mpkCCD Fractions\Main Web Page\Web Pages_old\proteomic_fractions_linear_files/Yang_linear_img/117956377.jpg","show blot")</f>
        <v>show blot</v>
      </c>
      <c r="G8373" t="s">
        <v>8121</v>
      </c>
      <c r="I8373" s="6">
        <v>6.1690796831031305</v>
      </c>
      <c r="K8373" s="8"/>
    </row>
    <row r="8374" spans="1:11" ht="15" x14ac:dyDescent="0.25">
      <c r="A8374" s="3" t="str">
        <f>HYPERLINK("proteomic_fractions_linear_files/Yang_linear_img/20806532.jpg", "20806532")</f>
        <v>20806532</v>
      </c>
      <c r="C8374" s="3" t="str">
        <f>HYPERLINK("http://www.ncbi.nlm.nih.gov/protein/20806532","Ybx3")</f>
        <v>Ybx3</v>
      </c>
      <c r="E8374" t="str">
        <f>HYPERLINK("J:\Depot - mpkCCD Fractions\Main Web Page\Web Pages_old\proteomic_fractions_linear_files/Yang_linear_img/20806532.jpg","show blot")</f>
        <v>show blot</v>
      </c>
      <c r="G8374" t="s">
        <v>8122</v>
      </c>
      <c r="I8374" s="6">
        <v>6.3852147366603491</v>
      </c>
      <c r="K8374" s="8"/>
    </row>
    <row r="8375" spans="1:11" ht="15" x14ac:dyDescent="0.25">
      <c r="A8375" s="3" t="str">
        <f>HYPERLINK("proteomic_fractions_linear_files/Yang_linear_img/47059495.jpg", "47059495")</f>
        <v>47059495</v>
      </c>
      <c r="C8375" s="3" t="str">
        <f>HYPERLINK("http://www.ncbi.nlm.nih.gov/protein/47059495","Ybx3")</f>
        <v>Ybx3</v>
      </c>
      <c r="E8375" t="str">
        <f>HYPERLINK("J:\Depot - mpkCCD Fractions\Main Web Page\Web Pages_old\proteomic_fractions_linear_files/Yang_linear_img/47059495.jpg","show blot")</f>
        <v>show blot</v>
      </c>
      <c r="G8375" t="s">
        <v>8123</v>
      </c>
      <c r="I8375" s="6">
        <v>6.3852147366603491</v>
      </c>
      <c r="K8375" s="8"/>
    </row>
    <row r="8376" spans="1:11" ht="15" x14ac:dyDescent="0.25">
      <c r="A8376" s="3" t="str">
        <f>HYPERLINK("proteomic_fractions_linear_files/Yang_linear_img/326806988.jpg", "326806988")</f>
        <v>326806988</v>
      </c>
      <c r="C8376" s="3" t="str">
        <f>HYPERLINK("http://www.ncbi.nlm.nih.gov/protein/326806988","Yes1")</f>
        <v>Yes1</v>
      </c>
      <c r="E8376" t="str">
        <f>HYPERLINK("J:\Depot - mpkCCD Fractions\Main Web Page\Web Pages_old\proteomic_fractions_linear_files/Yang_linear_img/326806988.jpg","show blot")</f>
        <v>show blot</v>
      </c>
      <c r="G8376" t="s">
        <v>8124</v>
      </c>
      <c r="I8376" s="6">
        <v>5.4165471817307775</v>
      </c>
      <c r="K8376" s="8"/>
    </row>
    <row r="8377" spans="1:11" ht="15" x14ac:dyDescent="0.25">
      <c r="A8377" s="3" t="str">
        <f>HYPERLINK("proteomic_fractions_linear_files/Yang_linear_img/25282409.jpg", "25282409")</f>
        <v>25282409</v>
      </c>
      <c r="C8377" s="3" t="str">
        <f>HYPERLINK("http://www.ncbi.nlm.nih.gov/protein/25282409","Yif1a")</f>
        <v>Yif1a</v>
      </c>
      <c r="E8377" t="str">
        <f>HYPERLINK("J:\Depot - mpkCCD Fractions\Main Web Page\Web Pages_old\proteomic_fractions_linear_files/Yang_linear_img/25282409.jpg","show blot")</f>
        <v>show blot</v>
      </c>
      <c r="G8377" t="s">
        <v>8125</v>
      </c>
      <c r="I8377" s="6">
        <v>4.0867785117000874</v>
      </c>
      <c r="K8377" s="8"/>
    </row>
    <row r="8378" spans="1:11" ht="15" x14ac:dyDescent="0.25">
      <c r="A8378" s="3" t="str">
        <f>HYPERLINK("proteomic_fractions_linear_files/Yang_linear_img/158937258.jpg", "158937258")</f>
        <v>158937258</v>
      </c>
      <c r="C8378" s="3" t="str">
        <f>HYPERLINK("http://www.ncbi.nlm.nih.gov/protein/158937258","Yif1b")</f>
        <v>Yif1b</v>
      </c>
      <c r="E8378" t="str">
        <f>HYPERLINK("J:\Depot - mpkCCD Fractions\Main Web Page\Web Pages_old\proteomic_fractions_linear_files/Yang_linear_img/158937258.jpg","show blot")</f>
        <v>show blot</v>
      </c>
      <c r="G8378" t="s">
        <v>8126</v>
      </c>
      <c r="I8378" s="6">
        <v>3.5937162063936898</v>
      </c>
      <c r="K8378" s="8"/>
    </row>
    <row r="8379" spans="1:11" ht="15" x14ac:dyDescent="0.25">
      <c r="A8379" s="3" t="str">
        <f>HYPERLINK("proteomic_fractions_linear_files/Yang_linear_img/158937260.jpg", "158937260")</f>
        <v>158937260</v>
      </c>
      <c r="C8379" s="3" t="str">
        <f>HYPERLINK("http://www.ncbi.nlm.nih.gov/protein/158937260","Yif1b")</f>
        <v>Yif1b</v>
      </c>
      <c r="E8379" t="str">
        <f>HYPERLINK("J:\Depot - mpkCCD Fractions\Main Web Page\Web Pages_old\proteomic_fractions_linear_files/Yang_linear_img/158937260.jpg","show blot")</f>
        <v>show blot</v>
      </c>
      <c r="G8379" t="s">
        <v>8127</v>
      </c>
      <c r="I8379" s="6">
        <v>3.5937162063936898</v>
      </c>
      <c r="K8379" s="8"/>
    </row>
    <row r="8380" spans="1:11" ht="15" x14ac:dyDescent="0.25">
      <c r="A8380" s="3" t="str">
        <f>HYPERLINK("proteomic_fractions_linear_files/Yang_linear_img/247269773.jpg", "247269773")</f>
        <v>247269773</v>
      </c>
      <c r="C8380" s="3" t="str">
        <f>HYPERLINK("http://www.ncbi.nlm.nih.gov/protein/247269773","Yipf3")</f>
        <v>Yipf3</v>
      </c>
      <c r="E8380" t="str">
        <f>HYPERLINK("J:\Depot - mpkCCD Fractions\Main Web Page\Web Pages_old\proteomic_fractions_linear_files/Yang_linear_img/247269773.jpg","show blot")</f>
        <v>show blot</v>
      </c>
      <c r="G8380" t="s">
        <v>8128</v>
      </c>
      <c r="I8380" s="6">
        <v>4.1372916741164847</v>
      </c>
      <c r="K8380" s="8"/>
    </row>
    <row r="8381" spans="1:11" ht="15" x14ac:dyDescent="0.25">
      <c r="A8381" s="3" t="str">
        <f>HYPERLINK("proteomic_fractions_linear_files/Yang_linear_img/28076889.jpg", "28076889")</f>
        <v>28076889</v>
      </c>
      <c r="C8381" s="3" t="str">
        <f>HYPERLINK("http://www.ncbi.nlm.nih.gov/protein/28076889","Yipf4")</f>
        <v>Yipf4</v>
      </c>
      <c r="E8381" t="str">
        <f>HYPERLINK("J:\Depot - mpkCCD Fractions\Main Web Page\Web Pages_old\proteomic_fractions_linear_files/Yang_linear_img/28076889.jpg","show blot")</f>
        <v>show blot</v>
      </c>
      <c r="G8381" t="s">
        <v>8129</v>
      </c>
      <c r="I8381" s="6">
        <v>3.9686977886061685</v>
      </c>
      <c r="K8381" s="8"/>
    </row>
    <row r="8382" spans="1:11" ht="15" x14ac:dyDescent="0.25">
      <c r="A8382" s="3" t="str">
        <f>HYPERLINK("proteomic_fractions_linear_files/Yang_linear_img/12963631.jpg", "12963631")</f>
        <v>12963631</v>
      </c>
      <c r="C8382" s="3" t="str">
        <f>HYPERLINK("http://www.ncbi.nlm.nih.gov/protein/12963631","Yipf5")</f>
        <v>Yipf5</v>
      </c>
      <c r="E8382" t="str">
        <f>HYPERLINK("J:\Depot - mpkCCD Fractions\Main Web Page\Web Pages_old\proteomic_fractions_linear_files/Yang_linear_img/12963631.jpg","show blot")</f>
        <v>show blot</v>
      </c>
      <c r="G8382" t="s">
        <v>8130</v>
      </c>
      <c r="I8382" s="6">
        <v>3.0033836661375264</v>
      </c>
      <c r="K8382" s="8"/>
    </row>
    <row r="8383" spans="1:11" ht="15" x14ac:dyDescent="0.25">
      <c r="A8383" s="3" t="str">
        <f>HYPERLINK("proteomic_fractions_linear_files/Yang_linear_img/46519049.jpg", "46519049")</f>
        <v>46519049</v>
      </c>
      <c r="C8383" s="3" t="str">
        <f>HYPERLINK("http://www.ncbi.nlm.nih.gov/protein/46519049","Yipf6")</f>
        <v>Yipf6</v>
      </c>
      <c r="E8383" t="str">
        <f>HYPERLINK("J:\Depot - mpkCCD Fractions\Main Web Page\Web Pages_old\proteomic_fractions_linear_files/Yang_linear_img/46519049.jpg","show blot")</f>
        <v>show blot</v>
      </c>
      <c r="G8383" t="s">
        <v>8131</v>
      </c>
      <c r="I8383" s="6">
        <v>3.3894863813152569</v>
      </c>
      <c r="K8383" s="8"/>
    </row>
    <row r="8384" spans="1:11" ht="15" x14ac:dyDescent="0.25">
      <c r="A8384" s="3" t="str">
        <f>HYPERLINK("proteomic_fractions_linear_files/Yang_linear_img/31543971.jpg", "31543971")</f>
        <v>31543971</v>
      </c>
      <c r="C8384" s="3" t="str">
        <f>HYPERLINK("http://www.ncbi.nlm.nih.gov/protein/31543971","Ykt6")</f>
        <v>Ykt6</v>
      </c>
      <c r="E8384" t="str">
        <f>HYPERLINK("J:\Depot - mpkCCD Fractions\Main Web Page\Web Pages_old\proteomic_fractions_linear_files/Yang_linear_img/31543971.jpg","show blot")</f>
        <v>show blot</v>
      </c>
      <c r="G8384" t="s">
        <v>8132</v>
      </c>
      <c r="I8384" s="6">
        <v>5.340294345983664</v>
      </c>
      <c r="K8384" s="8"/>
    </row>
    <row r="8385" spans="1:11" ht="15" x14ac:dyDescent="0.25">
      <c r="A8385" s="3" t="str">
        <f>HYPERLINK("proteomic_fractions_linear_files/Yang_linear_img/7305635.jpg", "7305635")</f>
        <v>7305635</v>
      </c>
      <c r="C8385" s="3" t="str">
        <f>HYPERLINK("http://www.ncbi.nlm.nih.gov/protein/7305635","Yme1l1")</f>
        <v>Yme1l1</v>
      </c>
      <c r="E8385" t="str">
        <f>HYPERLINK("J:\Depot - mpkCCD Fractions\Main Web Page\Web Pages_old\proteomic_fractions_linear_files/Yang_linear_img/7305635.jpg","show blot")</f>
        <v>show blot</v>
      </c>
      <c r="G8385" t="s">
        <v>8133</v>
      </c>
      <c r="I8385" s="6">
        <v>3.9283144362586535</v>
      </c>
      <c r="K8385" s="8"/>
    </row>
    <row r="8386" spans="1:11" ht="15" x14ac:dyDescent="0.25">
      <c r="A8386" s="3" t="str">
        <f>HYPERLINK("proteomic_fractions_linear_files/Yang_linear_img/47059139.jpg", "47059139")</f>
        <v>47059139</v>
      </c>
      <c r="C8386" s="3" t="str">
        <f>HYPERLINK("http://www.ncbi.nlm.nih.gov/protein/47059139","Ypel5")</f>
        <v>Ypel5</v>
      </c>
      <c r="E8386" t="str">
        <f>HYPERLINK("J:\Depot - mpkCCD Fractions\Main Web Page\Web Pages_old\proteomic_fractions_linear_files/Yang_linear_img/47059139.jpg","show blot")</f>
        <v>show blot</v>
      </c>
      <c r="G8386" t="s">
        <v>8134</v>
      </c>
      <c r="I8386" s="6">
        <v>5.2956206839532971</v>
      </c>
      <c r="K8386" s="8"/>
    </row>
    <row r="8387" spans="1:11" ht="15" x14ac:dyDescent="0.25">
      <c r="A8387" s="3" t="str">
        <f>HYPERLINK("proteomic_fractions_linear_files/Yang_linear_img/247494089.jpg", "247494089")</f>
        <v>247494089</v>
      </c>
      <c r="C8387" s="3" t="str">
        <f>HYPERLINK("http://www.ncbi.nlm.nih.gov/protein/247494089","Yrdc")</f>
        <v>Yrdc</v>
      </c>
      <c r="E8387" t="str">
        <f>HYPERLINK("J:\Depot - mpkCCD Fractions\Main Web Page\Web Pages_old\proteomic_fractions_linear_files/Yang_linear_img/247494089.jpg","show blot")</f>
        <v>show blot</v>
      </c>
      <c r="G8387" t="s">
        <v>8135</v>
      </c>
      <c r="I8387" s="6">
        <v>4.1474767337022218</v>
      </c>
      <c r="K8387" s="8"/>
    </row>
    <row r="8388" spans="1:11" ht="15" x14ac:dyDescent="0.25">
      <c r="A8388" s="3" t="str">
        <f>HYPERLINK("proteomic_fractions_linear_files/Yang_linear_img/30424609.jpg", "30424609")</f>
        <v>30424609</v>
      </c>
      <c r="C8388" s="3" t="str">
        <f>HYPERLINK("http://www.ncbi.nlm.nih.gov/protein/30424609","Ythdf1")</f>
        <v>Ythdf1</v>
      </c>
      <c r="E8388" t="str">
        <f>HYPERLINK("J:\Depot - mpkCCD Fractions\Main Web Page\Web Pages_old\proteomic_fractions_linear_files/Yang_linear_img/30424609.jpg","show blot")</f>
        <v>show blot</v>
      </c>
      <c r="G8388" t="s">
        <v>8136</v>
      </c>
      <c r="I8388" s="6">
        <v>4.2646993226460923</v>
      </c>
      <c r="K8388" s="8"/>
    </row>
    <row r="8389" spans="1:11" ht="15" x14ac:dyDescent="0.25">
      <c r="A8389" s="3" t="str">
        <f>HYPERLINK("proteomic_fractions_linear_files/Yang_linear_img/225543110.jpg", "225543110")</f>
        <v>225543110</v>
      </c>
      <c r="C8389" s="3" t="str">
        <f>HYPERLINK("http://www.ncbi.nlm.nih.gov/protein/225543110","Ythdf2")</f>
        <v>Ythdf2</v>
      </c>
      <c r="E8389" t="str">
        <f>HYPERLINK("J:\Depot - mpkCCD Fractions\Main Web Page\Web Pages_old\proteomic_fractions_linear_files/Yang_linear_img/225543110.jpg","show blot")</f>
        <v>show blot</v>
      </c>
      <c r="G8389" t="s">
        <v>8137</v>
      </c>
      <c r="I8389" s="6">
        <v>4.3513603947803885</v>
      </c>
      <c r="K8389" s="8"/>
    </row>
    <row r="8390" spans="1:11" ht="15" x14ac:dyDescent="0.25">
      <c r="A8390" s="3" t="str">
        <f>HYPERLINK("proteomic_fractions_linear_files/Yang_linear_img/225543495.jpg", "225543495")</f>
        <v>225543495</v>
      </c>
      <c r="C8390" s="3" t="str">
        <f>HYPERLINK("http://www.ncbi.nlm.nih.gov/protein/225543495","Ythdf3")</f>
        <v>Ythdf3</v>
      </c>
      <c r="E8390" t="str">
        <f>HYPERLINK("J:\Depot - mpkCCD Fractions\Main Web Page\Web Pages_old\proteomic_fractions_linear_files/Yang_linear_img/225543495.jpg","show blot")</f>
        <v>show blot</v>
      </c>
      <c r="G8390" t="s">
        <v>8138</v>
      </c>
      <c r="I8390" s="6">
        <v>4.963391681341788</v>
      </c>
      <c r="K8390" s="8"/>
    </row>
    <row r="8391" spans="1:11" ht="15" x14ac:dyDescent="0.25">
      <c r="A8391" s="3" t="str">
        <f>HYPERLINK("proteomic_fractions_linear_files/Yang_linear_img/225543497.jpg", "225543497")</f>
        <v>225543497</v>
      </c>
      <c r="C8391" s="3" t="str">
        <f>HYPERLINK("http://www.ncbi.nlm.nih.gov/protein/225543497","Ythdf3")</f>
        <v>Ythdf3</v>
      </c>
      <c r="E8391" t="str">
        <f>HYPERLINK("J:\Depot - mpkCCD Fractions\Main Web Page\Web Pages_old\proteomic_fractions_linear_files/Yang_linear_img/225543497.jpg","show blot")</f>
        <v>show blot</v>
      </c>
      <c r="G8391" t="s">
        <v>8139</v>
      </c>
      <c r="I8391" s="6">
        <v>4.963391681341788</v>
      </c>
      <c r="K8391" s="8"/>
    </row>
    <row r="8392" spans="1:11" ht="15" x14ac:dyDescent="0.25">
      <c r="A8392" s="3" t="str">
        <f>HYPERLINK("proteomic_fractions_linear_files/Yang_linear_img/31543974.jpg", "31543974")</f>
        <v>31543974</v>
      </c>
      <c r="C8392" s="3" t="str">
        <f>HYPERLINK("http://www.ncbi.nlm.nih.gov/protein/31543974","Ywhab")</f>
        <v>Ywhab</v>
      </c>
      <c r="E8392" t="str">
        <f>HYPERLINK("J:\Depot - mpkCCD Fractions\Main Web Page\Web Pages_old\proteomic_fractions_linear_files/Yang_linear_img/31543974.jpg","show blot")</f>
        <v>show blot</v>
      </c>
      <c r="G8392" t="s">
        <v>8140</v>
      </c>
      <c r="I8392" s="6">
        <v>7.0417939611075289</v>
      </c>
      <c r="K8392" s="8"/>
    </row>
    <row r="8393" spans="1:11" ht="15" x14ac:dyDescent="0.25">
      <c r="A8393" s="3" t="str">
        <f>HYPERLINK("proteomic_fractions_linear_files/Yang_linear_img/226874906.jpg", "226874906")</f>
        <v>226874906</v>
      </c>
      <c r="C8393" s="3" t="str">
        <f>HYPERLINK("http://www.ncbi.nlm.nih.gov/protein/226874906","Ywhae")</f>
        <v>Ywhae</v>
      </c>
      <c r="E8393" t="str">
        <f>HYPERLINK("J:\Depot - mpkCCD Fractions\Main Web Page\Web Pages_old\proteomic_fractions_linear_files/Yang_linear_img/226874906.jpg","show blot")</f>
        <v>show blot</v>
      </c>
      <c r="G8393" t="s">
        <v>8141</v>
      </c>
      <c r="I8393" s="6">
        <v>7.1526487644574601</v>
      </c>
      <c r="K8393" s="8"/>
    </row>
    <row r="8394" spans="1:11" ht="15" x14ac:dyDescent="0.25">
      <c r="A8394" s="3" t="str">
        <f>HYPERLINK("proteomic_fractions_linear_files/Yang_linear_img/31543976.jpg", "31543976")</f>
        <v>31543976</v>
      </c>
      <c r="C8394" s="3" t="str">
        <f>HYPERLINK("http://www.ncbi.nlm.nih.gov/protein/31543976","Ywhag")</f>
        <v>Ywhag</v>
      </c>
      <c r="E8394" t="str">
        <f>HYPERLINK("J:\Depot - mpkCCD Fractions\Main Web Page\Web Pages_old\proteomic_fractions_linear_files/Yang_linear_img/31543976.jpg","show blot")</f>
        <v>show blot</v>
      </c>
      <c r="G8394" t="s">
        <v>8142</v>
      </c>
      <c r="I8394" s="6">
        <v>6.9797413744930701</v>
      </c>
      <c r="K8394" s="8"/>
    </row>
    <row r="8395" spans="1:11" ht="15" x14ac:dyDescent="0.25">
      <c r="A8395" s="3" t="str">
        <f>HYPERLINK("proteomic_fractions_linear_files/Yang_linear_img/6756037.jpg", "6756037")</f>
        <v>6756037</v>
      </c>
      <c r="C8395" s="3" t="str">
        <f>HYPERLINK("http://www.ncbi.nlm.nih.gov/protein/6756037","Ywhah")</f>
        <v>Ywhah</v>
      </c>
      <c r="E8395" t="str">
        <f>HYPERLINK("J:\Depot - mpkCCD Fractions\Main Web Page\Web Pages_old\proteomic_fractions_linear_files/Yang_linear_img/6756037.jpg","show blot")</f>
        <v>show blot</v>
      </c>
      <c r="G8395" t="s">
        <v>8143</v>
      </c>
      <c r="I8395" s="6">
        <v>7.1911202795627407</v>
      </c>
      <c r="K8395" s="8"/>
    </row>
    <row r="8396" spans="1:11" ht="15" x14ac:dyDescent="0.25">
      <c r="A8396" s="3" t="str">
        <f>HYPERLINK("proteomic_fractions_linear_files/Yang_linear_img/6756039.jpg", "6756039")</f>
        <v>6756039</v>
      </c>
      <c r="C8396" s="3" t="str">
        <f>HYPERLINK("http://www.ncbi.nlm.nih.gov/protein/6756039","Ywhaq")</f>
        <v>Ywhaq</v>
      </c>
      <c r="E8396" t="str">
        <f>HYPERLINK("J:\Depot - mpkCCD Fractions\Main Web Page\Web Pages_old\proteomic_fractions_linear_files/Yang_linear_img/6756039.jpg","show blot")</f>
        <v>show blot</v>
      </c>
      <c r="G8396" t="s">
        <v>8144</v>
      </c>
      <c r="I8396" s="6">
        <v>7.1331312084543601</v>
      </c>
      <c r="K8396" s="8"/>
    </row>
    <row r="8397" spans="1:11" ht="15" x14ac:dyDescent="0.25">
      <c r="A8397" s="3" t="str">
        <f>HYPERLINK("proteomic_fractions_linear_files/Yang_linear_img/6756041;359385698.jpg", "6756041;359385698")</f>
        <v>6756041;359385698</v>
      </c>
      <c r="C8397" s="3" t="str">
        <f>HYPERLINK("http://www.ncbi.nlm.nih.gov/protein/6756041;359385698","Ywhaz")</f>
        <v>Ywhaz</v>
      </c>
      <c r="E8397" t="str">
        <f>HYPERLINK("J:\Depot - mpkCCD Fractions\Main Web Page\Web Pages_old\proteomic_fractions_linear_files/Yang_linear_img/6756041;359385698.jpg","show blot")</f>
        <v>show blot</v>
      </c>
      <c r="G8397" t="s">
        <v>8145</v>
      </c>
      <c r="I8397" s="6">
        <v>7.4217700074126407</v>
      </c>
      <c r="K8397" s="8"/>
    </row>
    <row r="8398" spans="1:11" ht="15" x14ac:dyDescent="0.25">
      <c r="A8398" s="3" t="str">
        <f>HYPERLINK("proteomic_fractions_linear_files/Yang_linear_img/359385696;359385698.jpg", "359385696;359385698")</f>
        <v>359385696;359385698</v>
      </c>
      <c r="C8398" s="3" t="str">
        <f>HYPERLINK("http://www.ncbi.nlm.nih.gov/protein/359385696;359385698","Ywhaz")</f>
        <v>Ywhaz</v>
      </c>
      <c r="E8398" t="str">
        <f>HYPERLINK("J:\Depot - mpkCCD Fractions\Main Web Page\Web Pages_old\proteomic_fractions_linear_files/Yang_linear_img/359385696;359385698.jpg","show blot")</f>
        <v>show blot</v>
      </c>
      <c r="G8398" t="s">
        <v>8145</v>
      </c>
      <c r="I8398" s="6">
        <v>7.4217700074126407</v>
      </c>
      <c r="K8398" s="8"/>
    </row>
    <row r="8399" spans="1:11" ht="15" x14ac:dyDescent="0.25">
      <c r="A8399" s="3" t="str">
        <f>HYPERLINK("proteomic_fractions_linear_files/Yang_linear_img/359385700.jpg", "359385700")</f>
        <v>359385700</v>
      </c>
      <c r="C8399" s="3" t="str">
        <f>HYPERLINK("http://www.ncbi.nlm.nih.gov/protein/359385700","Ywhaz")</f>
        <v>Ywhaz</v>
      </c>
      <c r="E8399" t="str">
        <f>HYPERLINK("J:\Depot - mpkCCD Fractions\Main Web Page\Web Pages_old\proteomic_fractions_linear_files/Yang_linear_img/359385700.jpg","show blot")</f>
        <v>show blot</v>
      </c>
      <c r="G8399" t="s">
        <v>8146</v>
      </c>
      <c r="I8399" s="6">
        <v>7.4217700074126407</v>
      </c>
      <c r="K8399" s="8"/>
    </row>
    <row r="8400" spans="1:11" ht="15" x14ac:dyDescent="0.25">
      <c r="A8400" s="3" t="str">
        <f>HYPERLINK("proteomic_fractions_linear_files/Yang_linear_img/31982421.jpg", "31982421")</f>
        <v>31982421</v>
      </c>
      <c r="C8400" s="3" t="str">
        <f>HYPERLINK("http://www.ncbi.nlm.nih.gov/protein/31982421","Yy1")</f>
        <v>Yy1</v>
      </c>
      <c r="E8400" t="str">
        <f>HYPERLINK("J:\Depot - mpkCCD Fractions\Main Web Page\Web Pages_old\proteomic_fractions_linear_files/Yang_linear_img/31982421.jpg","show blot")</f>
        <v>show blot</v>
      </c>
      <c r="G8400" t="s">
        <v>8147</v>
      </c>
      <c r="I8400" s="6">
        <v>2.6144559139867352</v>
      </c>
      <c r="K8400" s="8"/>
    </row>
    <row r="8401" spans="1:11" ht="15" x14ac:dyDescent="0.25">
      <c r="A8401" s="3" t="str">
        <f>HYPERLINK("proteomic_fractions_linear_files/Yang_linear_img/31559926.jpg", "31559926")</f>
        <v>31559926</v>
      </c>
      <c r="C8401" s="3" t="str">
        <f>HYPERLINK("http://www.ncbi.nlm.nih.gov/protein/31559926","Zadh2")</f>
        <v>Zadh2</v>
      </c>
      <c r="E8401" t="str">
        <f>HYPERLINK("J:\Depot - mpkCCD Fractions\Main Web Page\Web Pages_old\proteomic_fractions_linear_files/Yang_linear_img/31559926.jpg","show blot")</f>
        <v>show blot</v>
      </c>
      <c r="G8401" t="s">
        <v>8148</v>
      </c>
      <c r="I8401" s="6">
        <v>2.770579678749665</v>
      </c>
      <c r="K8401" s="8"/>
    </row>
    <row r="8402" spans="1:11" ht="15" x14ac:dyDescent="0.25">
      <c r="A8402" s="3" t="str">
        <f>HYPERLINK("proteomic_fractions_linear_files/Yang_linear_img/12746436.jpg", "12746436")</f>
        <v>12746436</v>
      </c>
      <c r="C8402" s="3" t="str">
        <f>HYPERLINK("http://www.ncbi.nlm.nih.gov/protein/12746436","Zak")</f>
        <v>Zak</v>
      </c>
      <c r="E8402" t="str">
        <f>HYPERLINK("J:\Depot - mpkCCD Fractions\Main Web Page\Web Pages_old\proteomic_fractions_linear_files/Yang_linear_img/12746436.jpg","show blot")</f>
        <v>show blot</v>
      </c>
      <c r="G8402" t="s">
        <v>8149</v>
      </c>
      <c r="I8402" s="6">
        <v>3.3511027839550396</v>
      </c>
      <c r="K8402" s="8"/>
    </row>
    <row r="8403" spans="1:11" ht="15" x14ac:dyDescent="0.25">
      <c r="A8403" s="3" t="str">
        <f>HYPERLINK("proteomic_fractions_linear_files/Yang_linear_img/256665241.jpg", "256665241")</f>
        <v>256665241</v>
      </c>
      <c r="C8403" s="3" t="str">
        <f>HYPERLINK("http://www.ncbi.nlm.nih.gov/protein/256665241","Zan")</f>
        <v>Zan</v>
      </c>
      <c r="E8403" t="str">
        <f>HYPERLINK("J:\Depot - mpkCCD Fractions\Main Web Page\Web Pages_old\proteomic_fractions_linear_files/Yang_linear_img/256665241.jpg","show blot")</f>
        <v>show blot</v>
      </c>
      <c r="G8403" t="s">
        <v>8150</v>
      </c>
      <c r="I8403" s="6">
        <v>3.6466925385341455</v>
      </c>
      <c r="K8403" s="8"/>
    </row>
    <row r="8404" spans="1:11" ht="15" x14ac:dyDescent="0.25">
      <c r="A8404" s="3" t="str">
        <f>HYPERLINK("proteomic_fractions_linear_files/Yang_linear_img/31088890.jpg", "31088890")</f>
        <v>31088890</v>
      </c>
      <c r="C8404" s="3" t="str">
        <f>HYPERLINK("http://www.ncbi.nlm.nih.gov/protein/31088890","Zbed4")</f>
        <v>Zbed4</v>
      </c>
      <c r="E8404" t="str">
        <f>HYPERLINK("J:\Depot - mpkCCD Fractions\Main Web Page\Web Pages_old\proteomic_fractions_linear_files/Yang_linear_img/31088890.jpg","show blot")</f>
        <v>show blot</v>
      </c>
      <c r="G8404" t="s">
        <v>8151</v>
      </c>
      <c r="I8404" s="6">
        <v>3.7236162954211443</v>
      </c>
      <c r="K8404" s="8"/>
    </row>
    <row r="8405" spans="1:11" ht="15" x14ac:dyDescent="0.25">
      <c r="A8405" s="3" t="str">
        <f>HYPERLINK("proteomic_fractions_linear_files/Yang_linear_img/258645088.jpg", "258645088")</f>
        <v>258645088</v>
      </c>
      <c r="C8405" s="3" t="str">
        <f>HYPERLINK("http://www.ncbi.nlm.nih.gov/protein/258645088","Zbtb11")</f>
        <v>Zbtb11</v>
      </c>
      <c r="E8405" t="str">
        <f>HYPERLINK("J:\Depot - mpkCCD Fractions\Main Web Page\Web Pages_old\proteomic_fractions_linear_files/Yang_linear_img/258645088.jpg","show blot")</f>
        <v>show blot</v>
      </c>
      <c r="G8405" t="s">
        <v>8152</v>
      </c>
      <c r="I8405" s="7" t="s">
        <v>8360</v>
      </c>
      <c r="K8405" s="8"/>
    </row>
    <row r="8406" spans="1:11" ht="15" x14ac:dyDescent="0.25">
      <c r="A8406" s="3" t="str">
        <f>HYPERLINK("proteomic_fractions_linear_files/Yang_linear_img/21746142.jpg", "21746142")</f>
        <v>21746142</v>
      </c>
      <c r="C8406" s="3" t="str">
        <f>HYPERLINK("http://www.ncbi.nlm.nih.gov/protein/21746142","Zbtb8os")</f>
        <v>Zbtb8os</v>
      </c>
      <c r="E8406" t="str">
        <f>HYPERLINK("J:\Depot - mpkCCD Fractions\Main Web Page\Web Pages_old\proteomic_fractions_linear_files/Yang_linear_img/21746142.jpg","show blot")</f>
        <v>show blot</v>
      </c>
      <c r="G8406" t="s">
        <v>8153</v>
      </c>
      <c r="I8406" s="6">
        <v>4.2555812683585552</v>
      </c>
      <c r="K8406" s="8"/>
    </row>
    <row r="8407" spans="1:11" ht="15" x14ac:dyDescent="0.25">
      <c r="A8407" s="3" t="str">
        <f>HYPERLINK("proteomic_fractions_linear_files/Yang_linear_img/27502351.jpg", "27502351")</f>
        <v>27502351</v>
      </c>
      <c r="C8407" s="3" t="str">
        <f>HYPERLINK("http://www.ncbi.nlm.nih.gov/protein/27502351","Zc2hc1a")</f>
        <v>Zc2hc1a</v>
      </c>
      <c r="E8407" t="str">
        <f>HYPERLINK("J:\Depot - mpkCCD Fractions\Main Web Page\Web Pages_old\proteomic_fractions_linear_files/Yang_linear_img/27502351.jpg","show blot")</f>
        <v>show blot</v>
      </c>
      <c r="G8407" t="s">
        <v>8154</v>
      </c>
      <c r="I8407" s="6">
        <v>2.7531710096852788</v>
      </c>
      <c r="K8407" s="8"/>
    </row>
    <row r="8408" spans="1:11" ht="15" x14ac:dyDescent="0.25">
      <c r="A8408" s="3" t="str">
        <f>HYPERLINK("proteomic_fractions_linear_files/Yang_linear_img/115270986.jpg", "115270986")</f>
        <v>115270986</v>
      </c>
      <c r="C8408" s="3" t="str">
        <f>HYPERLINK("http://www.ncbi.nlm.nih.gov/protein/115270986","Zc3h11a")</f>
        <v>Zc3h11a</v>
      </c>
      <c r="E8408" t="str">
        <f>HYPERLINK("J:\Depot - mpkCCD Fractions\Main Web Page\Web Pages_old\proteomic_fractions_linear_files/Yang_linear_img/115270986.jpg","show blot")</f>
        <v>show blot</v>
      </c>
      <c r="G8408" t="s">
        <v>8155</v>
      </c>
      <c r="I8408" s="6">
        <v>3.2792009511770956</v>
      </c>
      <c r="K8408" s="8"/>
    </row>
    <row r="8409" spans="1:11" ht="15" x14ac:dyDescent="0.25">
      <c r="A8409" s="3" t="str">
        <f>HYPERLINK("proteomic_fractions_linear_files/Yang_linear_img/231570586.jpg", "231570586")</f>
        <v>231570586</v>
      </c>
      <c r="C8409" s="3" t="str">
        <f>HYPERLINK("http://www.ncbi.nlm.nih.gov/protein/231570586","Zc3h14")</f>
        <v>Zc3h14</v>
      </c>
      <c r="E8409" t="str">
        <f>HYPERLINK("J:\Depot - mpkCCD Fractions\Main Web Page\Web Pages_old\proteomic_fractions_linear_files/Yang_linear_img/231570586.jpg","show blot")</f>
        <v>show blot</v>
      </c>
      <c r="G8409" t="s">
        <v>8156</v>
      </c>
      <c r="I8409" s="6">
        <v>3.5758210011028444</v>
      </c>
      <c r="K8409" s="8"/>
    </row>
    <row r="8410" spans="1:11" ht="15" x14ac:dyDescent="0.25">
      <c r="A8410" s="3" t="str">
        <f>HYPERLINK("proteomic_fractions_linear_files/Yang_linear_img/34368584.jpg", "34368584")</f>
        <v>34368584</v>
      </c>
      <c r="C8410" s="3" t="str">
        <f>HYPERLINK("http://www.ncbi.nlm.nih.gov/protein/34368584","Zc3h15")</f>
        <v>Zc3h15</v>
      </c>
      <c r="E8410" t="str">
        <f>HYPERLINK("J:\Depot - mpkCCD Fractions\Main Web Page\Web Pages_old\proteomic_fractions_linear_files/Yang_linear_img/34368584.jpg","show blot")</f>
        <v>show blot</v>
      </c>
      <c r="G8410" t="s">
        <v>8157</v>
      </c>
      <c r="I8410" s="6">
        <v>5.2601173033127093</v>
      </c>
      <c r="K8410" s="8"/>
    </row>
    <row r="8411" spans="1:11" ht="15" x14ac:dyDescent="0.25">
      <c r="A8411" s="3" t="str">
        <f>HYPERLINK("proteomic_fractions_linear_files/Yang_linear_img/71725355.jpg", "71725355")</f>
        <v>71725355</v>
      </c>
      <c r="C8411" s="3" t="str">
        <f>HYPERLINK("http://www.ncbi.nlm.nih.gov/protein/71725355","Zc3h18")</f>
        <v>Zc3h18</v>
      </c>
      <c r="E8411" t="str">
        <f>HYPERLINK("J:\Depot - mpkCCD Fractions\Main Web Page\Web Pages_old\proteomic_fractions_linear_files/Yang_linear_img/71725355.jpg","show blot")</f>
        <v>show blot</v>
      </c>
      <c r="G8411" t="s">
        <v>8158</v>
      </c>
      <c r="I8411" s="6">
        <v>3.7677340324541033</v>
      </c>
      <c r="K8411" s="8"/>
    </row>
    <row r="8412" spans="1:11" ht="15" x14ac:dyDescent="0.25">
      <c r="A8412" s="3" t="str">
        <f>HYPERLINK("proteomic_fractions_linear_files/Yang_linear_img/71979671.jpg", "71979671")</f>
        <v>71979671</v>
      </c>
      <c r="C8412" s="3" t="str">
        <f>HYPERLINK("http://www.ncbi.nlm.nih.gov/protein/71979671","Zc3h18")</f>
        <v>Zc3h18</v>
      </c>
      <c r="E8412" t="str">
        <f>HYPERLINK("J:\Depot - mpkCCD Fractions\Main Web Page\Web Pages_old\proteomic_fractions_linear_files/Yang_linear_img/71979671.jpg","show blot")</f>
        <v>show blot</v>
      </c>
      <c r="G8412" t="s">
        <v>8159</v>
      </c>
      <c r="I8412" s="6">
        <v>3.7677340324541033</v>
      </c>
      <c r="K8412" s="8"/>
    </row>
    <row r="8413" spans="1:11" ht="15" x14ac:dyDescent="0.25">
      <c r="A8413" s="3" t="str">
        <f>HYPERLINK("proteomic_fractions_linear_files/Yang_linear_img/156717216.jpg", "156717216")</f>
        <v>156717216</v>
      </c>
      <c r="C8413" s="3" t="str">
        <f>HYPERLINK("http://www.ncbi.nlm.nih.gov/protein/156717216","Zc3h6")</f>
        <v>Zc3h6</v>
      </c>
      <c r="E8413" t="str">
        <f>HYPERLINK("J:\Depot - mpkCCD Fractions\Main Web Page\Web Pages_old\proteomic_fractions_linear_files/Yang_linear_img/156717216.jpg","show blot")</f>
        <v>show blot</v>
      </c>
      <c r="G8413" t="s">
        <v>8160</v>
      </c>
      <c r="I8413" s="6">
        <v>1.1090044469480895</v>
      </c>
      <c r="K8413" s="8"/>
    </row>
    <row r="8414" spans="1:11" ht="15" x14ac:dyDescent="0.25">
      <c r="A8414" s="3" t="str">
        <f>HYPERLINK("proteomic_fractions_linear_files/Yang_linear_img/226958485.jpg", "226958485")</f>
        <v>226958485</v>
      </c>
      <c r="C8414" s="3" t="str">
        <f>HYPERLINK("http://www.ncbi.nlm.nih.gov/protein/226958485","Zc3h7a")</f>
        <v>Zc3h7a</v>
      </c>
      <c r="E8414" t="str">
        <f>HYPERLINK("J:\Depot - mpkCCD Fractions\Main Web Page\Web Pages_old\proteomic_fractions_linear_files/Yang_linear_img/226958485.jpg","show blot")</f>
        <v>show blot</v>
      </c>
      <c r="G8414" t="s">
        <v>8161</v>
      </c>
      <c r="I8414" s="6">
        <v>3.3544095674449244</v>
      </c>
      <c r="K8414" s="8"/>
    </row>
    <row r="8415" spans="1:11" ht="15" x14ac:dyDescent="0.25">
      <c r="A8415" s="3" t="str">
        <f>HYPERLINK("proteomic_fractions_linear_files/Yang_linear_img/124486616.jpg", "124486616")</f>
        <v>124486616</v>
      </c>
      <c r="C8415" s="3" t="str">
        <f>HYPERLINK("http://www.ncbi.nlm.nih.gov/protein/124486616","Zc3h7b")</f>
        <v>Zc3h7b</v>
      </c>
      <c r="E8415" t="str">
        <f>HYPERLINK("J:\Depot - mpkCCD Fractions\Main Web Page\Web Pages_old\proteomic_fractions_linear_files/Yang_linear_img/124486616.jpg","show blot")</f>
        <v>show blot</v>
      </c>
      <c r="G8415" t="s">
        <v>8162</v>
      </c>
      <c r="I8415" s="6">
        <v>4.0781891231171654</v>
      </c>
      <c r="K8415" s="8"/>
    </row>
    <row r="8416" spans="1:11" ht="15" x14ac:dyDescent="0.25">
      <c r="A8416" s="3" t="str">
        <f>HYPERLINK("proteomic_fractions_linear_files/Yang_linear_img/85719326.jpg", "85719326")</f>
        <v>85719326</v>
      </c>
      <c r="C8416" s="3" t="str">
        <f>HYPERLINK("http://www.ncbi.nlm.nih.gov/protein/85719326","Zc3h8")</f>
        <v>Zc3h8</v>
      </c>
      <c r="E8416" t="str">
        <f>HYPERLINK("J:\Depot - mpkCCD Fractions\Main Web Page\Web Pages_old\proteomic_fractions_linear_files/Yang_linear_img/85719326.jpg","show blot")</f>
        <v>show blot</v>
      </c>
      <c r="G8416" t="s">
        <v>8163</v>
      </c>
      <c r="I8416" s="6">
        <v>3.3893433112520781</v>
      </c>
      <c r="K8416" s="8"/>
    </row>
    <row r="8417" spans="1:11" ht="15" x14ac:dyDescent="0.25">
      <c r="A8417" s="3" t="str">
        <f>HYPERLINK("proteomic_fractions_linear_files/Yang_linear_img/21746169.jpg", "21746169")</f>
        <v>21746169</v>
      </c>
      <c r="C8417" s="3" t="str">
        <f>HYPERLINK("http://www.ncbi.nlm.nih.gov/protein/21746169","Zc3hav1")</f>
        <v>Zc3hav1</v>
      </c>
      <c r="E8417" t="str">
        <f>HYPERLINK("J:\Depot - mpkCCD Fractions\Main Web Page\Web Pages_old\proteomic_fractions_linear_files/Yang_linear_img/21746169.jpg","show blot")</f>
        <v>show blot</v>
      </c>
      <c r="G8417" t="s">
        <v>8164</v>
      </c>
      <c r="I8417" s="6">
        <v>2.8059254299801739</v>
      </c>
      <c r="K8417" s="8"/>
    </row>
    <row r="8418" spans="1:11" ht="15" x14ac:dyDescent="0.25">
      <c r="A8418" s="3" t="str">
        <f>HYPERLINK("proteomic_fractions_linear_files/Yang_linear_img/227116322.jpg", "227116322")</f>
        <v>227116322</v>
      </c>
      <c r="C8418" s="3" t="str">
        <f>HYPERLINK("http://www.ncbi.nlm.nih.gov/protein/227116322","Zc3hav1")</f>
        <v>Zc3hav1</v>
      </c>
      <c r="E8418" t="str">
        <f>HYPERLINK("J:\Depot - mpkCCD Fractions\Main Web Page\Web Pages_old\proteomic_fractions_linear_files/Yang_linear_img/227116322.jpg","show blot")</f>
        <v>show blot</v>
      </c>
      <c r="G8418" t="s">
        <v>8165</v>
      </c>
      <c r="I8418" s="6">
        <v>2.8059254299801739</v>
      </c>
      <c r="K8418" s="8"/>
    </row>
    <row r="8419" spans="1:11" ht="15" x14ac:dyDescent="0.25">
      <c r="A8419" s="3" t="str">
        <f>HYPERLINK("proteomic_fractions_linear_files/Yang_linear_img/27754058.jpg", "27754058")</f>
        <v>27754058</v>
      </c>
      <c r="C8419" s="3" t="str">
        <f>HYPERLINK("http://www.ncbi.nlm.nih.gov/protein/27754058","Zcchc10")</f>
        <v>Zcchc10</v>
      </c>
      <c r="E8419" t="str">
        <f>HYPERLINK("J:\Depot - mpkCCD Fractions\Main Web Page\Web Pages_old\proteomic_fractions_linear_files/Yang_linear_img/27754058.jpg","show blot")</f>
        <v>show blot</v>
      </c>
      <c r="G8419" t="s">
        <v>8166</v>
      </c>
      <c r="I8419" s="6">
        <v>2.6763222777751463</v>
      </c>
      <c r="K8419" s="8"/>
    </row>
    <row r="8420" spans="1:11" ht="15" x14ac:dyDescent="0.25">
      <c r="A8420" s="3" t="str">
        <f>HYPERLINK("proteomic_fractions_linear_files/Yang_linear_img/55925630.jpg", "55925630")</f>
        <v>55925630</v>
      </c>
      <c r="C8420" s="3" t="str">
        <f>HYPERLINK("http://www.ncbi.nlm.nih.gov/protein/55925630","Zcchc13")</f>
        <v>Zcchc13</v>
      </c>
      <c r="E8420" t="str">
        <f>HYPERLINK("J:\Depot - mpkCCD Fractions\Main Web Page\Web Pages_old\proteomic_fractions_linear_files/Yang_linear_img/55925630.jpg","show blot")</f>
        <v>show blot</v>
      </c>
      <c r="G8420" t="s">
        <v>8167</v>
      </c>
      <c r="I8420" s="6">
        <v>1.1998128946410143</v>
      </c>
      <c r="K8420" s="8"/>
    </row>
    <row r="8421" spans="1:11" ht="15" x14ac:dyDescent="0.25">
      <c r="A8421" s="3" t="str">
        <f>HYPERLINK("proteomic_fractions_linear_files/Yang_linear_img/23346607.jpg", "23346607")</f>
        <v>23346607</v>
      </c>
      <c r="C8421" s="3" t="str">
        <f>HYPERLINK("http://www.ncbi.nlm.nih.gov/protein/23346607","Zcchc17")</f>
        <v>Zcchc17</v>
      </c>
      <c r="E8421" t="str">
        <f>HYPERLINK("J:\Depot - mpkCCD Fractions\Main Web Page\Web Pages_old\proteomic_fractions_linear_files/Yang_linear_img/23346607.jpg","show blot")</f>
        <v>show blot</v>
      </c>
      <c r="G8421" t="s">
        <v>8168</v>
      </c>
      <c r="I8421" s="6">
        <v>3.4083186958669187</v>
      </c>
      <c r="K8421" s="8"/>
    </row>
    <row r="8422" spans="1:11" ht="15" x14ac:dyDescent="0.25">
      <c r="A8422" s="3" t="str">
        <f>HYPERLINK("proteomic_fractions_linear_files/Yang_linear_img/124249222.jpg", "124249222")</f>
        <v>124249222</v>
      </c>
      <c r="C8422" s="3" t="str">
        <f>HYPERLINK("http://www.ncbi.nlm.nih.gov/protein/124249222","Zcchc4")</f>
        <v>Zcchc4</v>
      </c>
      <c r="E8422" t="str">
        <f>HYPERLINK("J:\Depot - mpkCCD Fractions\Main Web Page\Web Pages_old\proteomic_fractions_linear_files/Yang_linear_img/124249222.jpg","show blot")</f>
        <v>show blot</v>
      </c>
      <c r="G8422" t="s">
        <v>8169</v>
      </c>
      <c r="I8422" s="6">
        <v>2.1622965333731252</v>
      </c>
      <c r="K8422" s="8"/>
    </row>
    <row r="8423" spans="1:11" ht="15" x14ac:dyDescent="0.25">
      <c r="A8423" s="3" t="str">
        <f>HYPERLINK("proteomic_fractions_linear_files/Yang_linear_img/254588108.jpg", "254588108")</f>
        <v>254588108</v>
      </c>
      <c r="C8423" s="3" t="str">
        <f>HYPERLINK("http://www.ncbi.nlm.nih.gov/protein/254588108","Zcchc6")</f>
        <v>Zcchc6</v>
      </c>
      <c r="E8423" t="str">
        <f>HYPERLINK("J:\Depot - mpkCCD Fractions\Main Web Page\Web Pages_old\proteomic_fractions_linear_files/Yang_linear_img/254588108.jpg","show blot")</f>
        <v>show blot</v>
      </c>
      <c r="G8423" t="s">
        <v>8170</v>
      </c>
      <c r="I8423" s="6">
        <v>3.343030683392223</v>
      </c>
      <c r="K8423" s="8"/>
    </row>
    <row r="8424" spans="1:11" ht="15" x14ac:dyDescent="0.25">
      <c r="A8424" s="3" t="str">
        <f>HYPERLINK("proteomic_fractions_linear_files/Yang_linear_img/169808385.jpg", "169808385")</f>
        <v>169808385</v>
      </c>
      <c r="C8424" s="3" t="str">
        <f>HYPERLINK("http://www.ncbi.nlm.nih.gov/protein/169808385","Zcchc8")</f>
        <v>Zcchc8</v>
      </c>
      <c r="E8424" t="str">
        <f>HYPERLINK("J:\Depot - mpkCCD Fractions\Main Web Page\Web Pages_old\proteomic_fractions_linear_files/Yang_linear_img/169808385.jpg","show blot")</f>
        <v>show blot</v>
      </c>
      <c r="G8424" t="s">
        <v>8171</v>
      </c>
      <c r="I8424" s="6">
        <v>3.8083974039896287</v>
      </c>
      <c r="K8424" s="8"/>
    </row>
    <row r="8425" spans="1:11" ht="15" x14ac:dyDescent="0.25">
      <c r="A8425" s="3" t="str">
        <f>HYPERLINK("proteomic_fractions_linear_files/Yang_linear_img/21450253.jpg", "21450253")</f>
        <v>21450253</v>
      </c>
      <c r="C8425" s="3" t="str">
        <f>HYPERLINK("http://www.ncbi.nlm.nih.gov/protein/21450253","Zdhhc5")</f>
        <v>Zdhhc5</v>
      </c>
      <c r="E8425" t="str">
        <f>HYPERLINK("J:\Depot - mpkCCD Fractions\Main Web Page\Web Pages_old\proteomic_fractions_linear_files/Yang_linear_img/21450253.jpg","show blot")</f>
        <v>show blot</v>
      </c>
      <c r="G8425" t="s">
        <v>8172</v>
      </c>
      <c r="I8425" s="6">
        <v>0.5920757704213615</v>
      </c>
      <c r="K8425" s="8"/>
    </row>
    <row r="8426" spans="1:11" ht="15" x14ac:dyDescent="0.25">
      <c r="A8426" s="3" t="str">
        <f>HYPERLINK("proteomic_fractions_linear_files/Yang_linear_img/31542271.jpg", "31542271")</f>
        <v>31542271</v>
      </c>
      <c r="C8426" s="3" t="str">
        <f>HYPERLINK("http://www.ncbi.nlm.nih.gov/protein/31542271","Zer1")</f>
        <v>Zer1</v>
      </c>
      <c r="E8426" t="str">
        <f>HYPERLINK("J:\Depot - mpkCCD Fractions\Main Web Page\Web Pages_old\proteomic_fractions_linear_files/Yang_linear_img/31542271.jpg","show blot")</f>
        <v>show blot</v>
      </c>
      <c r="G8426" t="s">
        <v>8173</v>
      </c>
      <c r="I8426" s="6">
        <v>3.5047724405726144</v>
      </c>
      <c r="K8426" s="8"/>
    </row>
    <row r="8427" spans="1:11" ht="15" x14ac:dyDescent="0.25">
      <c r="A8427" s="3" t="str">
        <f>HYPERLINK("proteomic_fractions_linear_files/Yang_linear_img/31982674.jpg", "31982674")</f>
        <v>31982674</v>
      </c>
      <c r="C8427" s="3" t="str">
        <f>HYPERLINK("http://www.ncbi.nlm.nih.gov/protein/31982674","Zfand1")</f>
        <v>Zfand1</v>
      </c>
      <c r="E8427" t="str">
        <f>HYPERLINK("J:\Depot - mpkCCD Fractions\Main Web Page\Web Pages_old\proteomic_fractions_linear_files/Yang_linear_img/31982674.jpg","show blot")</f>
        <v>show blot</v>
      </c>
      <c r="G8427" t="s">
        <v>8174</v>
      </c>
      <c r="I8427" s="6">
        <v>4.6987609213213579</v>
      </c>
      <c r="K8427" s="8"/>
    </row>
    <row r="8428" spans="1:11" ht="15" x14ac:dyDescent="0.25">
      <c r="A8428" s="3" t="str">
        <f>HYPERLINK("proteomic_fractions_linear_files/Yang_linear_img/229577434;229577442.jpg", "229577434;229577442")</f>
        <v>229577434;229577442</v>
      </c>
      <c r="C8428" s="3" t="str">
        <f>HYPERLINK("http://www.ncbi.nlm.nih.gov/protein/229577434;229577442","Zfand2b")</f>
        <v>Zfand2b</v>
      </c>
      <c r="E8428" t="str">
        <f>HYPERLINK("J:\Depot - mpkCCD Fractions\Main Web Page\Web Pages_old\proteomic_fractions_linear_files/Yang_linear_img/229577434;229577442.jpg","show blot")</f>
        <v>show blot</v>
      </c>
      <c r="G8428" t="s">
        <v>8175</v>
      </c>
      <c r="I8428" s="6">
        <v>4.0944956002084325</v>
      </c>
      <c r="K8428" s="8"/>
    </row>
    <row r="8429" spans="1:11" ht="15" x14ac:dyDescent="0.25">
      <c r="A8429" s="3" t="str">
        <f>HYPERLINK("proteomic_fractions_linear_files/Yang_linear_img/22507321.jpg", "22507321")</f>
        <v>22507321</v>
      </c>
      <c r="C8429" s="3" t="str">
        <f>HYPERLINK("http://www.ncbi.nlm.nih.gov/protein/22507321","Zfand3")</f>
        <v>Zfand3</v>
      </c>
      <c r="E8429" t="str">
        <f>HYPERLINK("J:\Depot - mpkCCD Fractions\Main Web Page\Web Pages_old\proteomic_fractions_linear_files/Yang_linear_img/22507321.jpg","show blot")</f>
        <v>show blot</v>
      </c>
      <c r="G8429" t="s">
        <v>8176</v>
      </c>
      <c r="I8429" s="6">
        <v>4.2668260175864106</v>
      </c>
      <c r="K8429" s="8"/>
    </row>
    <row r="8430" spans="1:11" ht="15" x14ac:dyDescent="0.25">
      <c r="A8430" s="3" t="str">
        <f>HYPERLINK("proteomic_fractions_linear_files/Yang_linear_img/6677605.jpg", "6677605")</f>
        <v>6677605</v>
      </c>
      <c r="C8430" s="3" t="str">
        <f>HYPERLINK("http://www.ncbi.nlm.nih.gov/protein/6677605","Zfand5")</f>
        <v>Zfand5</v>
      </c>
      <c r="E8430" t="str">
        <f>HYPERLINK("J:\Depot - mpkCCD Fractions\Main Web Page\Web Pages_old\proteomic_fractions_linear_files/Yang_linear_img/6677605.jpg","show blot")</f>
        <v>show blot</v>
      </c>
      <c r="G8430" t="s">
        <v>8177</v>
      </c>
      <c r="I8430" s="6">
        <v>3.4737851191700324</v>
      </c>
      <c r="K8430" s="8"/>
    </row>
    <row r="8431" spans="1:11" ht="15" x14ac:dyDescent="0.25">
      <c r="A8431" s="3" t="str">
        <f>HYPERLINK("proteomic_fractions_linear_files/Yang_linear_img/15805026.jpg", "15805026")</f>
        <v>15805026</v>
      </c>
      <c r="C8431" s="3" t="str">
        <f>HYPERLINK("http://www.ncbi.nlm.nih.gov/protein/15805026","Zfand6")</f>
        <v>Zfand6</v>
      </c>
      <c r="E8431" t="str">
        <f>HYPERLINK("J:\Depot - mpkCCD Fractions\Main Web Page\Web Pages_old\proteomic_fractions_linear_files/Yang_linear_img/15805026.jpg","show blot")</f>
        <v>show blot</v>
      </c>
      <c r="G8431" t="s">
        <v>8178</v>
      </c>
      <c r="I8431" s="6">
        <v>4.8206584863904736</v>
      </c>
      <c r="K8431" s="8"/>
    </row>
    <row r="8432" spans="1:11" ht="15" x14ac:dyDescent="0.25">
      <c r="A8432" s="3" t="str">
        <f>HYPERLINK("proteomic_fractions_linear_files/Yang_linear_img/90991706.jpg", "90991706")</f>
        <v>90991706</v>
      </c>
      <c r="C8432" s="3" t="str">
        <f>HYPERLINK("http://www.ncbi.nlm.nih.gov/protein/90991706","Zfc3h1")</f>
        <v>Zfc3h1</v>
      </c>
      <c r="E8432" t="str">
        <f>HYPERLINK("J:\Depot - mpkCCD Fractions\Main Web Page\Web Pages_old\proteomic_fractions_linear_files/Yang_linear_img/90991706.jpg","show blot")</f>
        <v>show blot</v>
      </c>
      <c r="G8432" t="s">
        <v>8179</v>
      </c>
      <c r="I8432" s="6">
        <v>1.4486032722164002</v>
      </c>
      <c r="K8432" s="8"/>
    </row>
    <row r="8433" spans="1:11" ht="15" x14ac:dyDescent="0.25">
      <c r="A8433" s="3" t="str">
        <f>HYPERLINK("proteomic_fractions_linear_files/Yang_linear_img/110225364.jpg", "110225364")</f>
        <v>110225364</v>
      </c>
      <c r="C8433" s="3" t="str">
        <f>HYPERLINK("http://www.ncbi.nlm.nih.gov/protein/110225364","Zfhx3")</f>
        <v>Zfhx3</v>
      </c>
      <c r="E8433" t="str">
        <f>HYPERLINK("J:\Depot - mpkCCD Fractions\Main Web Page\Web Pages_old\proteomic_fractions_linear_files/Yang_linear_img/110225364.jpg","show blot")</f>
        <v>show blot</v>
      </c>
      <c r="G8433" t="s">
        <v>8180</v>
      </c>
      <c r="I8433" s="6">
        <v>2.4157117483946227</v>
      </c>
      <c r="K8433" s="8"/>
    </row>
    <row r="8434" spans="1:11" ht="15" x14ac:dyDescent="0.25">
      <c r="A8434" s="3" t="str">
        <f>HYPERLINK("proteomic_fractions_linear_files/Yang_linear_img/261823966.jpg", "261823966")</f>
        <v>261823966</v>
      </c>
      <c r="C8434" s="3" t="str">
        <f>HYPERLINK("http://www.ncbi.nlm.nih.gov/protein/261823966","Zfml")</f>
        <v>Zfml</v>
      </c>
      <c r="E8434" t="str">
        <f>HYPERLINK("J:\Depot - mpkCCD Fractions\Main Web Page\Web Pages_old\proteomic_fractions_linear_files/Yang_linear_img/261823966.jpg","show blot")</f>
        <v>show blot</v>
      </c>
      <c r="G8434" t="s">
        <v>8181</v>
      </c>
      <c r="I8434" s="6">
        <v>2.5146304150488232</v>
      </c>
      <c r="K8434" s="8"/>
    </row>
    <row r="8435" spans="1:11" ht="15" x14ac:dyDescent="0.25">
      <c r="A8435" s="3" t="str">
        <f>HYPERLINK("proteomic_fractions_linear_files/Yang_linear_img/110626083.jpg", "110626083")</f>
        <v>110626083</v>
      </c>
      <c r="C8435" s="3" t="str">
        <f>HYPERLINK("http://www.ncbi.nlm.nih.gov/protein/110626083","Zfp142")</f>
        <v>Zfp142</v>
      </c>
      <c r="E8435" t="str">
        <f>HYPERLINK("J:\Depot - mpkCCD Fractions\Main Web Page\Web Pages_old\proteomic_fractions_linear_files/Yang_linear_img/110626083.jpg","show blot")</f>
        <v>show blot</v>
      </c>
      <c r="G8435" t="s">
        <v>8182</v>
      </c>
      <c r="I8435" s="6">
        <v>2.5980944777348443</v>
      </c>
      <c r="K8435" s="8"/>
    </row>
    <row r="8436" spans="1:11" ht="15" x14ac:dyDescent="0.25">
      <c r="A8436" s="3" t="str">
        <f>HYPERLINK("proteomic_fractions_linear_files/Yang_linear_img/157823829.jpg", "157823829")</f>
        <v>157823829</v>
      </c>
      <c r="C8436" s="3" t="str">
        <f>HYPERLINK("http://www.ncbi.nlm.nih.gov/protein/157823829","Zfp185")</f>
        <v>Zfp185</v>
      </c>
      <c r="E8436" t="str">
        <f>HYPERLINK("J:\Depot - mpkCCD Fractions\Main Web Page\Web Pages_old\proteomic_fractions_linear_files/Yang_linear_img/157823829.jpg","show blot")</f>
        <v>show blot</v>
      </c>
      <c r="G8436" t="s">
        <v>8183</v>
      </c>
      <c r="I8436" s="6">
        <v>2.6627756448717039</v>
      </c>
      <c r="K8436" s="8"/>
    </row>
    <row r="8437" spans="1:11" ht="15" x14ac:dyDescent="0.25">
      <c r="A8437" s="3" t="str">
        <f>HYPERLINK("proteomic_fractions_linear_files/Yang_linear_img/157823865.jpg", "157823865")</f>
        <v>157823865</v>
      </c>
      <c r="C8437" s="3" t="str">
        <f>HYPERLINK("http://www.ncbi.nlm.nih.gov/protein/157823865","Zfp185")</f>
        <v>Zfp185</v>
      </c>
      <c r="E8437" t="str">
        <f>HYPERLINK("J:\Depot - mpkCCD Fractions\Main Web Page\Web Pages_old\proteomic_fractions_linear_files/Yang_linear_img/157823865.jpg","show blot")</f>
        <v>show blot</v>
      </c>
      <c r="G8437" t="s">
        <v>8184</v>
      </c>
      <c r="I8437" s="6">
        <v>2.6627756448717039</v>
      </c>
      <c r="K8437" s="8"/>
    </row>
    <row r="8438" spans="1:11" ht="15" x14ac:dyDescent="0.25">
      <c r="A8438" s="3" t="str">
        <f>HYPERLINK("proteomic_fractions_linear_files/Yang_linear_img/161760658.jpg", "161760658")</f>
        <v>161760658</v>
      </c>
      <c r="C8438" s="3" t="str">
        <f>HYPERLINK("http://www.ncbi.nlm.nih.gov/protein/161760658","Zfp189")</f>
        <v>Zfp189</v>
      </c>
      <c r="E8438" t="str">
        <f>HYPERLINK("J:\Depot - mpkCCD Fractions\Main Web Page\Web Pages_old\proteomic_fractions_linear_files/Yang_linear_img/161760658.jpg","show blot")</f>
        <v>show blot</v>
      </c>
      <c r="G8438" t="s">
        <v>8185</v>
      </c>
      <c r="I8438" s="6">
        <v>2.3192374610220545</v>
      </c>
      <c r="K8438" s="8"/>
    </row>
    <row r="8439" spans="1:11" ht="15" x14ac:dyDescent="0.25">
      <c r="A8439" s="3" t="str">
        <f>HYPERLINK("proteomic_fractions_linear_files/Yang_linear_img/194328715.jpg", "194328715")</f>
        <v>194328715</v>
      </c>
      <c r="C8439" s="3" t="str">
        <f>HYPERLINK("http://www.ncbi.nlm.nih.gov/protein/194328715","Zfp207")</f>
        <v>Zfp207</v>
      </c>
      <c r="E8439" t="str">
        <f>HYPERLINK("J:\Depot - mpkCCD Fractions\Main Web Page\Web Pages_old\proteomic_fractions_linear_files/Yang_linear_img/194328715.jpg","show blot")</f>
        <v>show blot</v>
      </c>
      <c r="G8439" t="s">
        <v>8186</v>
      </c>
      <c r="I8439" s="6">
        <v>4.1315820057450772</v>
      </c>
      <c r="K8439" s="8"/>
    </row>
    <row r="8440" spans="1:11" ht="15" x14ac:dyDescent="0.25">
      <c r="A8440" s="3" t="str">
        <f>HYPERLINK("proteomic_fractions_linear_files/Yang_linear_img/194328717.jpg", "194328717")</f>
        <v>194328717</v>
      </c>
      <c r="C8440" s="3" t="str">
        <f>HYPERLINK("http://www.ncbi.nlm.nih.gov/protein/194328717","Zfp207")</f>
        <v>Zfp207</v>
      </c>
      <c r="E8440" t="str">
        <f>HYPERLINK("J:\Depot - mpkCCD Fractions\Main Web Page\Web Pages_old\proteomic_fractions_linear_files/Yang_linear_img/194328717.jpg","show blot")</f>
        <v>show blot</v>
      </c>
      <c r="G8440" t="s">
        <v>8187</v>
      </c>
      <c r="I8440" s="6">
        <v>4.1315820057450772</v>
      </c>
      <c r="K8440" s="8"/>
    </row>
    <row r="8441" spans="1:11" ht="15" x14ac:dyDescent="0.25">
      <c r="A8441" s="3" t="str">
        <f>HYPERLINK("proteomic_fractions_linear_files/Yang_linear_img/194328719.jpg", "194328719")</f>
        <v>194328719</v>
      </c>
      <c r="C8441" s="3" t="str">
        <f>HYPERLINK("http://www.ncbi.nlm.nih.gov/protein/194328719","Zfp207")</f>
        <v>Zfp207</v>
      </c>
      <c r="E8441" t="str">
        <f>HYPERLINK("J:\Depot - mpkCCD Fractions\Main Web Page\Web Pages_old\proteomic_fractions_linear_files/Yang_linear_img/194328719.jpg","show blot")</f>
        <v>show blot</v>
      </c>
      <c r="G8441" t="s">
        <v>8188</v>
      </c>
      <c r="I8441" s="6">
        <v>4.1315820057450772</v>
      </c>
      <c r="K8441" s="8"/>
    </row>
    <row r="8442" spans="1:11" ht="15" x14ac:dyDescent="0.25">
      <c r="A8442" s="3" t="str">
        <f>HYPERLINK("proteomic_fractions_linear_files/Yang_linear_img/6756051.jpg", "6756051")</f>
        <v>6756051</v>
      </c>
      <c r="C8442" s="3" t="str">
        <f>HYPERLINK("http://www.ncbi.nlm.nih.gov/protein/6756051","Zfp207")</f>
        <v>Zfp207</v>
      </c>
      <c r="E8442" t="str">
        <f>HYPERLINK("J:\Depot - mpkCCD Fractions\Main Web Page\Web Pages_old\proteomic_fractions_linear_files/Yang_linear_img/6756051.jpg","show blot")</f>
        <v>show blot</v>
      </c>
      <c r="G8442" t="s">
        <v>8189</v>
      </c>
      <c r="I8442" s="6">
        <v>4.1315820057450772</v>
      </c>
      <c r="K8442" s="8"/>
    </row>
    <row r="8443" spans="1:11" ht="15" x14ac:dyDescent="0.25">
      <c r="A8443" s="3" t="str">
        <f>HYPERLINK("proteomic_fractions_linear_files/Yang_linear_img/254939702.jpg", "254939702")</f>
        <v>254939702</v>
      </c>
      <c r="C8443" s="3" t="str">
        <f>HYPERLINK("http://www.ncbi.nlm.nih.gov/protein/254939702","Zfp236")</f>
        <v>Zfp236</v>
      </c>
      <c r="E8443" t="str">
        <f>HYPERLINK("J:\Depot - mpkCCD Fractions\Main Web Page\Web Pages_old\proteomic_fractions_linear_files/Yang_linear_img/254939702.jpg","show blot")</f>
        <v>show blot</v>
      </c>
      <c r="G8443" t="s">
        <v>8190</v>
      </c>
      <c r="I8443" s="6">
        <v>3.2055652235301055</v>
      </c>
      <c r="K8443" s="8"/>
    </row>
    <row r="8444" spans="1:11" ht="15" x14ac:dyDescent="0.25">
      <c r="A8444" s="3" t="str">
        <f>HYPERLINK("proteomic_fractions_linear_files/Yang_linear_img/58037307.jpg", "58037307")</f>
        <v>58037307</v>
      </c>
      <c r="C8444" s="3" t="str">
        <f>HYPERLINK("http://www.ncbi.nlm.nih.gov/protein/58037307","Zfp248")</f>
        <v>Zfp248</v>
      </c>
      <c r="E8444" t="str">
        <f>HYPERLINK("J:\Depot - mpkCCD Fractions\Main Web Page\Web Pages_old\proteomic_fractions_linear_files/Yang_linear_img/58037307.jpg","show blot")</f>
        <v>show blot</v>
      </c>
      <c r="G8444" t="s">
        <v>8191</v>
      </c>
      <c r="I8444" s="6">
        <v>3.6700909179446923</v>
      </c>
      <c r="K8444" s="8"/>
    </row>
    <row r="8445" spans="1:11" ht="15" x14ac:dyDescent="0.25">
      <c r="A8445" s="3" t="str">
        <f>HYPERLINK("proteomic_fractions_linear_files/Yang_linear_img/6756053.jpg", "6756053")</f>
        <v>6756053</v>
      </c>
      <c r="C8445" s="3" t="str">
        <f>HYPERLINK("http://www.ncbi.nlm.nih.gov/protein/6756053","Zfp259")</f>
        <v>Zfp259</v>
      </c>
      <c r="E8445" t="str">
        <f>HYPERLINK("J:\Depot - mpkCCD Fractions\Main Web Page\Web Pages_old\proteomic_fractions_linear_files/Yang_linear_img/6756053.jpg","show blot")</f>
        <v>show blot</v>
      </c>
      <c r="G8445" t="s">
        <v>8192</v>
      </c>
      <c r="I8445" s="6">
        <v>5.0577287646938576</v>
      </c>
      <c r="K8445" s="8"/>
    </row>
    <row r="8446" spans="1:11" ht="15" x14ac:dyDescent="0.25">
      <c r="A8446" s="3" t="str">
        <f>HYPERLINK("proteomic_fractions_linear_files/Yang_linear_img/169234810.jpg", "169234810")</f>
        <v>169234810</v>
      </c>
      <c r="C8446" s="3" t="str">
        <f>HYPERLINK("http://www.ncbi.nlm.nih.gov/protein/169234810","Zfp292")</f>
        <v>Zfp292</v>
      </c>
      <c r="E8446" t="str">
        <f>HYPERLINK("J:\Depot - mpkCCD Fractions\Main Web Page\Web Pages_old\proteomic_fractions_linear_files/Yang_linear_img/169234810.jpg","show blot")</f>
        <v>show blot</v>
      </c>
      <c r="G8446" t="s">
        <v>8193</v>
      </c>
      <c r="I8446" s="6">
        <v>4.1027271168777801</v>
      </c>
      <c r="K8446" s="8"/>
    </row>
    <row r="8447" spans="1:11" ht="15" x14ac:dyDescent="0.25">
      <c r="A8447" s="3" t="str">
        <f>HYPERLINK("proteomic_fractions_linear_files/Yang_linear_img/56118256.jpg", "56118256")</f>
        <v>56118256</v>
      </c>
      <c r="C8447" s="3" t="str">
        <f>HYPERLINK("http://www.ncbi.nlm.nih.gov/protein/56118256","Zfp324")</f>
        <v>Zfp324</v>
      </c>
      <c r="E8447" t="str">
        <f>HYPERLINK("J:\Depot - mpkCCD Fractions\Main Web Page\Web Pages_old\proteomic_fractions_linear_files/Yang_linear_img/56118256.jpg","show blot")</f>
        <v>show blot</v>
      </c>
      <c r="G8447" t="s">
        <v>8194</v>
      </c>
      <c r="I8447" s="6">
        <v>3.0281782644466149</v>
      </c>
      <c r="K8447" s="8"/>
    </row>
    <row r="8448" spans="1:11" ht="15" x14ac:dyDescent="0.25">
      <c r="A8448" s="3" t="str">
        <f>HYPERLINK("proteomic_fractions_linear_files/Yang_linear_img/269784644.jpg", "269784644")</f>
        <v>269784644</v>
      </c>
      <c r="C8448" s="3" t="str">
        <f>HYPERLINK("http://www.ncbi.nlm.nih.gov/protein/269784644","Zfp326")</f>
        <v>Zfp326</v>
      </c>
      <c r="E8448" t="str">
        <f>HYPERLINK("J:\Depot - mpkCCD Fractions\Main Web Page\Web Pages_old\proteomic_fractions_linear_files/Yang_linear_img/269784644.jpg","show blot")</f>
        <v>show blot</v>
      </c>
      <c r="G8448" t="s">
        <v>8195</v>
      </c>
      <c r="I8448" s="6">
        <v>4.1914257417022673</v>
      </c>
      <c r="K8448" s="8"/>
    </row>
    <row r="8449" spans="1:11" ht="15" x14ac:dyDescent="0.25">
      <c r="A8449" s="3" t="str">
        <f>HYPERLINK("proteomic_fractions_linear_files/Yang_linear_img/6754396.jpg", "6754396")</f>
        <v>6754396</v>
      </c>
      <c r="C8449" s="3" t="str">
        <f>HYPERLINK("http://www.ncbi.nlm.nih.gov/protein/6754396","Zfp346")</f>
        <v>Zfp346</v>
      </c>
      <c r="E8449" t="str">
        <f>HYPERLINK("J:\Depot - mpkCCD Fractions\Main Web Page\Web Pages_old\proteomic_fractions_linear_files/Yang_linear_img/6754396.jpg","show blot")</f>
        <v>show blot</v>
      </c>
      <c r="G8449" t="s">
        <v>8196</v>
      </c>
      <c r="I8449" s="6">
        <v>3.1214205579509309</v>
      </c>
      <c r="K8449" s="8"/>
    </row>
    <row r="8450" spans="1:11" ht="15" x14ac:dyDescent="0.25">
      <c r="A8450" s="3" t="str">
        <f>HYPERLINK("proteomic_fractions_linear_files/Yang_linear_img/238018076.jpg", "238018076")</f>
        <v>238018076</v>
      </c>
      <c r="C8450" s="3" t="str">
        <f>HYPERLINK("http://www.ncbi.nlm.nih.gov/protein/238018076","Zfp428")</f>
        <v>Zfp428</v>
      </c>
      <c r="E8450" t="str">
        <f>HYPERLINK("J:\Depot - mpkCCD Fractions\Main Web Page\Web Pages_old\proteomic_fractions_linear_files/Yang_linear_img/238018076.jpg","show blot")</f>
        <v>show blot</v>
      </c>
      <c r="G8450" t="s">
        <v>8197</v>
      </c>
      <c r="I8450" s="6">
        <v>4.3314146720464146</v>
      </c>
      <c r="K8450" s="8"/>
    </row>
    <row r="8451" spans="1:11" ht="15" x14ac:dyDescent="0.25">
      <c r="A8451" s="3" t="str">
        <f>HYPERLINK("proteomic_fractions_linear_files/Yang_linear_img/226437661.jpg", "226437661")</f>
        <v>226437661</v>
      </c>
      <c r="C8451" s="3" t="str">
        <f>HYPERLINK("http://www.ncbi.nlm.nih.gov/protein/226437661","Zfp511")</f>
        <v>Zfp511</v>
      </c>
      <c r="E8451" t="str">
        <f>HYPERLINK("J:\Depot - mpkCCD Fractions\Main Web Page\Web Pages_old\proteomic_fractions_linear_files/Yang_linear_img/226437661.jpg","show blot")</f>
        <v>show blot</v>
      </c>
      <c r="G8451" t="s">
        <v>8198</v>
      </c>
      <c r="I8451" s="6">
        <v>4.0229433116188176</v>
      </c>
      <c r="K8451" s="8"/>
    </row>
    <row r="8452" spans="1:11" ht="15" x14ac:dyDescent="0.25">
      <c r="A8452" s="3" t="str">
        <f>HYPERLINK("proteomic_fractions_linear_files/Yang_linear_img/254553392.jpg", "254553392")</f>
        <v>254553392</v>
      </c>
      <c r="C8452" s="3" t="str">
        <f>HYPERLINK("http://www.ncbi.nlm.nih.gov/protein/254553392","Zfp512")</f>
        <v>Zfp512</v>
      </c>
      <c r="E8452" t="str">
        <f>HYPERLINK("J:\Depot - mpkCCD Fractions\Main Web Page\Web Pages_old\proteomic_fractions_linear_files/Yang_linear_img/254553392.jpg","show blot")</f>
        <v>show blot</v>
      </c>
      <c r="G8452" t="s">
        <v>8199</v>
      </c>
      <c r="I8452" s="6">
        <v>3.8149640059056149</v>
      </c>
      <c r="K8452" s="8"/>
    </row>
    <row r="8453" spans="1:11" ht="15" x14ac:dyDescent="0.25">
      <c r="A8453" s="3" t="str">
        <f>HYPERLINK("proteomic_fractions_linear_files/Yang_linear_img/154759288.jpg", "154759288")</f>
        <v>154759288</v>
      </c>
      <c r="C8453" s="3" t="str">
        <f>HYPERLINK("http://www.ncbi.nlm.nih.gov/protein/154759288","Zfp593")</f>
        <v>Zfp593</v>
      </c>
      <c r="E8453" t="str">
        <f>HYPERLINK("J:\Depot - mpkCCD Fractions\Main Web Page\Web Pages_old\proteomic_fractions_linear_files/Yang_linear_img/154759288.jpg","show blot")</f>
        <v>show blot</v>
      </c>
      <c r="G8453" t="s">
        <v>8200</v>
      </c>
      <c r="I8453" s="6">
        <v>4.7135183412129367</v>
      </c>
      <c r="K8453" s="8"/>
    </row>
    <row r="8454" spans="1:11" ht="15" x14ac:dyDescent="0.25">
      <c r="A8454" s="3" t="str">
        <f>HYPERLINK("proteomic_fractions_linear_files/Yang_linear_img/34147169.jpg", "34147169")</f>
        <v>34147169</v>
      </c>
      <c r="C8454" s="3" t="str">
        <f>HYPERLINK("http://www.ncbi.nlm.nih.gov/protein/34147169","Zfp598")</f>
        <v>Zfp598</v>
      </c>
      <c r="E8454" t="str">
        <f>HYPERLINK("J:\Depot - mpkCCD Fractions\Main Web Page\Web Pages_old\proteomic_fractions_linear_files/Yang_linear_img/34147169.jpg","show blot")</f>
        <v>show blot</v>
      </c>
      <c r="G8454" t="s">
        <v>8201</v>
      </c>
      <c r="I8454" s="6">
        <v>3.1249938186490871</v>
      </c>
      <c r="K8454" s="8"/>
    </row>
    <row r="8455" spans="1:11" ht="15" x14ac:dyDescent="0.25">
      <c r="A8455" s="3" t="str">
        <f>HYPERLINK("proteomic_fractions_linear_files/Yang_linear_img/255683357.jpg", "255683357")</f>
        <v>255683357</v>
      </c>
      <c r="C8455" s="3" t="str">
        <f>HYPERLINK("http://www.ncbi.nlm.nih.gov/protein/255683357","Zfp605")</f>
        <v>Zfp605</v>
      </c>
      <c r="E8455" t="str">
        <f>HYPERLINK("J:\Depot - mpkCCD Fractions\Main Web Page\Web Pages_old\proteomic_fractions_linear_files/Yang_linear_img/255683357.jpg","show blot")</f>
        <v>show blot</v>
      </c>
      <c r="G8455" t="s">
        <v>8202</v>
      </c>
      <c r="I8455" s="6">
        <v>4.046275811376935</v>
      </c>
      <c r="K8455" s="8"/>
    </row>
    <row r="8456" spans="1:11" ht="15" x14ac:dyDescent="0.25">
      <c r="A8456" s="3" t="str">
        <f>HYPERLINK("proteomic_fractions_linear_files/Yang_linear_img/121247404.jpg", "121247404")</f>
        <v>121247404</v>
      </c>
      <c r="C8456" s="3" t="str">
        <f>HYPERLINK("http://www.ncbi.nlm.nih.gov/protein/121247404","Zfp61")</f>
        <v>Zfp61</v>
      </c>
      <c r="E8456" t="str">
        <f>HYPERLINK("J:\Depot - mpkCCD Fractions\Main Web Page\Web Pages_old\proteomic_fractions_linear_files/Yang_linear_img/121247404.jpg","show blot")</f>
        <v>show blot</v>
      </c>
      <c r="G8456" t="s">
        <v>8203</v>
      </c>
      <c r="I8456" s="6">
        <v>2.3674160434711768</v>
      </c>
      <c r="K8456" s="8"/>
    </row>
    <row r="8457" spans="1:11" ht="15" x14ac:dyDescent="0.25">
      <c r="A8457" s="3" t="str">
        <f>HYPERLINK("proteomic_fractions_linear_files/Yang_linear_img/283837868.jpg", "283837868")</f>
        <v>283837868</v>
      </c>
      <c r="C8457" s="3" t="str">
        <f>HYPERLINK("http://www.ncbi.nlm.nih.gov/protein/283837868","Zfp612")</f>
        <v>Zfp612</v>
      </c>
      <c r="E8457" t="str">
        <f>HYPERLINK("J:\Depot - mpkCCD Fractions\Main Web Page\Web Pages_old\proteomic_fractions_linear_files/Yang_linear_img/283837868.jpg","show blot")</f>
        <v>show blot</v>
      </c>
      <c r="G8457" t="s">
        <v>8204</v>
      </c>
      <c r="I8457" s="6">
        <v>3.6486582077435514</v>
      </c>
      <c r="K8457" s="8"/>
    </row>
    <row r="8458" spans="1:11" ht="15" x14ac:dyDescent="0.25">
      <c r="A8458" s="3" t="str">
        <f>HYPERLINK("proteomic_fractions_linear_files/Yang_linear_img/21362307.jpg", "21362307")</f>
        <v>21362307</v>
      </c>
      <c r="C8458" s="3" t="str">
        <f>HYPERLINK("http://www.ncbi.nlm.nih.gov/protein/21362307","Zfp622")</f>
        <v>Zfp622</v>
      </c>
      <c r="E8458" t="str">
        <f>HYPERLINK("J:\Depot - mpkCCD Fractions\Main Web Page\Web Pages_old\proteomic_fractions_linear_files/Yang_linear_img/21362307.jpg","show blot")</f>
        <v>show blot</v>
      </c>
      <c r="G8458" t="s">
        <v>8205</v>
      </c>
      <c r="I8458" s="6">
        <v>4.607127314897868</v>
      </c>
      <c r="K8458" s="8"/>
    </row>
    <row r="8459" spans="1:11" ht="15" x14ac:dyDescent="0.25">
      <c r="A8459" s="3" t="str">
        <f>HYPERLINK("proteomic_fractions_linear_files/Yang_linear_img/148276994.jpg", "148276994")</f>
        <v>148276994</v>
      </c>
      <c r="C8459" s="3" t="str">
        <f>HYPERLINK("http://www.ncbi.nlm.nih.gov/protein/148276994","Zfp628")</f>
        <v>Zfp628</v>
      </c>
      <c r="E8459" t="str">
        <f>HYPERLINK("J:\Depot - mpkCCD Fractions\Main Web Page\Web Pages_old\proteomic_fractions_linear_files/Yang_linear_img/148276994.jpg","show blot")</f>
        <v>show blot</v>
      </c>
      <c r="G8459" t="s">
        <v>8206</v>
      </c>
      <c r="I8459" s="6">
        <v>4.3749345953525358</v>
      </c>
      <c r="K8459" s="8"/>
    </row>
    <row r="8460" spans="1:11" ht="15" x14ac:dyDescent="0.25">
      <c r="A8460" s="3" t="str">
        <f>HYPERLINK("proteomic_fractions_linear_files/Yang_linear_img/18875370.jpg", "18875370")</f>
        <v>18875370</v>
      </c>
      <c r="C8460" s="3" t="str">
        <f>HYPERLINK("http://www.ncbi.nlm.nih.gov/protein/18875370","Zfp704")</f>
        <v>Zfp704</v>
      </c>
      <c r="E8460" t="str">
        <f>HYPERLINK("J:\Depot - mpkCCD Fractions\Main Web Page\Web Pages_old\proteomic_fractions_linear_files/Yang_linear_img/18875370.jpg","show blot")</f>
        <v>show blot</v>
      </c>
      <c r="G8460" t="s">
        <v>8207</v>
      </c>
      <c r="I8460" s="6">
        <v>3.1017347539357378</v>
      </c>
      <c r="K8460" s="8"/>
    </row>
    <row r="8461" spans="1:11" ht="15" x14ac:dyDescent="0.25">
      <c r="A8461" s="3" t="str">
        <f>HYPERLINK("proteomic_fractions_linear_files/Yang_linear_img/21312658.jpg", "21312658")</f>
        <v>21312658</v>
      </c>
      <c r="C8461" s="3" t="str">
        <f>HYPERLINK("http://www.ncbi.nlm.nih.gov/protein/21312658","Zfp706")</f>
        <v>Zfp706</v>
      </c>
      <c r="E8461" t="str">
        <f>HYPERLINK("J:\Depot - mpkCCD Fractions\Main Web Page\Web Pages_old\proteomic_fractions_linear_files/Yang_linear_img/21312658.jpg","show blot")</f>
        <v>show blot</v>
      </c>
      <c r="G8461" t="s">
        <v>8208</v>
      </c>
      <c r="I8461" s="6">
        <v>5.2061603584212337</v>
      </c>
      <c r="K8461" s="8"/>
    </row>
    <row r="8462" spans="1:11" ht="15" x14ac:dyDescent="0.25">
      <c r="A8462" s="3" t="str">
        <f>HYPERLINK("proteomic_fractions_linear_files/Yang_linear_img/28893511.jpg", "28893511")</f>
        <v>28893511</v>
      </c>
      <c r="C8462" s="3" t="str">
        <f>HYPERLINK("http://www.ncbi.nlm.nih.gov/protein/28893511","Zfp771")</f>
        <v>Zfp771</v>
      </c>
      <c r="E8462" t="str">
        <f>HYPERLINK("J:\Depot - mpkCCD Fractions\Main Web Page\Web Pages_old\proteomic_fractions_linear_files/Yang_linear_img/28893511.jpg","show blot")</f>
        <v>show blot</v>
      </c>
      <c r="G8462" t="s">
        <v>8209</v>
      </c>
      <c r="I8462" s="6">
        <v>4.1456444301609965</v>
      </c>
      <c r="K8462" s="8"/>
    </row>
    <row r="8463" spans="1:11" ht="15" x14ac:dyDescent="0.25">
      <c r="A8463" s="3" t="str">
        <f>HYPERLINK("proteomic_fractions_linear_files/Yang_linear_img/124430545.jpg", "124430545")</f>
        <v>124430545</v>
      </c>
      <c r="C8463" s="3" t="str">
        <f>HYPERLINK("http://www.ncbi.nlm.nih.gov/protein/124430545","Zfp804a")</f>
        <v>Zfp804a</v>
      </c>
      <c r="E8463" t="str">
        <f>HYPERLINK("J:\Depot - mpkCCD Fractions\Main Web Page\Web Pages_old\proteomic_fractions_linear_files/Yang_linear_img/124430545.jpg","show blot")</f>
        <v>show blot</v>
      </c>
      <c r="G8463" t="s">
        <v>8210</v>
      </c>
      <c r="I8463" s="6">
        <v>1.6492627227628185</v>
      </c>
      <c r="K8463" s="8"/>
    </row>
    <row r="8464" spans="1:11" ht="15" x14ac:dyDescent="0.25">
      <c r="A8464" s="3" t="str">
        <f>HYPERLINK("proteomic_fractions_linear_files/Yang_linear_img/253735674.jpg", "253735674")</f>
        <v>253735674</v>
      </c>
      <c r="C8464" s="3" t="str">
        <f>HYPERLINK("http://www.ncbi.nlm.nih.gov/protein/253735674","Zfp804b")</f>
        <v>Zfp804b</v>
      </c>
      <c r="E8464" t="str">
        <f>HYPERLINK("J:\Depot - mpkCCD Fractions\Main Web Page\Web Pages_old\proteomic_fractions_linear_files/Yang_linear_img/253735674.jpg","show blot")</f>
        <v>show blot</v>
      </c>
      <c r="G8464" t="s">
        <v>8211</v>
      </c>
      <c r="I8464" s="6">
        <v>1.6006195439646553</v>
      </c>
      <c r="K8464" s="8"/>
    </row>
    <row r="8465" spans="1:11" ht="15" x14ac:dyDescent="0.25">
      <c r="A8465" s="3" t="str">
        <f>HYPERLINK("proteomic_fractions_linear_files/Yang_linear_img/31560213.jpg", "31560213")</f>
        <v>31560213</v>
      </c>
      <c r="C8465" s="3" t="str">
        <f>HYPERLINK("http://www.ncbi.nlm.nih.gov/protein/31560213","Zfp830")</f>
        <v>Zfp830</v>
      </c>
      <c r="E8465" t="str">
        <f>HYPERLINK("J:\Depot - mpkCCD Fractions\Main Web Page\Web Pages_old\proteomic_fractions_linear_files/Yang_linear_img/31560213.jpg","show blot")</f>
        <v>show blot</v>
      </c>
      <c r="G8465" t="s">
        <v>8212</v>
      </c>
      <c r="I8465" s="6">
        <v>1.5647526432101266</v>
      </c>
      <c r="K8465" s="8"/>
    </row>
    <row r="8466" spans="1:11" ht="15" x14ac:dyDescent="0.25">
      <c r="A8466" s="3" t="str">
        <f>HYPERLINK("proteomic_fractions_linear_files/Yang_linear_img/75677466.jpg", "75677466")</f>
        <v>75677466</v>
      </c>
      <c r="C8466" s="3" t="str">
        <f>HYPERLINK("http://www.ncbi.nlm.nih.gov/protein/75677466","Zfp865")</f>
        <v>Zfp865</v>
      </c>
      <c r="E8466" t="str">
        <f>HYPERLINK("J:\Depot - mpkCCD Fractions\Main Web Page\Web Pages_old\proteomic_fractions_linear_files/Yang_linear_img/75677466.jpg","show blot")</f>
        <v>show blot</v>
      </c>
      <c r="G8466" t="s">
        <v>8213</v>
      </c>
      <c r="I8466" s="7" t="s">
        <v>8360</v>
      </c>
      <c r="K8466" s="8"/>
    </row>
    <row r="8467" spans="1:11" ht="15" x14ac:dyDescent="0.25">
      <c r="A8467" s="3" t="str">
        <f>HYPERLINK("proteomic_fractions_linear_files/Yang_linear_img/90669983.jpg", "90669983")</f>
        <v>90669983</v>
      </c>
      <c r="C8467" s="3" t="str">
        <f>HYPERLINK("http://www.ncbi.nlm.nih.gov/protein/90669983","Zfp91")</f>
        <v>Zfp91</v>
      </c>
      <c r="E8467" t="str">
        <f>HYPERLINK("J:\Depot - mpkCCD Fractions\Main Web Page\Web Pages_old\proteomic_fractions_linear_files/Yang_linear_img/90669983.jpg","show blot")</f>
        <v>show blot</v>
      </c>
      <c r="G8467" t="s">
        <v>8214</v>
      </c>
      <c r="I8467" s="6">
        <v>3.8248752018223096</v>
      </c>
      <c r="K8467" s="8"/>
    </row>
    <row r="8468" spans="1:11" ht="15" x14ac:dyDescent="0.25">
      <c r="A8468" s="3" t="str">
        <f>HYPERLINK("proteomic_fractions_linear_files/Yang_linear_img/13195658.jpg", "13195658")</f>
        <v>13195658</v>
      </c>
      <c r="C8468" s="3" t="str">
        <f>HYPERLINK("http://www.ncbi.nlm.nih.gov/protein/13195658","Zfpl1")</f>
        <v>Zfpl1</v>
      </c>
      <c r="E8468" t="str">
        <f>HYPERLINK("J:\Depot - mpkCCD Fractions\Main Web Page\Web Pages_old\proteomic_fractions_linear_files/Yang_linear_img/13195658.jpg","show blot")</f>
        <v>show blot</v>
      </c>
      <c r="G8468" t="s">
        <v>8215</v>
      </c>
      <c r="I8468" s="6">
        <v>4.6170673602906147</v>
      </c>
      <c r="K8468" s="8"/>
    </row>
    <row r="8469" spans="1:11" ht="15" x14ac:dyDescent="0.25">
      <c r="A8469" s="3" t="str">
        <f>HYPERLINK("proteomic_fractions_linear_files/Yang_linear_img/168480106.jpg", "168480106")</f>
        <v>168480106</v>
      </c>
      <c r="C8469" s="3" t="str">
        <f>HYPERLINK("http://www.ncbi.nlm.nih.gov/protein/168480106","Zfr")</f>
        <v>Zfr</v>
      </c>
      <c r="E8469" t="str">
        <f>HYPERLINK("J:\Depot - mpkCCD Fractions\Main Web Page\Web Pages_old\proteomic_fractions_linear_files/Yang_linear_img/168480106.jpg","show blot")</f>
        <v>show blot</v>
      </c>
      <c r="G8469" t="s">
        <v>8216</v>
      </c>
      <c r="I8469" s="6">
        <v>3.7164857604301704</v>
      </c>
      <c r="K8469" s="8"/>
    </row>
    <row r="8470" spans="1:11" ht="15" x14ac:dyDescent="0.25">
      <c r="A8470" s="3" t="str">
        <f>HYPERLINK("proteomic_fractions_linear_files/Yang_linear_img/110625853.jpg", "110625853")</f>
        <v>110625853</v>
      </c>
      <c r="C8470" s="3" t="str">
        <f>HYPERLINK("http://www.ncbi.nlm.nih.gov/protein/110625853","Zfyve1")</f>
        <v>Zfyve1</v>
      </c>
      <c r="E8470" t="str">
        <f>HYPERLINK("J:\Depot - mpkCCD Fractions\Main Web Page\Web Pages_old\proteomic_fractions_linear_files/Yang_linear_img/110625853.jpg","show blot")</f>
        <v>show blot</v>
      </c>
      <c r="G8470" t="s">
        <v>8217</v>
      </c>
      <c r="I8470" s="6">
        <v>2.8867201607396322</v>
      </c>
      <c r="K8470" s="8"/>
    </row>
    <row r="8471" spans="1:11" ht="15" x14ac:dyDescent="0.25">
      <c r="A8471" s="3" t="str">
        <f>HYPERLINK("proteomic_fractions_linear_files/Yang_linear_img/258679475.jpg", "258679475")</f>
        <v>258679475</v>
      </c>
      <c r="C8471" s="3" t="str">
        <f>HYPERLINK("http://www.ncbi.nlm.nih.gov/protein/258679475","Zfyve19")</f>
        <v>Zfyve19</v>
      </c>
      <c r="E8471" t="str">
        <f>HYPERLINK("J:\Depot - mpkCCD Fractions\Main Web Page\Web Pages_old\proteomic_fractions_linear_files/Yang_linear_img/258679475.jpg","show blot")</f>
        <v>show blot</v>
      </c>
      <c r="G8471" t="s">
        <v>8218</v>
      </c>
      <c r="I8471" s="6">
        <v>4.2275858986335093</v>
      </c>
      <c r="K8471" s="8"/>
    </row>
    <row r="8472" spans="1:11" ht="15" x14ac:dyDescent="0.25">
      <c r="A8472" s="3" t="str">
        <f>HYPERLINK("proteomic_fractions_linear_files/Yang_linear_img/258679477.jpg", "258679477")</f>
        <v>258679477</v>
      </c>
      <c r="C8472" s="3" t="str">
        <f>HYPERLINK("http://www.ncbi.nlm.nih.gov/protein/258679477","Zfyve19")</f>
        <v>Zfyve19</v>
      </c>
      <c r="E8472" t="str">
        <f>HYPERLINK("J:\Depot - mpkCCD Fractions\Main Web Page\Web Pages_old\proteomic_fractions_linear_files/Yang_linear_img/258679477.jpg","show blot")</f>
        <v>show blot</v>
      </c>
      <c r="G8472" t="s">
        <v>8219</v>
      </c>
      <c r="I8472" s="6">
        <v>4.2275858986335093</v>
      </c>
      <c r="K8472" s="8"/>
    </row>
    <row r="8473" spans="1:11" ht="15" x14ac:dyDescent="0.25">
      <c r="A8473" s="3" t="str">
        <f>HYPERLINK("proteomic_fractions_linear_files/Yang_linear_img/31541996.jpg", "31541996")</f>
        <v>31541996</v>
      </c>
      <c r="C8473" s="3" t="str">
        <f>HYPERLINK("http://www.ncbi.nlm.nih.gov/protein/31541996","Zfyve20")</f>
        <v>Zfyve20</v>
      </c>
      <c r="E8473" t="str">
        <f>HYPERLINK("J:\Depot - mpkCCD Fractions\Main Web Page\Web Pages_old\proteomic_fractions_linear_files/Yang_linear_img/31541996.jpg","show blot")</f>
        <v>show blot</v>
      </c>
      <c r="G8473" t="s">
        <v>8220</v>
      </c>
      <c r="I8473" s="6">
        <v>3.2735751358377607</v>
      </c>
      <c r="K8473" s="8"/>
    </row>
    <row r="8474" spans="1:11" ht="15" x14ac:dyDescent="0.25">
      <c r="A8474" s="3" t="str">
        <f>HYPERLINK("proteomic_fractions_linear_files/Yang_linear_img/112818584.jpg", "112818584")</f>
        <v>112818584</v>
      </c>
      <c r="C8474" s="3" t="str">
        <f>HYPERLINK("http://www.ncbi.nlm.nih.gov/protein/112818584","Zfyve26")</f>
        <v>Zfyve26</v>
      </c>
      <c r="E8474" t="str">
        <f>HYPERLINK("J:\Depot - mpkCCD Fractions\Main Web Page\Web Pages_old\proteomic_fractions_linear_files/Yang_linear_img/112818584.jpg","show blot")</f>
        <v>show blot</v>
      </c>
      <c r="G8474" t="s">
        <v>8221</v>
      </c>
      <c r="I8474" s="6">
        <v>1.9999079136692517</v>
      </c>
      <c r="K8474" s="8"/>
    </row>
    <row r="8475" spans="1:11" ht="15" x14ac:dyDescent="0.25">
      <c r="A8475" s="3" t="str">
        <f>HYPERLINK("proteomic_fractions_linear_files/Yang_linear_img/40254321.jpg", "40254321")</f>
        <v>40254321</v>
      </c>
      <c r="C8475" s="3" t="str">
        <f>HYPERLINK("http://www.ncbi.nlm.nih.gov/protein/40254321","Zhx3")</f>
        <v>Zhx3</v>
      </c>
      <c r="E8475" t="str">
        <f>HYPERLINK("J:\Depot - mpkCCD Fractions\Main Web Page\Web Pages_old\proteomic_fractions_linear_files/Yang_linear_img/40254321.jpg","show blot")</f>
        <v>show blot</v>
      </c>
      <c r="G8475" t="s">
        <v>8222</v>
      </c>
      <c r="I8475" s="6">
        <v>3.5739364716592559</v>
      </c>
      <c r="K8475" s="8"/>
    </row>
    <row r="8476" spans="1:11" ht="15" x14ac:dyDescent="0.25">
      <c r="A8476" s="3" t="str">
        <f>HYPERLINK("proteomic_fractions_linear_files/Yang_linear_img/41053864.jpg", "41053864")</f>
        <v>41053864</v>
      </c>
      <c r="C8476" s="3" t="str">
        <f>HYPERLINK("http://www.ncbi.nlm.nih.gov/protein/41053864","Zmiz1")</f>
        <v>Zmiz1</v>
      </c>
      <c r="E8476" t="str">
        <f>HYPERLINK("J:\Depot - mpkCCD Fractions\Main Web Page\Web Pages_old\proteomic_fractions_linear_files/Yang_linear_img/41053864.jpg","show blot")</f>
        <v>show blot</v>
      </c>
      <c r="G8476" t="s">
        <v>8223</v>
      </c>
      <c r="I8476" s="6">
        <v>4.3479031040662415</v>
      </c>
      <c r="K8476" s="8"/>
    </row>
    <row r="8477" spans="1:11" ht="15" x14ac:dyDescent="0.25">
      <c r="A8477" s="3" t="str">
        <f>HYPERLINK("proteomic_fractions_linear_files/Yang_linear_img/27370012.jpg", "27370012")</f>
        <v>27370012</v>
      </c>
      <c r="C8477" s="3" t="str">
        <f>HYPERLINK("http://www.ncbi.nlm.nih.gov/protein/27370012","Zmpste24")</f>
        <v>Zmpste24</v>
      </c>
      <c r="E8477" t="str">
        <f>HYPERLINK("J:\Depot - mpkCCD Fractions\Main Web Page\Web Pages_old\proteomic_fractions_linear_files/Yang_linear_img/27370012.jpg","show blot")</f>
        <v>show blot</v>
      </c>
      <c r="G8477" t="s">
        <v>8224</v>
      </c>
      <c r="I8477" s="6">
        <v>3.5058599627727589</v>
      </c>
      <c r="K8477" s="8"/>
    </row>
    <row r="8478" spans="1:11" ht="15" x14ac:dyDescent="0.25">
      <c r="A8478" s="3" t="str">
        <f>HYPERLINK("proteomic_fractions_linear_files/Yang_linear_img/37595742.jpg", "37595742")</f>
        <v>37595742</v>
      </c>
      <c r="C8478" s="3" t="str">
        <f>HYPERLINK("http://www.ncbi.nlm.nih.gov/protein/37595742","Zmym2")</f>
        <v>Zmym2</v>
      </c>
      <c r="E8478" t="str">
        <f>HYPERLINK("J:\Depot - mpkCCD Fractions\Main Web Page\Web Pages_old\proteomic_fractions_linear_files/Yang_linear_img/37595742.jpg","show blot")</f>
        <v>show blot</v>
      </c>
      <c r="G8478" t="s">
        <v>8225</v>
      </c>
      <c r="I8478" s="6">
        <v>2.8427467345147184</v>
      </c>
      <c r="K8478" s="8"/>
    </row>
    <row r="8479" spans="1:11" ht="15" x14ac:dyDescent="0.25">
      <c r="A8479" s="3" t="str">
        <f>HYPERLINK("proteomic_fractions_linear_files/Yang_linear_img/359279940.jpg", "359279940")</f>
        <v>359279940</v>
      </c>
      <c r="C8479" s="3" t="str">
        <f>HYPERLINK("http://www.ncbi.nlm.nih.gov/protein/359279940","Zmym5")</f>
        <v>Zmym5</v>
      </c>
      <c r="E8479" t="str">
        <f>HYPERLINK("J:\Depot - mpkCCD Fractions\Main Web Page\Web Pages_old\proteomic_fractions_linear_files/Yang_linear_img/359279940.jpg","show blot")</f>
        <v>show blot</v>
      </c>
      <c r="G8479" t="s">
        <v>8226</v>
      </c>
      <c r="I8479" s="6">
        <v>3.4146014580765467</v>
      </c>
      <c r="K8479" s="8"/>
    </row>
    <row r="8480" spans="1:11" ht="15" x14ac:dyDescent="0.25">
      <c r="A8480" s="3" t="str">
        <f>HYPERLINK("proteomic_fractions_linear_files/Yang_linear_img/124487311.jpg", "124487311")</f>
        <v>124487311</v>
      </c>
      <c r="C8480" s="3" t="str">
        <f>HYPERLINK("http://www.ncbi.nlm.nih.gov/protein/124487311","Znfx1")</f>
        <v>Znfx1</v>
      </c>
      <c r="E8480" t="str">
        <f>HYPERLINK("J:\Depot - mpkCCD Fractions\Main Web Page\Web Pages_old\proteomic_fractions_linear_files/Yang_linear_img/124487311.jpg","show blot")</f>
        <v>show blot</v>
      </c>
      <c r="G8480" t="s">
        <v>8227</v>
      </c>
      <c r="I8480" s="6">
        <v>3.1638187337800718</v>
      </c>
      <c r="K8480" s="8"/>
    </row>
    <row r="8481" spans="1:11" ht="15" x14ac:dyDescent="0.25">
      <c r="A8481" s="3" t="str">
        <f>HYPERLINK("proteomic_fractions_linear_files/Yang_linear_img/124487366.jpg", "124487366")</f>
        <v>124487366</v>
      </c>
      <c r="C8481" s="3" t="str">
        <f>HYPERLINK("http://www.ncbi.nlm.nih.gov/protein/124487366","Znhit6")</f>
        <v>Znhit6</v>
      </c>
      <c r="E8481" t="str">
        <f>HYPERLINK("J:\Depot - mpkCCD Fractions\Main Web Page\Web Pages_old\proteomic_fractions_linear_files/Yang_linear_img/124487366.jpg","show blot")</f>
        <v>show blot</v>
      </c>
      <c r="G8481" t="s">
        <v>8228</v>
      </c>
      <c r="I8481" s="6">
        <v>3.5747619376231041</v>
      </c>
      <c r="K8481" s="8"/>
    </row>
    <row r="8482" spans="1:11" ht="15" x14ac:dyDescent="0.25">
      <c r="A8482" s="3" t="str">
        <f>HYPERLINK("proteomic_fractions_linear_files/Yang_linear_img/74315981.jpg", "74315981")</f>
        <v>74315981</v>
      </c>
      <c r="C8482" s="3" t="str">
        <f>HYPERLINK("http://www.ncbi.nlm.nih.gov/protein/74315981","Zranb2")</f>
        <v>Zranb2</v>
      </c>
      <c r="E8482" t="str">
        <f>HYPERLINK("J:\Depot - mpkCCD Fractions\Main Web Page\Web Pages_old\proteomic_fractions_linear_files/Yang_linear_img/74315981.jpg","show blot")</f>
        <v>show blot</v>
      </c>
      <c r="G8482" t="s">
        <v>8229</v>
      </c>
      <c r="I8482" s="6">
        <v>5.3162324371122978</v>
      </c>
      <c r="K8482" s="8"/>
    </row>
    <row r="8483" spans="1:11" ht="15" x14ac:dyDescent="0.25">
      <c r="A8483" s="3" t="str">
        <f>HYPERLINK("proteomic_fractions_linear_files/Yang_linear_img/124430705.jpg", "124430705")</f>
        <v>124430705</v>
      </c>
      <c r="C8483" s="3" t="str">
        <f>HYPERLINK("http://www.ncbi.nlm.nih.gov/protein/124430705","Zranb3")</f>
        <v>Zranb3</v>
      </c>
      <c r="E8483" t="str">
        <f>HYPERLINK("J:\Depot - mpkCCD Fractions\Main Web Page\Web Pages_old\proteomic_fractions_linear_files/Yang_linear_img/124430705.jpg","show blot")</f>
        <v>show blot</v>
      </c>
      <c r="G8483" t="s">
        <v>8230</v>
      </c>
      <c r="I8483" s="6">
        <v>0.69681112094137454</v>
      </c>
      <c r="K8483" s="8"/>
    </row>
    <row r="8484" spans="1:11" ht="15" x14ac:dyDescent="0.25">
      <c r="A8484" s="3" t="str">
        <f>HYPERLINK("proteomic_fractions_linear_files/Yang_linear_img/124430709.jpg", "124430709")</f>
        <v>124430709</v>
      </c>
      <c r="C8484" s="3" t="str">
        <f>HYPERLINK("http://www.ncbi.nlm.nih.gov/protein/124430709","Zswim8")</f>
        <v>Zswim8</v>
      </c>
      <c r="E8484" t="str">
        <f>HYPERLINK("J:\Depot - mpkCCD Fractions\Main Web Page\Web Pages_old\proteomic_fractions_linear_files/Yang_linear_img/124430709.jpg","show blot")</f>
        <v>show blot</v>
      </c>
      <c r="G8484" t="s">
        <v>8231</v>
      </c>
      <c r="I8484" s="6">
        <v>0.97116043696971321</v>
      </c>
      <c r="K8484" s="8"/>
    </row>
    <row r="8485" spans="1:11" ht="15" x14ac:dyDescent="0.25">
      <c r="A8485" s="3" t="str">
        <f>HYPERLINK("proteomic_fractions_linear_files/Yang_linear_img/355390253.jpg", "355390253")</f>
        <v>355390253</v>
      </c>
      <c r="C8485" s="3" t="str">
        <f>HYPERLINK("http://www.ncbi.nlm.nih.gov/protein/355390253","Zswim8")</f>
        <v>Zswim8</v>
      </c>
      <c r="E8485" t="str">
        <f>HYPERLINK("J:\Depot - mpkCCD Fractions\Main Web Page\Web Pages_old\proteomic_fractions_linear_files/Yang_linear_img/355390253.jpg","show blot")</f>
        <v>show blot</v>
      </c>
      <c r="G8485" t="s">
        <v>8232</v>
      </c>
      <c r="I8485" s="6">
        <v>0.97116043696971321</v>
      </c>
      <c r="K8485" s="8"/>
    </row>
    <row r="8486" spans="1:11" ht="15" x14ac:dyDescent="0.25">
      <c r="A8486" s="3" t="str">
        <f>HYPERLINK("proteomic_fractions_linear_files/Yang_linear_img/355390255.jpg", "355390255")</f>
        <v>355390255</v>
      </c>
      <c r="C8486" s="3" t="str">
        <f>HYPERLINK("http://www.ncbi.nlm.nih.gov/protein/355390255","Zswim8")</f>
        <v>Zswim8</v>
      </c>
      <c r="E8486" t="str">
        <f>HYPERLINK("J:\Depot - mpkCCD Fractions\Main Web Page\Web Pages_old\proteomic_fractions_linear_files/Yang_linear_img/355390255.jpg","show blot")</f>
        <v>show blot</v>
      </c>
      <c r="G8486" t="s">
        <v>8233</v>
      </c>
      <c r="I8486" s="6">
        <v>0.97116043696971321</v>
      </c>
      <c r="K8486" s="8"/>
    </row>
    <row r="8487" spans="1:11" ht="15" x14ac:dyDescent="0.25">
      <c r="A8487" s="3" t="str">
        <f>HYPERLINK("proteomic_fractions_linear_files/Yang_linear_img/22165349.jpg", "22165349")</f>
        <v>22165349</v>
      </c>
      <c r="C8487" s="3" t="str">
        <f>HYPERLINK("http://www.ncbi.nlm.nih.gov/protein/22165349","Zw10")</f>
        <v>Zw10</v>
      </c>
      <c r="E8487" t="str">
        <f>HYPERLINK("J:\Depot - mpkCCD Fractions\Main Web Page\Web Pages_old\proteomic_fractions_linear_files/Yang_linear_img/22165349.jpg","show blot")</f>
        <v>show blot</v>
      </c>
      <c r="G8487" t="s">
        <v>8234</v>
      </c>
      <c r="I8487" s="6">
        <v>3.8765697204408736</v>
      </c>
      <c r="K8487" s="8"/>
    </row>
    <row r="8488" spans="1:11" ht="15" x14ac:dyDescent="0.25">
      <c r="A8488" s="3" t="str">
        <f>HYPERLINK("proteomic_fractions_linear_files/Yang_linear_img/257153357.jpg", "257153357")</f>
        <v>257153357</v>
      </c>
      <c r="C8488" s="3" t="str">
        <f>HYPERLINK("http://www.ncbi.nlm.nih.gov/protein/257153357","Zwilch")</f>
        <v>Zwilch</v>
      </c>
      <c r="E8488" t="str">
        <f>HYPERLINK("J:\Depot - mpkCCD Fractions\Main Web Page\Web Pages_old\proteomic_fractions_linear_files/Yang_linear_img/257153357.jpg","show blot")</f>
        <v>show blot</v>
      </c>
      <c r="G8488" t="s">
        <v>8235</v>
      </c>
      <c r="I8488" s="6">
        <v>4.3027477192170185</v>
      </c>
      <c r="K8488" s="8"/>
    </row>
    <row r="8489" spans="1:11" ht="15" x14ac:dyDescent="0.25">
      <c r="A8489" s="3" t="str">
        <f>HYPERLINK("proteomic_fractions_linear_files/Yang_linear_img/21326440.jpg", "21326440")</f>
        <v>21326440</v>
      </c>
      <c r="C8489" s="3" t="str">
        <f>HYPERLINK("http://www.ncbi.nlm.nih.gov/protein/21326440","Zwint")</f>
        <v>Zwint</v>
      </c>
      <c r="E8489" t="str">
        <f>HYPERLINK("J:\Depot - mpkCCD Fractions\Main Web Page\Web Pages_old\proteomic_fractions_linear_files/Yang_linear_img/21326440.jpg","show blot")</f>
        <v>show blot</v>
      </c>
      <c r="G8489" t="s">
        <v>8236</v>
      </c>
      <c r="I8489" s="6">
        <v>4.2744227549115097</v>
      </c>
      <c r="K8489" s="8"/>
    </row>
    <row r="8490" spans="1:11" ht="15" x14ac:dyDescent="0.25">
      <c r="A8490" s="3" t="str">
        <f>HYPERLINK("proteomic_fractions_linear_files/Yang_linear_img/125490365.jpg", "125490365")</f>
        <v>125490365</v>
      </c>
      <c r="C8490" s="3" t="str">
        <f>HYPERLINK("http://www.ncbi.nlm.nih.gov/protein/125490365","Zxdb")</f>
        <v>Zxdb</v>
      </c>
      <c r="E8490" t="str">
        <f>HYPERLINK("J:\Depot - mpkCCD Fractions\Main Web Page\Web Pages_old\proteomic_fractions_linear_files/Yang_linear_img/125490365.jpg","show blot")</f>
        <v>show blot</v>
      </c>
      <c r="G8490" t="s">
        <v>8237</v>
      </c>
      <c r="I8490" s="6">
        <v>4.4581185838538353</v>
      </c>
      <c r="K8490" s="8"/>
    </row>
    <row r="8491" spans="1:11" ht="15" x14ac:dyDescent="0.25">
      <c r="A8491" s="3" t="str">
        <f>HYPERLINK("proteomic_fractions_linear_files/Yang_linear_img/158937319.jpg", "158937319")</f>
        <v>158937319</v>
      </c>
      <c r="C8491" s="3" t="str">
        <f>HYPERLINK("http://www.ncbi.nlm.nih.gov/protein/158937319","Zxdc")</f>
        <v>Zxdc</v>
      </c>
      <c r="E8491" t="str">
        <f>HYPERLINK("J:\Depot - mpkCCD Fractions\Main Web Page\Web Pages_old\proteomic_fractions_linear_files/Yang_linear_img/158937319.jpg","show blot")</f>
        <v>show blot</v>
      </c>
      <c r="G8491" t="s">
        <v>8238</v>
      </c>
      <c r="I8491" s="6">
        <v>4.5315475010123683</v>
      </c>
      <c r="K8491" s="8"/>
    </row>
    <row r="8492" spans="1:11" ht="15" x14ac:dyDescent="0.25">
      <c r="A8492" s="3" t="str">
        <f>HYPERLINK("proteomic_fractions_linear_files/Yang_linear_img/27370506.jpg", "27370506")</f>
        <v>27370506</v>
      </c>
      <c r="C8492" s="3" t="str">
        <f>HYPERLINK("http://www.ncbi.nlm.nih.gov/protein/27370506","Zxdc")</f>
        <v>Zxdc</v>
      </c>
      <c r="E8492" t="str">
        <f>HYPERLINK("J:\Depot - mpkCCD Fractions\Main Web Page\Web Pages_old\proteomic_fractions_linear_files/Yang_linear_img/27370506.jpg","show blot")</f>
        <v>show blot</v>
      </c>
      <c r="G8492" t="s">
        <v>8239</v>
      </c>
      <c r="I8492" s="6">
        <v>4.5315475010123683</v>
      </c>
      <c r="K8492" s="8"/>
    </row>
    <row r="8493" spans="1:11" ht="15" x14ac:dyDescent="0.25">
      <c r="A8493" s="3" t="str">
        <f>HYPERLINK("proteomic_fractions_linear_files/Yang_linear_img/6756085.jpg", "6756085")</f>
        <v>6756085</v>
      </c>
      <c r="C8493" s="3" t="str">
        <f>HYPERLINK("http://www.ncbi.nlm.nih.gov/protein/6756085","Zyx")</f>
        <v>Zyx</v>
      </c>
      <c r="E8493" t="str">
        <f>HYPERLINK("J:\Depot - mpkCCD Fractions\Main Web Page\Web Pages_old\proteomic_fractions_linear_files/Yang_linear_img/6756085.jpg","show blot")</f>
        <v>show blot</v>
      </c>
      <c r="G8493" t="s">
        <v>8240</v>
      </c>
      <c r="I8493" s="6">
        <v>4.9944233578659558</v>
      </c>
      <c r="K8493" s="8"/>
    </row>
    <row r="8494" spans="1:11" ht="15" x14ac:dyDescent="0.25">
      <c r="A8494" s="3" t="str">
        <f>HYPERLINK("proteomic_fractions_linear_files/Yang_linear_img/113865905.jpg", "113865905")</f>
        <v>113865905</v>
      </c>
      <c r="C8494" s="3" t="str">
        <f>HYPERLINK("http://www.ncbi.nlm.nih.gov/protein/113865905","Zzef1")</f>
        <v>Zzef1</v>
      </c>
      <c r="E8494" t="str">
        <f>HYPERLINK("J:\Depot - mpkCCD Fractions\Main Web Page\Web Pages_old\proteomic_fractions_linear_files/Yang_linear_img/113865905.jpg","show blot")</f>
        <v>show blot</v>
      </c>
      <c r="G8494" t="s">
        <v>8241</v>
      </c>
      <c r="I8494" s="6">
        <v>3.4860180608762352</v>
      </c>
      <c r="K8494" s="8"/>
    </row>
    <row r="8495" spans="1:11" ht="15" x14ac:dyDescent="0.25">
      <c r="A8495" s="3" t="str">
        <f>HYPERLINK("proteomic_fractions_linear_files/Yang_linear_img/126090572.jpg", "126090572")</f>
        <v>126090572</v>
      </c>
      <c r="C8495" s="3" t="str">
        <f>HYPERLINK("http://www.ncbi.nlm.nih.gov/protein/126090572","A230046K03Rik")</f>
        <v>A230046K03Rik</v>
      </c>
      <c r="E8495" t="str">
        <f>HYPERLINK("J:\Depot - mpkCCD Fractions\Main Web Page\Web Pages_old\proteomic_fractions_linear_files/Yang_linear_img/126090572.jpg","show blot")</f>
        <v>show blot</v>
      </c>
      <c r="G8495" t="s">
        <v>8242</v>
      </c>
      <c r="I8495" s="6">
        <v>4.3327835087473012</v>
      </c>
      <c r="K8495" s="8"/>
    </row>
    <row r="8496" spans="1:11" ht="15" x14ac:dyDescent="0.25">
      <c r="A8496" s="3" t="str">
        <f>HYPERLINK("proteomic_fractions_linear_files/Yang_linear_img/25072201.jpg", "25072201")</f>
        <v>25072201</v>
      </c>
      <c r="C8496" s="3" t="str">
        <f>HYPERLINK("http://www.ncbi.nlm.nih.gov/protein/25072201","A630007B06Rik")</f>
        <v>A630007B06Rik</v>
      </c>
      <c r="E8496" t="str">
        <f>HYPERLINK("J:\Depot - mpkCCD Fractions\Main Web Page\Web Pages_old\proteomic_fractions_linear_files/Yang_linear_img/25072201.jpg","show blot")</f>
        <v>show blot</v>
      </c>
      <c r="G8496" t="s">
        <v>8243</v>
      </c>
      <c r="I8496" s="6">
        <v>4.2329648542662701</v>
      </c>
      <c r="K8496" s="8"/>
    </row>
    <row r="8497" spans="1:11" ht="15" x14ac:dyDescent="0.25">
      <c r="A8497" s="3" t="str">
        <f>HYPERLINK("proteomic_fractions_linear_files/Yang_linear_img/440546392.jpg", "440546392")</f>
        <v>440546392</v>
      </c>
      <c r="C8497" s="3" t="str">
        <f>HYPERLINK("http://www.ncbi.nlm.nih.gov/protein/440546392","AA414768")</f>
        <v>AA414768</v>
      </c>
      <c r="E8497" t="str">
        <f>HYPERLINK("J:\Depot - mpkCCD Fractions\Main Web Page\Web Pages_old\proteomic_fractions_linear_files/Yang_linear_img/440546392.jpg","show blot")</f>
        <v>show blot</v>
      </c>
      <c r="G8497" t="s">
        <v>8244</v>
      </c>
      <c r="I8497" s="6">
        <v>4.120844398437753</v>
      </c>
      <c r="K8497" s="8"/>
    </row>
    <row r="8498" spans="1:11" ht="15" x14ac:dyDescent="0.25">
      <c r="A8498" s="3" t="str">
        <f>HYPERLINK("proteomic_fractions_linear_files/Yang_linear_img/162417980.jpg", "162417980")</f>
        <v>162417980</v>
      </c>
      <c r="C8498" s="3" t="str">
        <f>HYPERLINK("http://www.ncbi.nlm.nih.gov/protein/162417980","AA986860")</f>
        <v>AA986860</v>
      </c>
      <c r="E8498" t="str">
        <f>HYPERLINK("J:\Depot - mpkCCD Fractions\Main Web Page\Web Pages_old\proteomic_fractions_linear_files/Yang_linear_img/162417980.jpg","show blot")</f>
        <v>show blot</v>
      </c>
      <c r="G8498" t="s">
        <v>8245</v>
      </c>
      <c r="I8498" s="6">
        <v>3.5515794787524189</v>
      </c>
      <c r="K8498" s="8"/>
    </row>
    <row r="8499" spans="1:11" ht="15" x14ac:dyDescent="0.25">
      <c r="A8499" s="3" t="str">
        <f>HYPERLINK("proteomic_fractions_linear_files/Yang_linear_img/10946822.jpg", "10946822")</f>
        <v>10946822</v>
      </c>
      <c r="C8499" s="3" t="str">
        <f>HYPERLINK("http://www.ncbi.nlm.nih.gov/protein/10946822","0610007P14Rik")</f>
        <v>0610007P14Rik</v>
      </c>
      <c r="E8499" t="str">
        <f>HYPERLINK("J:\Depot - mpkCCD Fractions\Main Web Page\Web Pages_old\proteomic_fractions_linear_files/Yang_linear_img/10946822.jpg","show blot")</f>
        <v>show blot</v>
      </c>
      <c r="G8499" t="s">
        <v>8246</v>
      </c>
      <c r="I8499" s="6">
        <v>5.0635573416636754</v>
      </c>
      <c r="K8499" s="8"/>
    </row>
    <row r="8500" spans="1:11" ht="15" x14ac:dyDescent="0.25">
      <c r="A8500" s="3" t="str">
        <f>HYPERLINK("proteomic_fractions_linear_files/Yang_linear_img/13384686.jpg", "13384686")</f>
        <v>13384686</v>
      </c>
      <c r="C8500" s="3" t="str">
        <f>HYPERLINK("http://www.ncbi.nlm.nih.gov/protein/13384686","0610009B22Rik")</f>
        <v>0610009B22Rik</v>
      </c>
      <c r="E8500" t="str">
        <f>HYPERLINK("J:\Depot - mpkCCD Fractions\Main Web Page\Web Pages_old\proteomic_fractions_linear_files/Yang_linear_img/13384686.jpg","show blot")</f>
        <v>show blot</v>
      </c>
      <c r="G8500" t="s">
        <v>8247</v>
      </c>
      <c r="I8500" s="6">
        <v>4.9445919524107147</v>
      </c>
      <c r="K8500" s="8"/>
    </row>
    <row r="8501" spans="1:11" ht="15" x14ac:dyDescent="0.25">
      <c r="A8501" s="3" t="str">
        <f>HYPERLINK("proteomic_fractions_linear_files/Yang_linear_img/13384692.jpg", "13384692")</f>
        <v>13384692</v>
      </c>
      <c r="C8501" s="3" t="str">
        <f>HYPERLINK("http://www.ncbi.nlm.nih.gov/protein/13384692","0610009D07Rik")</f>
        <v>0610009D07Rik</v>
      </c>
      <c r="E8501" t="str">
        <f>HYPERLINK("J:\Depot - mpkCCD Fractions\Main Web Page\Web Pages_old\proteomic_fractions_linear_files/Yang_linear_img/13384692.jpg","show blot")</f>
        <v>show blot</v>
      </c>
      <c r="G8501" t="s">
        <v>8248</v>
      </c>
      <c r="I8501" s="7" t="s">
        <v>8360</v>
      </c>
      <c r="K8501" s="8"/>
    </row>
    <row r="8502" spans="1:11" ht="15" x14ac:dyDescent="0.25">
      <c r="A8502" s="3" t="str">
        <f>HYPERLINK("proteomic_fractions_linear_files/Yang_linear_img/117956375.jpg", "117956375")</f>
        <v>117956375</v>
      </c>
      <c r="C8502" s="3" t="str">
        <f>HYPERLINK("http://www.ncbi.nlm.nih.gov/protein/117956375","0610010F05Rik")</f>
        <v>0610010F05Rik</v>
      </c>
      <c r="E8502" t="str">
        <f>HYPERLINK("J:\Depot - mpkCCD Fractions\Main Web Page\Web Pages_old\proteomic_fractions_linear_files/Yang_linear_img/117956375.jpg","show blot")</f>
        <v>show blot</v>
      </c>
      <c r="G8502" t="s">
        <v>8249</v>
      </c>
      <c r="I8502" s="6">
        <v>2.3051153327043705</v>
      </c>
      <c r="K8502" s="8"/>
    </row>
    <row r="8503" spans="1:11" ht="15" x14ac:dyDescent="0.25">
      <c r="A8503" s="3" t="str">
        <f>HYPERLINK("proteomic_fractions_linear_files/Yang_linear_img/21389318.jpg", "21389318")</f>
        <v>21389318</v>
      </c>
      <c r="C8503" s="3" t="str">
        <f>HYPERLINK("http://www.ncbi.nlm.nih.gov/protein/21389318","0610010K14Rik")</f>
        <v>0610010K14Rik</v>
      </c>
      <c r="E8503" t="str">
        <f>HYPERLINK("J:\Depot - mpkCCD Fractions\Main Web Page\Web Pages_old\proteomic_fractions_linear_files/Yang_linear_img/21389318.jpg","show blot")</f>
        <v>show blot</v>
      </c>
      <c r="G8503" t="s">
        <v>8250</v>
      </c>
      <c r="I8503" s="6">
        <v>4.5690445698000284</v>
      </c>
      <c r="K8503" s="8"/>
    </row>
    <row r="8504" spans="1:11" ht="15" x14ac:dyDescent="0.25">
      <c r="A8504" s="3" t="str">
        <f>HYPERLINK("proteomic_fractions_linear_files/Yang_linear_img/294862278.jpg", "294862278")</f>
        <v>294862278</v>
      </c>
      <c r="C8504" s="3" t="str">
        <f>HYPERLINK("http://www.ncbi.nlm.nih.gov/protein/294862278","0610010K14Rik")</f>
        <v>0610010K14Rik</v>
      </c>
      <c r="E8504" t="str">
        <f>HYPERLINK("J:\Depot - mpkCCD Fractions\Main Web Page\Web Pages_old\proteomic_fractions_linear_files/Yang_linear_img/294862278.jpg","show blot")</f>
        <v>show blot</v>
      </c>
      <c r="G8504" t="s">
        <v>8251</v>
      </c>
      <c r="I8504" s="6">
        <v>4.5690445698000284</v>
      </c>
      <c r="K8504" s="8"/>
    </row>
    <row r="8505" spans="1:11" ht="15" x14ac:dyDescent="0.25">
      <c r="A8505" s="3" t="str">
        <f>HYPERLINK("proteomic_fractions_linear_files/Yang_linear_img/294862282.jpg", "294862282")</f>
        <v>294862282</v>
      </c>
      <c r="C8505" s="3" t="str">
        <f>HYPERLINK("http://www.ncbi.nlm.nih.gov/protein/294862282","0610010K14Rik")</f>
        <v>0610010K14Rik</v>
      </c>
      <c r="E8505" t="str">
        <f>HYPERLINK("J:\Depot - mpkCCD Fractions\Main Web Page\Web Pages_old\proteomic_fractions_linear_files/Yang_linear_img/294862282.jpg","show blot")</f>
        <v>show blot</v>
      </c>
      <c r="G8505" t="s">
        <v>8252</v>
      </c>
      <c r="I8505" s="6">
        <v>4.5690445698000284</v>
      </c>
      <c r="K8505" s="8"/>
    </row>
    <row r="8506" spans="1:11" ht="15" x14ac:dyDescent="0.25">
      <c r="A8506" s="3" t="str">
        <f>HYPERLINK("proteomic_fractions_linear_files/Yang_linear_img/294862289.jpg", "294862289")</f>
        <v>294862289</v>
      </c>
      <c r="C8506" s="3" t="str">
        <f>HYPERLINK("http://www.ncbi.nlm.nih.gov/protein/294862289","0610010K14Rik")</f>
        <v>0610010K14Rik</v>
      </c>
      <c r="E8506" t="str">
        <f>HYPERLINK("J:\Depot - mpkCCD Fractions\Main Web Page\Web Pages_old\proteomic_fractions_linear_files/Yang_linear_img/294862289.jpg","show blot")</f>
        <v>show blot</v>
      </c>
      <c r="G8506" t="s">
        <v>8253</v>
      </c>
      <c r="I8506" s="6">
        <v>4.5690445698000284</v>
      </c>
      <c r="K8506" s="8"/>
    </row>
    <row r="8507" spans="1:11" ht="15" x14ac:dyDescent="0.25">
      <c r="A8507" s="3" t="str">
        <f>HYPERLINK("proteomic_fractions_linear_files/Yang_linear_img/294862292.jpg", "294862292")</f>
        <v>294862292</v>
      </c>
      <c r="C8507" s="3" t="str">
        <f>HYPERLINK("http://www.ncbi.nlm.nih.gov/protein/294862292","0610010K14Rik")</f>
        <v>0610010K14Rik</v>
      </c>
      <c r="E8507" t="str">
        <f>HYPERLINK("J:\Depot - mpkCCD Fractions\Main Web Page\Web Pages_old\proteomic_fractions_linear_files/Yang_linear_img/294862292.jpg","show blot")</f>
        <v>show blot</v>
      </c>
      <c r="G8507" t="s">
        <v>8254</v>
      </c>
      <c r="I8507" s="6">
        <v>4.5690445698000284</v>
      </c>
      <c r="K8507" s="8"/>
    </row>
    <row r="8508" spans="1:11" ht="15" x14ac:dyDescent="0.25">
      <c r="A8508" s="3" t="str">
        <f>HYPERLINK("proteomic_fractions_linear_files/Yang_linear_img/295054298.jpg", "295054298")</f>
        <v>295054298</v>
      </c>
      <c r="C8508" s="3" t="str">
        <f>HYPERLINK("http://www.ncbi.nlm.nih.gov/protein/295054298","0610010K14Rik")</f>
        <v>0610010K14Rik</v>
      </c>
      <c r="E8508" t="str">
        <f>HYPERLINK("J:\Depot - mpkCCD Fractions\Main Web Page\Web Pages_old\proteomic_fractions_linear_files/Yang_linear_img/295054298.jpg","show blot")</f>
        <v>show blot</v>
      </c>
      <c r="G8508" t="s">
        <v>8255</v>
      </c>
      <c r="I8508" s="6">
        <v>4.5690445698000284</v>
      </c>
      <c r="K8508" s="8"/>
    </row>
    <row r="8509" spans="1:11" ht="15" x14ac:dyDescent="0.25">
      <c r="A8509" s="3" t="str">
        <f>HYPERLINK("proteomic_fractions_linear_files/Yang_linear_img/58037115.jpg", "58037115")</f>
        <v>58037115</v>
      </c>
      <c r="C8509" s="3" t="str">
        <f>HYPERLINK("http://www.ncbi.nlm.nih.gov/protein/58037115","0610011F06Rik")</f>
        <v>0610011F06Rik</v>
      </c>
      <c r="E8509" t="str">
        <f>HYPERLINK("J:\Depot - mpkCCD Fractions\Main Web Page\Web Pages_old\proteomic_fractions_linear_files/Yang_linear_img/58037115.jpg","show blot")</f>
        <v>show blot</v>
      </c>
      <c r="G8509" t="s">
        <v>8256</v>
      </c>
      <c r="I8509" s="6">
        <v>5.0780060406966783</v>
      </c>
      <c r="K8509" s="8"/>
    </row>
    <row r="8510" spans="1:11" ht="15" x14ac:dyDescent="0.25">
      <c r="A8510" s="3" t="str">
        <f>HYPERLINK("proteomic_fractions_linear_files/Yang_linear_img/9910458.jpg", "9910458")</f>
        <v>9910458</v>
      </c>
      <c r="C8510" s="3" t="str">
        <f>HYPERLINK("http://www.ncbi.nlm.nih.gov/protein/9910458","0610031J06Rik")</f>
        <v>0610031J06Rik</v>
      </c>
      <c r="E8510" t="str">
        <f>HYPERLINK("J:\Depot - mpkCCD Fractions\Main Web Page\Web Pages_old\proteomic_fractions_linear_files/Yang_linear_img/9910458.jpg","show blot")</f>
        <v>show blot</v>
      </c>
      <c r="G8510" t="s">
        <v>8257</v>
      </c>
      <c r="I8510" s="6">
        <v>3.2154880234836924</v>
      </c>
      <c r="K8510" s="8"/>
    </row>
    <row r="8511" spans="1:11" ht="15" x14ac:dyDescent="0.25">
      <c r="A8511" s="3" t="str">
        <f>HYPERLINK("proteomic_fractions_linear_files/Yang_linear_img/21539639.jpg", "21539639")</f>
        <v>21539639</v>
      </c>
      <c r="C8511" s="3" t="str">
        <f>HYPERLINK("http://www.ncbi.nlm.nih.gov/protein/21539639","0610037L13Rik")</f>
        <v>0610037L13Rik</v>
      </c>
      <c r="E8511" t="str">
        <f>HYPERLINK("J:\Depot - mpkCCD Fractions\Main Web Page\Web Pages_old\proteomic_fractions_linear_files/Yang_linear_img/21539639.jpg","show blot")</f>
        <v>show blot</v>
      </c>
      <c r="G8511" t="s">
        <v>8258</v>
      </c>
      <c r="I8511" s="6">
        <v>5.2545179061513734</v>
      </c>
      <c r="K8511" s="8"/>
    </row>
    <row r="8512" spans="1:11" ht="15" x14ac:dyDescent="0.25">
      <c r="A8512" s="3" t="str">
        <f>HYPERLINK("proteomic_fractions_linear_files/Yang_linear_img/294345426.jpg", "294345426")</f>
        <v>294345426</v>
      </c>
      <c r="C8512" s="3" t="str">
        <f>HYPERLINK("http://www.ncbi.nlm.nih.gov/protein/294345426","1110001A16Rik")</f>
        <v>1110001A16Rik</v>
      </c>
      <c r="E8512" t="str">
        <f>HYPERLINK("J:\Depot - mpkCCD Fractions\Main Web Page\Web Pages_old\proteomic_fractions_linear_files/Yang_linear_img/294345426.jpg","show blot")</f>
        <v>show blot</v>
      </c>
      <c r="G8512" t="s">
        <v>8259</v>
      </c>
      <c r="I8512" s="6">
        <v>3.7239370533413889</v>
      </c>
      <c r="K8512" s="8"/>
    </row>
    <row r="8513" spans="1:11" ht="15" x14ac:dyDescent="0.25">
      <c r="A8513" s="3" t="str">
        <f>HYPERLINK("proteomic_fractions_linear_files/Yang_linear_img/13384728.jpg", "13384728")</f>
        <v>13384728</v>
      </c>
      <c r="C8513" s="3" t="str">
        <f>HYPERLINK("http://www.ncbi.nlm.nih.gov/protein/13384728","1110001J03Rik")</f>
        <v>1110001J03Rik</v>
      </c>
      <c r="E8513" t="str">
        <f>HYPERLINK("J:\Depot - mpkCCD Fractions\Main Web Page\Web Pages_old\proteomic_fractions_linear_files/Yang_linear_img/13384728.jpg","show blot")</f>
        <v>show blot</v>
      </c>
      <c r="G8513" t="s">
        <v>8260</v>
      </c>
      <c r="I8513" s="6">
        <v>3.5719916751706391</v>
      </c>
      <c r="K8513" s="8"/>
    </row>
    <row r="8514" spans="1:11" ht="15" x14ac:dyDescent="0.25">
      <c r="A8514" s="3" t="str">
        <f>HYPERLINK("proteomic_fractions_linear_files/Yang_linear_img/9790217.jpg", "9790217")</f>
        <v>9790217</v>
      </c>
      <c r="C8514" s="3" t="str">
        <f>HYPERLINK("http://www.ncbi.nlm.nih.gov/protein/9790217","1110004F10Rik")</f>
        <v>1110004F10Rik</v>
      </c>
      <c r="E8514" t="str">
        <f>HYPERLINK("J:\Depot - mpkCCD Fractions\Main Web Page\Web Pages_old\proteomic_fractions_linear_files/Yang_linear_img/9790217.jpg","show blot")</f>
        <v>show blot</v>
      </c>
      <c r="G8514" t="s">
        <v>8261</v>
      </c>
      <c r="I8514" s="6">
        <v>5.3527029287427483</v>
      </c>
      <c r="K8514" s="8"/>
    </row>
    <row r="8515" spans="1:11" ht="15" x14ac:dyDescent="0.25">
      <c r="A8515" s="3" t="str">
        <f>HYPERLINK("proteomic_fractions_linear_files/Yang_linear_img/21312030.jpg", "21312030")</f>
        <v>21312030</v>
      </c>
      <c r="C8515" s="3" t="str">
        <f>HYPERLINK("http://www.ncbi.nlm.nih.gov/protein/21312030","1110007C09Rik")</f>
        <v>1110007C09Rik</v>
      </c>
      <c r="E8515" t="str">
        <f>HYPERLINK("J:\Depot - mpkCCD Fractions\Main Web Page\Web Pages_old\proteomic_fractions_linear_files/Yang_linear_img/21312030.jpg","show blot")</f>
        <v>show blot</v>
      </c>
      <c r="G8515" t="s">
        <v>8262</v>
      </c>
      <c r="I8515" s="6">
        <v>4.1063465918713904</v>
      </c>
      <c r="K8515" s="8"/>
    </row>
    <row r="8516" spans="1:11" ht="15" x14ac:dyDescent="0.25">
      <c r="A8516" s="3" t="str">
        <f>HYPERLINK("proteomic_fractions_linear_files/Yang_linear_img/13385630.jpg", "13385630")</f>
        <v>13385630</v>
      </c>
      <c r="C8516" s="3" t="str">
        <f>HYPERLINK("http://www.ncbi.nlm.nih.gov/protein/13385630","1110008F13Rik")</f>
        <v>1110008F13Rik</v>
      </c>
      <c r="E8516" t="str">
        <f>HYPERLINK("J:\Depot - mpkCCD Fractions\Main Web Page\Web Pages_old\proteomic_fractions_linear_files/Yang_linear_img/13385630.jpg","show blot")</f>
        <v>show blot</v>
      </c>
      <c r="G8516" t="s">
        <v>8263</v>
      </c>
      <c r="I8516" s="6">
        <v>3.343256050110857</v>
      </c>
      <c r="K8516" s="8"/>
    </row>
    <row r="8517" spans="1:11" ht="15" x14ac:dyDescent="0.25">
      <c r="A8517" s="3" t="str">
        <f>HYPERLINK("proteomic_fractions_linear_files/Yang_linear_img/227908787.jpg", "227908787")</f>
        <v>227908787</v>
      </c>
      <c r="C8517" s="3" t="str">
        <f>HYPERLINK("http://www.ncbi.nlm.nih.gov/protein/227908787","1110008L16Rik")</f>
        <v>1110008L16Rik</v>
      </c>
      <c r="E8517" t="str">
        <f>HYPERLINK("J:\Depot - mpkCCD Fractions\Main Web Page\Web Pages_old\proteomic_fractions_linear_files/Yang_linear_img/227908787.jpg","show blot")</f>
        <v>show blot</v>
      </c>
      <c r="G8517" t="s">
        <v>8264</v>
      </c>
      <c r="I8517" s="6">
        <v>3.1192184954486311</v>
      </c>
      <c r="K8517" s="8"/>
    </row>
    <row r="8518" spans="1:11" ht="15" x14ac:dyDescent="0.25">
      <c r="A8518" s="3" t="str">
        <f>HYPERLINK("proteomic_fractions_linear_files/Yang_linear_img/21312070.jpg", "21312070")</f>
        <v>21312070</v>
      </c>
      <c r="C8518" s="3" t="str">
        <f>HYPERLINK("http://www.ncbi.nlm.nih.gov/protein/21312070","1110012L19Rik")</f>
        <v>1110012L19Rik</v>
      </c>
      <c r="E8518" t="str">
        <f>HYPERLINK("J:\Depot - mpkCCD Fractions\Main Web Page\Web Pages_old\proteomic_fractions_linear_files/Yang_linear_img/21312070.jpg","show blot")</f>
        <v>show blot</v>
      </c>
      <c r="G8518" t="s">
        <v>8265</v>
      </c>
      <c r="I8518" s="6">
        <v>3.7005078962126587</v>
      </c>
      <c r="K8518" s="8"/>
    </row>
    <row r="8519" spans="1:11" ht="15" x14ac:dyDescent="0.25">
      <c r="A8519" s="3" t="str">
        <f>HYPERLINK("proteomic_fractions_linear_files/Yang_linear_img/268370114.jpg", "268370114")</f>
        <v>268370114</v>
      </c>
      <c r="C8519" s="3" t="str">
        <f>HYPERLINK("http://www.ncbi.nlm.nih.gov/protein/268370114","1110057K04Rik")</f>
        <v>1110057K04Rik</v>
      </c>
      <c r="E8519" t="str">
        <f>HYPERLINK("J:\Depot - mpkCCD Fractions\Main Web Page\Web Pages_old\proteomic_fractions_linear_files/Yang_linear_img/268370114.jpg","show blot")</f>
        <v>show blot</v>
      </c>
      <c r="G8519" t="s">
        <v>8266</v>
      </c>
      <c r="I8519" s="6">
        <v>5.4147268851081902</v>
      </c>
      <c r="K8519" s="8"/>
    </row>
    <row r="8520" spans="1:11" ht="15" x14ac:dyDescent="0.25">
      <c r="A8520" s="3" t="str">
        <f>HYPERLINK("proteomic_fractions_linear_files/Yang_linear_img/268370116.jpg", "268370116")</f>
        <v>268370116</v>
      </c>
      <c r="C8520" s="3" t="str">
        <f>HYPERLINK("http://www.ncbi.nlm.nih.gov/protein/268370116","1110057K04Rik")</f>
        <v>1110057K04Rik</v>
      </c>
      <c r="E8520" t="str">
        <f>HYPERLINK("J:\Depot - mpkCCD Fractions\Main Web Page\Web Pages_old\proteomic_fractions_linear_files/Yang_linear_img/268370116.jpg","show blot")</f>
        <v>show blot</v>
      </c>
      <c r="G8520" t="s">
        <v>8267</v>
      </c>
      <c r="I8520" s="6">
        <v>5.4147268851081902</v>
      </c>
      <c r="K8520" s="8"/>
    </row>
    <row r="8521" spans="1:11" ht="15" x14ac:dyDescent="0.25">
      <c r="A8521" s="3" t="str">
        <f>HYPERLINK("proteomic_fractions_linear_files/Yang_linear_img/269995975.jpg", "269995975")</f>
        <v>269995975</v>
      </c>
      <c r="C8521" s="3" t="str">
        <f>HYPERLINK("http://www.ncbi.nlm.nih.gov/protein/269995975","1110057K04Rik")</f>
        <v>1110057K04Rik</v>
      </c>
      <c r="E8521" t="str">
        <f>HYPERLINK("J:\Depot - mpkCCD Fractions\Main Web Page\Web Pages_old\proteomic_fractions_linear_files/Yang_linear_img/269995975.jpg","show blot")</f>
        <v>show blot</v>
      </c>
      <c r="G8521" t="s">
        <v>8268</v>
      </c>
      <c r="I8521" s="6">
        <v>5.4147268851081902</v>
      </c>
      <c r="K8521" s="8"/>
    </row>
    <row r="8522" spans="1:11" ht="15" x14ac:dyDescent="0.25">
      <c r="A8522" s="3" t="str">
        <f>HYPERLINK("proteomic_fractions_linear_files/Yang_linear_img/229577372.jpg", "229577372")</f>
        <v>229577372</v>
      </c>
      <c r="C8522" s="3" t="str">
        <f>HYPERLINK("http://www.ncbi.nlm.nih.gov/protein/229577372","1110058L19Rik")</f>
        <v>1110058L19Rik</v>
      </c>
      <c r="E8522" t="str">
        <f>HYPERLINK("J:\Depot - mpkCCD Fractions\Main Web Page\Web Pages_old\proteomic_fractions_linear_files/Yang_linear_img/229577372.jpg","show blot")</f>
        <v>show blot</v>
      </c>
      <c r="G8522" t="s">
        <v>8269</v>
      </c>
      <c r="I8522" s="6">
        <v>3.1099778387137187</v>
      </c>
      <c r="K8522" s="8"/>
    </row>
    <row r="8523" spans="1:11" ht="15" x14ac:dyDescent="0.25">
      <c r="A8523" s="3" t="str">
        <f>HYPERLINK("proteomic_fractions_linear_files/Yang_linear_img/21312338.jpg", "21312338")</f>
        <v>21312338</v>
      </c>
      <c r="C8523" s="3" t="str">
        <f>HYPERLINK("http://www.ncbi.nlm.nih.gov/protein/21312338","1600014C10Rik")</f>
        <v>1600014C10Rik</v>
      </c>
      <c r="E8523" t="str">
        <f>HYPERLINK("J:\Depot - mpkCCD Fractions\Main Web Page\Web Pages_old\proteomic_fractions_linear_files/Yang_linear_img/21312338.jpg","show blot")</f>
        <v>show blot</v>
      </c>
      <c r="G8523" t="s">
        <v>8270</v>
      </c>
      <c r="I8523" s="6">
        <v>4.5013590366914791</v>
      </c>
      <c r="K8523" s="8"/>
    </row>
    <row r="8524" spans="1:11" ht="15" x14ac:dyDescent="0.25">
      <c r="A8524" s="3" t="str">
        <f>HYPERLINK("proteomic_fractions_linear_files/Yang_linear_img/253735769.jpg", "253735769")</f>
        <v>253735769</v>
      </c>
      <c r="C8524" s="3" t="str">
        <f>HYPERLINK("http://www.ncbi.nlm.nih.gov/protein/253735769","1600015I10Rik")</f>
        <v>1600015I10Rik</v>
      </c>
      <c r="E8524" t="str">
        <f>HYPERLINK("J:\Depot - mpkCCD Fractions\Main Web Page\Web Pages_old\proteomic_fractions_linear_files/Yang_linear_img/253735769.jpg","show blot")</f>
        <v>show blot</v>
      </c>
      <c r="G8524" t="s">
        <v>8271</v>
      </c>
      <c r="I8524" s="6">
        <v>3.4689964308582435</v>
      </c>
      <c r="K8524" s="8"/>
    </row>
    <row r="8525" spans="1:11" ht="15" x14ac:dyDescent="0.25">
      <c r="A8525" s="3" t="str">
        <f>HYPERLINK("proteomic_fractions_linear_files/Yang_linear_img/124487358.jpg", "124487358")</f>
        <v>124487358</v>
      </c>
      <c r="C8525" s="3" t="str">
        <f>HYPERLINK("http://www.ncbi.nlm.nih.gov/protein/124487358","1700009N14Rik")</f>
        <v>1700009N14Rik</v>
      </c>
      <c r="E8525" t="str">
        <f>HYPERLINK("J:\Depot - mpkCCD Fractions\Main Web Page\Web Pages_old\proteomic_fractions_linear_files/Yang_linear_img/124487358.jpg","show blot")</f>
        <v>show blot</v>
      </c>
      <c r="G8525" t="s">
        <v>8272</v>
      </c>
      <c r="I8525" s="6">
        <v>7.1775227020326993</v>
      </c>
      <c r="K8525" s="8"/>
    </row>
    <row r="8526" spans="1:11" ht="15" x14ac:dyDescent="0.25">
      <c r="A8526" s="3" t="str">
        <f>HYPERLINK("proteomic_fractions_linear_files/Yang_linear_img/254675147.jpg", "254675147")</f>
        <v>254675147</v>
      </c>
      <c r="C8526" s="3" t="str">
        <f>HYPERLINK("http://www.ncbi.nlm.nih.gov/protein/254675147","1700011E24Rik")</f>
        <v>1700011E24Rik</v>
      </c>
      <c r="E8526" t="str">
        <f>HYPERLINK("J:\Depot - mpkCCD Fractions\Main Web Page\Web Pages_old\proteomic_fractions_linear_files/Yang_linear_img/254675147.jpg","show blot")</f>
        <v>show blot</v>
      </c>
      <c r="G8526" t="s">
        <v>8273</v>
      </c>
      <c r="I8526" s="6">
        <v>4.8243248946152875</v>
      </c>
      <c r="K8526" s="8"/>
    </row>
    <row r="8527" spans="1:11" ht="15" x14ac:dyDescent="0.25">
      <c r="A8527" s="3" t="str">
        <f>HYPERLINK("proteomic_fractions_linear_files/Yang_linear_img/241982748.jpg", "241982748")</f>
        <v>241982748</v>
      </c>
      <c r="C8527" s="3" t="str">
        <f>HYPERLINK("http://www.ncbi.nlm.nih.gov/protein/241982748","1700011I03Rik")</f>
        <v>1700011I03Rik</v>
      </c>
      <c r="E8527" t="str">
        <f>HYPERLINK("J:\Depot - mpkCCD Fractions\Main Web Page\Web Pages_old\proteomic_fractions_linear_files/Yang_linear_img/241982748.jpg","show blot")</f>
        <v>show blot</v>
      </c>
      <c r="G8527" t="s">
        <v>8274</v>
      </c>
      <c r="I8527" s="6">
        <v>2.8881290890973625</v>
      </c>
      <c r="K8527" s="8"/>
    </row>
    <row r="8528" spans="1:11" ht="15" x14ac:dyDescent="0.25">
      <c r="A8528" s="3" t="str">
        <f>HYPERLINK("proteomic_fractions_linear_files/Yang_linear_img/21450635.jpg", "21450635")</f>
        <v>21450635</v>
      </c>
      <c r="C8528" s="3" t="str">
        <f>HYPERLINK("http://www.ncbi.nlm.nih.gov/protein/21450635","1700019D03Rik")</f>
        <v>1700019D03Rik</v>
      </c>
      <c r="E8528" t="str">
        <f>HYPERLINK("J:\Depot - mpkCCD Fractions\Main Web Page\Web Pages_old\proteomic_fractions_linear_files/Yang_linear_img/21450635.jpg","show blot")</f>
        <v>show blot</v>
      </c>
      <c r="G8528" t="s">
        <v>8275</v>
      </c>
      <c r="I8528" s="6">
        <v>3.6408926899947289</v>
      </c>
      <c r="K8528" s="8"/>
    </row>
    <row r="8529" spans="1:11" ht="15" x14ac:dyDescent="0.25">
      <c r="A8529" s="3" t="str">
        <f>HYPERLINK("proteomic_fractions_linear_files/Yang_linear_img/268607534.jpg", "268607534")</f>
        <v>268607534</v>
      </c>
      <c r="C8529" s="3" t="str">
        <f>HYPERLINK("http://www.ncbi.nlm.nih.gov/protein/268607534","1700020D05Rik")</f>
        <v>1700020D05Rik</v>
      </c>
      <c r="E8529" t="str">
        <f>HYPERLINK("J:\Depot - mpkCCD Fractions\Main Web Page\Web Pages_old\proteomic_fractions_linear_files/Yang_linear_img/268607534.jpg","show blot")</f>
        <v>show blot</v>
      </c>
      <c r="G8529" t="s">
        <v>8276</v>
      </c>
      <c r="I8529" s="6">
        <v>3.3740492969716276</v>
      </c>
      <c r="K8529" s="8"/>
    </row>
    <row r="8530" spans="1:11" ht="15" x14ac:dyDescent="0.25">
      <c r="A8530" s="3" t="str">
        <f>HYPERLINK("proteomic_fractions_linear_files/Yang_linear_img/13385904.jpg", "13385904")</f>
        <v>13385904</v>
      </c>
      <c r="C8530" s="3" t="str">
        <f>HYPERLINK("http://www.ncbi.nlm.nih.gov/protein/13385904","1700021F05Rik")</f>
        <v>1700021F05Rik</v>
      </c>
      <c r="E8530" t="str">
        <f>HYPERLINK("J:\Depot - mpkCCD Fractions\Main Web Page\Web Pages_old\proteomic_fractions_linear_files/Yang_linear_img/13385904.jpg","show blot")</f>
        <v>show blot</v>
      </c>
      <c r="G8530" t="s">
        <v>8277</v>
      </c>
      <c r="I8530" s="6">
        <v>4.1619105186477947</v>
      </c>
      <c r="K8530" s="8"/>
    </row>
    <row r="8531" spans="1:11" ht="15" x14ac:dyDescent="0.25">
      <c r="A8531" s="3" t="str">
        <f>HYPERLINK("proteomic_fractions_linear_files/Yang_linear_img/13385590.jpg", "13385590")</f>
        <v>13385590</v>
      </c>
      <c r="C8531" s="3" t="str">
        <f>HYPERLINK("http://www.ncbi.nlm.nih.gov/protein/13385590","1700037H04Rik")</f>
        <v>1700037H04Rik</v>
      </c>
      <c r="E8531" t="str">
        <f>HYPERLINK("J:\Depot - mpkCCD Fractions\Main Web Page\Web Pages_old\proteomic_fractions_linear_files/Yang_linear_img/13385590.jpg","show blot")</f>
        <v>show blot</v>
      </c>
      <c r="G8531" t="s">
        <v>8278</v>
      </c>
      <c r="I8531" s="6">
        <v>5.2357803147969415</v>
      </c>
      <c r="K8531" s="8"/>
    </row>
    <row r="8532" spans="1:11" ht="15" x14ac:dyDescent="0.25">
      <c r="A8532" s="3" t="str">
        <f>HYPERLINK("proteomic_fractions_linear_files/Yang_linear_img/90093343.jpg", "90093343")</f>
        <v>90093343</v>
      </c>
      <c r="C8532" s="3" t="str">
        <f>HYPERLINK("http://www.ncbi.nlm.nih.gov/protein/90093343","1700052N19Rik")</f>
        <v>1700052N19Rik</v>
      </c>
      <c r="E8532" t="str">
        <f>HYPERLINK("J:\Depot - mpkCCD Fractions\Main Web Page\Web Pages_old\proteomic_fractions_linear_files/Yang_linear_img/90093343.jpg","show blot")</f>
        <v>show blot</v>
      </c>
      <c r="G8532" t="s">
        <v>8279</v>
      </c>
      <c r="I8532" s="6">
        <v>4.5790296917138651</v>
      </c>
      <c r="K8532" s="8"/>
    </row>
    <row r="8533" spans="1:11" ht="15" x14ac:dyDescent="0.25">
      <c r="A8533" s="3" t="str">
        <f>HYPERLINK("proteomic_fractions_linear_files/Yang_linear_img/343098457.jpg", "343098457")</f>
        <v>343098457</v>
      </c>
      <c r="C8533" s="3" t="str">
        <f>HYPERLINK("http://www.ncbi.nlm.nih.gov/protein/343098457","1700055N04Rik")</f>
        <v>1700055N04Rik</v>
      </c>
      <c r="E8533" t="str">
        <f>HYPERLINK("J:\Depot - mpkCCD Fractions\Main Web Page\Web Pages_old\proteomic_fractions_linear_files/Yang_linear_img/343098457.jpg","show blot")</f>
        <v>show blot</v>
      </c>
      <c r="G8533" t="s">
        <v>8280</v>
      </c>
      <c r="I8533" s="6">
        <v>5.2311279180629242</v>
      </c>
      <c r="K8533" s="8"/>
    </row>
    <row r="8534" spans="1:11" ht="15" x14ac:dyDescent="0.25">
      <c r="A8534" s="3" t="str">
        <f>HYPERLINK("proteomic_fractions_linear_files/Yang_linear_img/85702063.jpg", "85702063")</f>
        <v>85702063</v>
      </c>
      <c r="C8534" s="3" t="str">
        <f>HYPERLINK("http://www.ncbi.nlm.nih.gov/protein/85702063","1700071K01Rik")</f>
        <v>1700071K01Rik</v>
      </c>
      <c r="E8534" t="str">
        <f>HYPERLINK("J:\Depot - mpkCCD Fractions\Main Web Page\Web Pages_old\proteomic_fractions_linear_files/Yang_linear_img/85702063.jpg","show blot")</f>
        <v>show blot</v>
      </c>
      <c r="G8534" t="s">
        <v>8281</v>
      </c>
      <c r="I8534" s="6">
        <v>6.2083894610144794</v>
      </c>
      <c r="K8534" s="8"/>
    </row>
    <row r="8535" spans="1:11" ht="15" x14ac:dyDescent="0.25">
      <c r="A8535" s="3" t="str">
        <f>HYPERLINK("proteomic_fractions_linear_files/Yang_linear_img/227500514.jpg", "227500514")</f>
        <v>227500514</v>
      </c>
      <c r="C8535" s="3" t="str">
        <f>HYPERLINK("http://www.ncbi.nlm.nih.gov/protein/227500514","1700080E11Rik")</f>
        <v>1700080E11Rik</v>
      </c>
      <c r="E8535" t="str">
        <f>HYPERLINK("J:\Depot - mpkCCD Fractions\Main Web Page\Web Pages_old\proteomic_fractions_linear_files/Yang_linear_img/227500514.jpg","show blot")</f>
        <v>show blot</v>
      </c>
      <c r="G8535" t="s">
        <v>8282</v>
      </c>
      <c r="I8535" s="6">
        <v>2.2500871670784739</v>
      </c>
      <c r="K8535" s="8"/>
    </row>
    <row r="8536" spans="1:11" ht="15" x14ac:dyDescent="0.25">
      <c r="A8536" s="3" t="str">
        <f>HYPERLINK("proteomic_fractions_linear_files/Yang_linear_img/13384876.jpg", "13384876")</f>
        <v>13384876</v>
      </c>
      <c r="C8536" s="3" t="str">
        <f>HYPERLINK("http://www.ncbi.nlm.nih.gov/protein/13384876","1810009A15Rik")</f>
        <v>1810009A15Rik</v>
      </c>
      <c r="E8536" t="str">
        <f>HYPERLINK("J:\Depot - mpkCCD Fractions\Main Web Page\Web Pages_old\proteomic_fractions_linear_files/Yang_linear_img/13384876.jpg","show blot")</f>
        <v>show blot</v>
      </c>
      <c r="G8536" t="s">
        <v>8283</v>
      </c>
      <c r="I8536" s="6">
        <v>5.3752169907387497</v>
      </c>
      <c r="K8536" s="8"/>
    </row>
    <row r="8537" spans="1:11" ht="15" x14ac:dyDescent="0.25">
      <c r="A8537" s="3" t="str">
        <f>HYPERLINK("proteomic_fractions_linear_files/Yang_linear_img/21729757.jpg", "21729757")</f>
        <v>21729757</v>
      </c>
      <c r="C8537" s="3" t="str">
        <f>HYPERLINK("http://www.ncbi.nlm.nih.gov/protein/21729757","1810009N02Rik")</f>
        <v>1810009N02Rik</v>
      </c>
      <c r="E8537" t="str">
        <f>HYPERLINK("J:\Depot - mpkCCD Fractions\Main Web Page\Web Pages_old\proteomic_fractions_linear_files/Yang_linear_img/21729757.jpg","show blot")</f>
        <v>show blot</v>
      </c>
      <c r="G8537" t="s">
        <v>8284</v>
      </c>
      <c r="I8537" s="6">
        <v>4.4350150153490269</v>
      </c>
      <c r="K8537" s="8"/>
    </row>
    <row r="8538" spans="1:11" ht="15" x14ac:dyDescent="0.25">
      <c r="A8538" s="3" t="str">
        <f>HYPERLINK("proteomic_fractions_linear_files/Yang_linear_img/153791234.jpg", "153791234")</f>
        <v>153791234</v>
      </c>
      <c r="C8538" s="3" t="str">
        <f>HYPERLINK("http://www.ncbi.nlm.nih.gov/protein/153791234","1810022K09Rik")</f>
        <v>1810022K09Rik</v>
      </c>
      <c r="E8538" t="str">
        <f>HYPERLINK("J:\Depot - mpkCCD Fractions\Main Web Page\Web Pages_old\proteomic_fractions_linear_files/Yang_linear_img/153791234.jpg","show blot")</f>
        <v>show blot</v>
      </c>
      <c r="G8538" t="s">
        <v>8285</v>
      </c>
      <c r="I8538" s="7" t="s">
        <v>8360</v>
      </c>
      <c r="K8538" s="8"/>
    </row>
    <row r="8539" spans="1:11" ht="15" x14ac:dyDescent="0.25">
      <c r="A8539" s="3" t="str">
        <f>HYPERLINK("proteomic_fractions_linear_files/Yang_linear_img/30519953.jpg", "30519953")</f>
        <v>30519953</v>
      </c>
      <c r="C8539" s="3" t="str">
        <f>HYPERLINK("http://www.ncbi.nlm.nih.gov/protein/30519953","1810026J23Rik")</f>
        <v>1810026J23Rik</v>
      </c>
      <c r="E8539" t="str">
        <f>HYPERLINK("J:\Depot - mpkCCD Fractions\Main Web Page\Web Pages_old\proteomic_fractions_linear_files/Yang_linear_img/30519953.jpg","show blot")</f>
        <v>show blot</v>
      </c>
      <c r="G8539" t="s">
        <v>8286</v>
      </c>
      <c r="I8539" s="6">
        <v>4.0055146878152161</v>
      </c>
      <c r="K8539" s="8"/>
    </row>
    <row r="8540" spans="1:11" ht="15" x14ac:dyDescent="0.25">
      <c r="A8540" s="3" t="str">
        <f>HYPERLINK("proteomic_fractions_linear_files/Yang_linear_img/21313570.jpg", "21313570")</f>
        <v>21313570</v>
      </c>
      <c r="C8540" s="3" t="str">
        <f>HYPERLINK("http://www.ncbi.nlm.nih.gov/protein/21313570","1810037I17Rik")</f>
        <v>1810037I17Rik</v>
      </c>
      <c r="E8540" t="str">
        <f>HYPERLINK("J:\Depot - mpkCCD Fractions\Main Web Page\Web Pages_old\proteomic_fractions_linear_files/Yang_linear_img/21313570.jpg","show blot")</f>
        <v>show blot</v>
      </c>
      <c r="G8540" t="s">
        <v>8287</v>
      </c>
      <c r="I8540" s="6">
        <v>4.4904852916411722</v>
      </c>
      <c r="K8540" s="8"/>
    </row>
    <row r="8541" spans="1:11" ht="15" x14ac:dyDescent="0.25">
      <c r="A8541" s="3" t="str">
        <f>HYPERLINK("proteomic_fractions_linear_files/Yang_linear_img/74315955.jpg", "74315955")</f>
        <v>74315955</v>
      </c>
      <c r="C8541" s="3" t="str">
        <f>HYPERLINK("http://www.ncbi.nlm.nih.gov/protein/74315955","2010002M12Rik")</f>
        <v>2010002M12Rik</v>
      </c>
      <c r="E8541" t="str">
        <f>HYPERLINK("J:\Depot - mpkCCD Fractions\Main Web Page\Web Pages_old\proteomic_fractions_linear_files/Yang_linear_img/74315955.jpg","show blot")</f>
        <v>show blot</v>
      </c>
      <c r="G8541" t="s">
        <v>8288</v>
      </c>
      <c r="I8541" s="6">
        <v>3.7989648589600655</v>
      </c>
      <c r="K8541" s="8"/>
    </row>
    <row r="8542" spans="1:11" ht="15" x14ac:dyDescent="0.25">
      <c r="A8542" s="3" t="str">
        <f>HYPERLINK("proteomic_fractions_linear_files/Yang_linear_img/13385000.jpg", "13385000")</f>
        <v>13385000</v>
      </c>
      <c r="C8542" s="3" t="str">
        <f>HYPERLINK("http://www.ncbi.nlm.nih.gov/protein/13385000","2010012O05Rik")</f>
        <v>2010012O05Rik</v>
      </c>
      <c r="E8542" t="str">
        <f>HYPERLINK("J:\Depot - mpkCCD Fractions\Main Web Page\Web Pages_old\proteomic_fractions_linear_files/Yang_linear_img/13385000.jpg","show blot")</f>
        <v>show blot</v>
      </c>
      <c r="G8542" t="s">
        <v>8289</v>
      </c>
      <c r="I8542" s="6">
        <v>3.4155472117448413</v>
      </c>
      <c r="K8542" s="8"/>
    </row>
    <row r="8543" spans="1:11" ht="15" x14ac:dyDescent="0.25">
      <c r="A8543" s="3" t="str">
        <f>HYPERLINK("proteomic_fractions_linear_files/Yang_linear_img/21312554.jpg", "21312554")</f>
        <v>21312554</v>
      </c>
      <c r="C8543" s="3" t="str">
        <f>HYPERLINK("http://www.ncbi.nlm.nih.gov/protein/21312554","2010107E04Rik")</f>
        <v>2010107E04Rik</v>
      </c>
      <c r="E8543" t="str">
        <f>HYPERLINK("J:\Depot - mpkCCD Fractions\Main Web Page\Web Pages_old\proteomic_fractions_linear_files/Yang_linear_img/21312554.jpg","show blot")</f>
        <v>show blot</v>
      </c>
      <c r="G8543" t="s">
        <v>8290</v>
      </c>
      <c r="I8543" s="6">
        <v>5.0257139714050938</v>
      </c>
      <c r="K8543" s="8"/>
    </row>
    <row r="8544" spans="1:11" ht="15" x14ac:dyDescent="0.25">
      <c r="A8544" s="3" t="str">
        <f>HYPERLINK("proteomic_fractions_linear_files/Yang_linear_img/21312460.jpg", "21312460")</f>
        <v>21312460</v>
      </c>
      <c r="C8544" s="3" t="str">
        <f>HYPERLINK("http://www.ncbi.nlm.nih.gov/protein/21312460","2010107G23Rik")</f>
        <v>2010107G23Rik</v>
      </c>
      <c r="E8544" t="str">
        <f>HYPERLINK("J:\Depot - mpkCCD Fractions\Main Web Page\Web Pages_old\proteomic_fractions_linear_files/Yang_linear_img/21312460.jpg","show blot")</f>
        <v>show blot</v>
      </c>
      <c r="G8544" t="s">
        <v>8291</v>
      </c>
      <c r="I8544" s="6">
        <v>4.8796837214974342</v>
      </c>
      <c r="K8544" s="8"/>
    </row>
    <row r="8545" spans="1:11" ht="15" x14ac:dyDescent="0.25">
      <c r="A8545" s="3" t="str">
        <f>HYPERLINK("proteomic_fractions_linear_files/Yang_linear_img/254675126.jpg", "254675126")</f>
        <v>254675126</v>
      </c>
      <c r="C8545" s="3" t="str">
        <f>HYPERLINK("http://www.ncbi.nlm.nih.gov/protein/254675126","2010300C02Rik")</f>
        <v>2010300C02Rik</v>
      </c>
      <c r="E8545" t="str">
        <f>HYPERLINK("J:\Depot - mpkCCD Fractions\Main Web Page\Web Pages_old\proteomic_fractions_linear_files/Yang_linear_img/254675126.jpg","show blot")</f>
        <v>show blot</v>
      </c>
      <c r="G8545" t="s">
        <v>8292</v>
      </c>
      <c r="I8545" s="6">
        <v>4.9654873798215311</v>
      </c>
      <c r="K8545" s="8"/>
    </row>
    <row r="8546" spans="1:11" ht="15" x14ac:dyDescent="0.25">
      <c r="A8546" s="3" t="str">
        <f>HYPERLINK("proteomic_fractions_linear_files/Yang_linear_img/82918901.jpg", "82918901")</f>
        <v>82918901</v>
      </c>
      <c r="C8546" s="3" t="str">
        <f>HYPERLINK("http://www.ncbi.nlm.nih.gov/protein/82918901","2210011C24Rik")</f>
        <v>2210011C24Rik</v>
      </c>
      <c r="E8546" t="str">
        <f>HYPERLINK("J:\Depot - mpkCCD Fractions\Main Web Page\Web Pages_old\proteomic_fractions_linear_files/Yang_linear_img/82918901.jpg","show blot")</f>
        <v>show blot</v>
      </c>
      <c r="G8546" t="s">
        <v>8293</v>
      </c>
      <c r="I8546" s="6">
        <v>3.4431745205050022</v>
      </c>
      <c r="K8546" s="8"/>
    </row>
    <row r="8547" spans="1:11" ht="15" x14ac:dyDescent="0.25">
      <c r="A8547" s="3" t="str">
        <f>HYPERLINK("proteomic_fractions_linear_files/Yang_linear_img/39930441.jpg", "39930441")</f>
        <v>39930441</v>
      </c>
      <c r="C8547" s="3" t="str">
        <f>HYPERLINK("http://www.ncbi.nlm.nih.gov/protein/39930441","2210016L21Rik")</f>
        <v>2210016L21Rik</v>
      </c>
      <c r="E8547" t="str">
        <f>HYPERLINK("J:\Depot - mpkCCD Fractions\Main Web Page\Web Pages_old\proteomic_fractions_linear_files/Yang_linear_img/39930441.jpg","show blot")</f>
        <v>show blot</v>
      </c>
      <c r="G8547" t="s">
        <v>8294</v>
      </c>
      <c r="I8547" s="6">
        <v>3.8278292230464963</v>
      </c>
      <c r="K8547" s="8"/>
    </row>
    <row r="8548" spans="1:11" ht="15" x14ac:dyDescent="0.25">
      <c r="A8548" s="3" t="str">
        <f>HYPERLINK("proteomic_fractions_linear_files/Yang_linear_img/229576965.jpg", "229576965")</f>
        <v>229576965</v>
      </c>
      <c r="C8548" s="3" t="str">
        <f>HYPERLINK("http://www.ncbi.nlm.nih.gov/protein/229576965","2310007B03Rik")</f>
        <v>2310007B03Rik</v>
      </c>
      <c r="E8548" t="str">
        <f>HYPERLINK("J:\Depot - mpkCCD Fractions\Main Web Page\Web Pages_old\proteomic_fractions_linear_files/Yang_linear_img/229576965.jpg","show blot")</f>
        <v>show blot</v>
      </c>
      <c r="G8548" t="s">
        <v>8295</v>
      </c>
      <c r="I8548" s="6">
        <v>1.0806264869218056</v>
      </c>
      <c r="K8548" s="8"/>
    </row>
    <row r="8549" spans="1:11" ht="15" x14ac:dyDescent="0.25">
      <c r="A8549" s="3" t="str">
        <f>HYPERLINK("proteomic_fractions_linear_files/Yang_linear_img/21313500.jpg", "21313500")</f>
        <v>21313500</v>
      </c>
      <c r="C8549" s="3" t="str">
        <f>HYPERLINK("http://www.ncbi.nlm.nih.gov/protein/21313500","2310011J03Rik")</f>
        <v>2310011J03Rik</v>
      </c>
      <c r="E8549" t="str">
        <f>HYPERLINK("J:\Depot - mpkCCD Fractions\Main Web Page\Web Pages_old\proteomic_fractions_linear_files/Yang_linear_img/21313500.jpg","show blot")</f>
        <v>show blot</v>
      </c>
      <c r="G8549" t="s">
        <v>8296</v>
      </c>
      <c r="I8549" s="6">
        <v>4.5166683295284979</v>
      </c>
      <c r="K8549" s="8"/>
    </row>
    <row r="8550" spans="1:11" ht="15" x14ac:dyDescent="0.25">
      <c r="A8550" s="3" t="str">
        <f>HYPERLINK("proteomic_fractions_linear_files/Yang_linear_img/13259376.jpg", "13259376")</f>
        <v>13259376</v>
      </c>
      <c r="C8550" s="3" t="str">
        <f>HYPERLINK("http://www.ncbi.nlm.nih.gov/protein/13259376","2310033P09Rik")</f>
        <v>2310033P09Rik</v>
      </c>
      <c r="E8550" t="str">
        <f>HYPERLINK("J:\Depot - mpkCCD Fractions\Main Web Page\Web Pages_old\proteomic_fractions_linear_files/Yang_linear_img/13259376.jpg","show blot")</f>
        <v>show blot</v>
      </c>
      <c r="G8550" t="s">
        <v>8297</v>
      </c>
      <c r="I8550" s="6">
        <v>4.5998552940293544</v>
      </c>
      <c r="K8550" s="8"/>
    </row>
    <row r="8551" spans="1:11" ht="15" x14ac:dyDescent="0.25">
      <c r="A8551" s="3" t="str">
        <f>HYPERLINK("proteomic_fractions_linear_files/Yang_linear_img/170014744.jpg", "170014744")</f>
        <v>170014744</v>
      </c>
      <c r="C8551" s="3" t="str">
        <f>HYPERLINK("http://www.ncbi.nlm.nih.gov/protein/170014744","2310035C23Rik")</f>
        <v>2310035C23Rik</v>
      </c>
      <c r="E8551" t="str">
        <f>HYPERLINK("J:\Depot - mpkCCD Fractions\Main Web Page\Web Pages_old\proteomic_fractions_linear_files/Yang_linear_img/170014744.jpg","show blot")</f>
        <v>show blot</v>
      </c>
      <c r="G8551" t="s">
        <v>8298</v>
      </c>
      <c r="I8551" s="6">
        <v>4.08425414078686</v>
      </c>
      <c r="K8551" s="8"/>
    </row>
    <row r="8552" spans="1:11" ht="15" x14ac:dyDescent="0.25">
      <c r="A8552" s="3" t="str">
        <f>HYPERLINK("proteomic_fractions_linear_files/Yang_linear_img/170014746.jpg", "170014746")</f>
        <v>170014746</v>
      </c>
      <c r="C8552" s="3" t="str">
        <f>HYPERLINK("http://www.ncbi.nlm.nih.gov/protein/170014746","2310035C23Rik")</f>
        <v>2310035C23Rik</v>
      </c>
      <c r="E8552" t="str">
        <f>HYPERLINK("J:\Depot - mpkCCD Fractions\Main Web Page\Web Pages_old\proteomic_fractions_linear_files/Yang_linear_img/170014746.jpg","show blot")</f>
        <v>show blot</v>
      </c>
      <c r="G8552" t="s">
        <v>8299</v>
      </c>
      <c r="I8552" s="6">
        <v>4.08425414078686</v>
      </c>
      <c r="K8552" s="8"/>
    </row>
    <row r="8553" spans="1:11" ht="15" x14ac:dyDescent="0.25">
      <c r="A8553" s="3" t="str">
        <f>HYPERLINK("proteomic_fractions_linear_files/Yang_linear_img/85362708.jpg", "85362708")</f>
        <v>85362708</v>
      </c>
      <c r="C8553" s="3" t="str">
        <f>HYPERLINK("http://www.ncbi.nlm.nih.gov/protein/85362708","2310036O22Rik")</f>
        <v>2310036O22Rik</v>
      </c>
      <c r="E8553" t="str">
        <f>HYPERLINK("J:\Depot - mpkCCD Fractions\Main Web Page\Web Pages_old\proteomic_fractions_linear_files/Yang_linear_img/85362708.jpg","show blot")</f>
        <v>show blot</v>
      </c>
      <c r="G8553" t="s">
        <v>8300</v>
      </c>
      <c r="I8553" s="6">
        <v>4.6908720619013833</v>
      </c>
      <c r="K8553" s="8"/>
    </row>
    <row r="8554" spans="1:11" ht="15" x14ac:dyDescent="0.25">
      <c r="A8554" s="3" t="str">
        <f>HYPERLINK("proteomic_fractions_linear_files/Yang_linear_img/13385462.jpg", "13385462")</f>
        <v>13385462</v>
      </c>
      <c r="C8554" s="3" t="str">
        <f>HYPERLINK("http://www.ncbi.nlm.nih.gov/protein/13385462","2310039H08Rik")</f>
        <v>2310039H08Rik</v>
      </c>
      <c r="E8554" t="str">
        <f>HYPERLINK("J:\Depot - mpkCCD Fractions\Main Web Page\Web Pages_old\proteomic_fractions_linear_files/Yang_linear_img/13385462.jpg","show blot")</f>
        <v>show blot</v>
      </c>
      <c r="G8554" t="s">
        <v>8301</v>
      </c>
      <c r="I8554" s="6">
        <v>4.1880945846104858</v>
      </c>
      <c r="K8554" s="8"/>
    </row>
    <row r="8555" spans="1:11" ht="15" x14ac:dyDescent="0.25">
      <c r="A8555" s="3" t="str">
        <f>HYPERLINK("proteomic_fractions_linear_files/Yang_linear_img/120952555.jpg", "120952555")</f>
        <v>120952555</v>
      </c>
      <c r="C8555" s="3" t="str">
        <f>HYPERLINK("http://www.ncbi.nlm.nih.gov/protein/120952555","2310047M10Rik")</f>
        <v>2310047M10Rik</v>
      </c>
      <c r="E8555" t="str">
        <f>HYPERLINK("J:\Depot - mpkCCD Fractions\Main Web Page\Web Pages_old\proteomic_fractions_linear_files/Yang_linear_img/120952555.jpg","show blot")</f>
        <v>show blot</v>
      </c>
      <c r="G8555" t="s">
        <v>8302</v>
      </c>
      <c r="I8555" s="6">
        <v>2.2412055797992396</v>
      </c>
      <c r="K8555" s="8"/>
    </row>
    <row r="8556" spans="1:11" ht="15" x14ac:dyDescent="0.25">
      <c r="A8556" s="3" t="str">
        <f>HYPERLINK("proteomic_fractions_linear_files/Yang_linear_img/262072980.jpg", "262072980")</f>
        <v>262072980</v>
      </c>
      <c r="C8556" s="3" t="str">
        <f>HYPERLINK("http://www.ncbi.nlm.nih.gov/protein/262072980","2410002F23Rik")</f>
        <v>2410002F23Rik</v>
      </c>
      <c r="E8556" t="str">
        <f>HYPERLINK("J:\Depot - mpkCCD Fractions\Main Web Page\Web Pages_old\proteomic_fractions_linear_files/Yang_linear_img/262072980.jpg","show blot")</f>
        <v>show blot</v>
      </c>
      <c r="G8556" t="s">
        <v>8303</v>
      </c>
      <c r="I8556" s="6">
        <v>3.7091643818130744</v>
      </c>
      <c r="K8556" s="8"/>
    </row>
    <row r="8557" spans="1:11" ht="15" x14ac:dyDescent="0.25">
      <c r="A8557" s="3" t="str">
        <f>HYPERLINK("proteomic_fractions_linear_files/Yang_linear_img/13384984.jpg", "13384984")</f>
        <v>13384984</v>
      </c>
      <c r="C8557" s="3" t="str">
        <f>HYPERLINK("http://www.ncbi.nlm.nih.gov/protein/13384984","2410004B18Rik")</f>
        <v>2410004B18Rik</v>
      </c>
      <c r="E8557" t="str">
        <f>HYPERLINK("J:\Depot - mpkCCD Fractions\Main Web Page\Web Pages_old\proteomic_fractions_linear_files/Yang_linear_img/13384984.jpg","show blot")</f>
        <v>show blot</v>
      </c>
      <c r="G8557" t="s">
        <v>8304</v>
      </c>
      <c r="I8557" s="6">
        <v>4.397992406125371</v>
      </c>
      <c r="K8557" s="8"/>
    </row>
    <row r="8558" spans="1:11" ht="15" x14ac:dyDescent="0.25">
      <c r="A8558" s="3" t="str">
        <f>HYPERLINK("proteomic_fractions_linear_files/Yang_linear_img/134053873.jpg", "134053873")</f>
        <v>134053873</v>
      </c>
      <c r="C8558" s="3" t="str">
        <f>HYPERLINK("http://www.ncbi.nlm.nih.gov/protein/134053873","2410018M08Rik")</f>
        <v>2410018M08Rik</v>
      </c>
      <c r="E8558" t="str">
        <f>HYPERLINK("J:\Depot - mpkCCD Fractions\Main Web Page\Web Pages_old\proteomic_fractions_linear_files/Yang_linear_img/134053873.jpg","show blot")</f>
        <v>show blot</v>
      </c>
      <c r="G8558" t="s">
        <v>8305</v>
      </c>
      <c r="I8558" s="6">
        <v>4.1742944648646683</v>
      </c>
      <c r="K8558" s="8"/>
    </row>
    <row r="8559" spans="1:11" ht="15" x14ac:dyDescent="0.25">
      <c r="A8559" s="3" t="str">
        <f>HYPERLINK("proteomic_fractions_linear_files/Yang_linear_img/407262392.jpg", "407262392")</f>
        <v>407262392</v>
      </c>
      <c r="C8559" s="3" t="str">
        <f>HYPERLINK("http://www.ncbi.nlm.nih.gov/protein/407262392","2410127L17Rik")</f>
        <v>2410127L17Rik</v>
      </c>
      <c r="E8559" t="str">
        <f>HYPERLINK("J:\Depot - mpkCCD Fractions\Main Web Page\Web Pages_old\proteomic_fractions_linear_files/Yang_linear_img/407262392.jpg","show blot")</f>
        <v>show blot</v>
      </c>
      <c r="G8559" t="s">
        <v>8306</v>
      </c>
      <c r="I8559" s="6">
        <v>4.0342510607086481</v>
      </c>
      <c r="K8559" s="8"/>
    </row>
    <row r="8560" spans="1:11" ht="15" x14ac:dyDescent="0.25">
      <c r="A8560" s="3" t="str">
        <f>HYPERLINK("proteomic_fractions_linear_files/Yang_linear_img/407262394.jpg", "407262394")</f>
        <v>407262394</v>
      </c>
      <c r="C8560" s="3" t="str">
        <f>HYPERLINK("http://www.ncbi.nlm.nih.gov/protein/407262394","2410127L17Rik")</f>
        <v>2410127L17Rik</v>
      </c>
      <c r="E8560" t="str">
        <f>HYPERLINK("J:\Depot - mpkCCD Fractions\Main Web Page\Web Pages_old\proteomic_fractions_linear_files/Yang_linear_img/407262394.jpg","show blot")</f>
        <v>show blot</v>
      </c>
      <c r="G8560" t="s">
        <v>8307</v>
      </c>
      <c r="I8560" s="6">
        <v>4.0342510607086481</v>
      </c>
      <c r="K8560" s="8"/>
    </row>
    <row r="8561" spans="1:11" ht="15" x14ac:dyDescent="0.25">
      <c r="A8561" s="3" t="str">
        <f>HYPERLINK("proteomic_fractions_linear_files/Yang_linear_img/407262390.jpg", "407262390")</f>
        <v>407262390</v>
      </c>
      <c r="C8561" s="3" t="str">
        <f>HYPERLINK("http://www.ncbi.nlm.nih.gov/protein/407262390","2410127L17Rik")</f>
        <v>2410127L17Rik</v>
      </c>
      <c r="E8561" t="str">
        <f>HYPERLINK("J:\Depot - mpkCCD Fractions\Main Web Page\Web Pages_old\proteomic_fractions_linear_files/Yang_linear_img/407262390.jpg","show blot")</f>
        <v>show blot</v>
      </c>
      <c r="G8561" t="s">
        <v>8308</v>
      </c>
      <c r="I8561" s="6">
        <v>4.0342510607086481</v>
      </c>
      <c r="K8561" s="8"/>
    </row>
    <row r="8562" spans="1:11" ht="15" x14ac:dyDescent="0.25">
      <c r="A8562" s="3" t="str">
        <f>HYPERLINK("proteomic_fractions_linear_files/Yang_linear_img/85701660.jpg", "85701660")</f>
        <v>85701660</v>
      </c>
      <c r="C8562" s="3" t="str">
        <f>HYPERLINK("http://www.ncbi.nlm.nih.gov/protein/85701660","2510002D24Rik")</f>
        <v>2510002D24Rik</v>
      </c>
      <c r="E8562" t="str">
        <f>HYPERLINK("J:\Depot - mpkCCD Fractions\Main Web Page\Web Pages_old\proteomic_fractions_linear_files/Yang_linear_img/85701660.jpg","show blot")</f>
        <v>show blot</v>
      </c>
      <c r="G8562" t="s">
        <v>8309</v>
      </c>
      <c r="I8562" s="6">
        <v>1.7004152452101997</v>
      </c>
      <c r="K8562" s="8"/>
    </row>
    <row r="8563" spans="1:11" ht="15" x14ac:dyDescent="0.25">
      <c r="A8563" s="3" t="str">
        <f>HYPERLINK("proteomic_fractions_linear_files/Yang_linear_img/72384371.jpg", "72384371")</f>
        <v>72384371</v>
      </c>
      <c r="C8563" s="3" t="str">
        <f>HYPERLINK("http://www.ncbi.nlm.nih.gov/protein/72384371","2510003E04Rik")</f>
        <v>2510003E04Rik</v>
      </c>
      <c r="E8563" t="str">
        <f>HYPERLINK("J:\Depot - mpkCCD Fractions\Main Web Page\Web Pages_old\proteomic_fractions_linear_files/Yang_linear_img/72384371.jpg","show blot")</f>
        <v>show blot</v>
      </c>
      <c r="G8563" t="s">
        <v>8310</v>
      </c>
      <c r="I8563" s="6">
        <v>4.0291701833676186</v>
      </c>
      <c r="K8563" s="8"/>
    </row>
    <row r="8564" spans="1:11" ht="15" x14ac:dyDescent="0.25">
      <c r="A8564" s="3" t="str">
        <f>HYPERLINK("proteomic_fractions_linear_files/Yang_linear_img/225543561.jpg", "225543561")</f>
        <v>225543561</v>
      </c>
      <c r="C8564" s="3" t="str">
        <f>HYPERLINK("http://www.ncbi.nlm.nih.gov/protein/225543561","2510039O18Rik")</f>
        <v>2510039O18Rik</v>
      </c>
      <c r="E8564" t="str">
        <f>HYPERLINK("J:\Depot - mpkCCD Fractions\Main Web Page\Web Pages_old\proteomic_fractions_linear_files/Yang_linear_img/225543561.jpg","show blot")</f>
        <v>show blot</v>
      </c>
      <c r="G8564" t="s">
        <v>8311</v>
      </c>
      <c r="I8564" s="6">
        <v>3.672423220988057</v>
      </c>
      <c r="K8564" s="8"/>
    </row>
    <row r="8565" spans="1:11" ht="15" x14ac:dyDescent="0.25">
      <c r="A8565" s="3" t="str">
        <f>HYPERLINK("proteomic_fractions_linear_files/Yang_linear_img/160333472.jpg", "160333472")</f>
        <v>160333472</v>
      </c>
      <c r="C8565" s="3" t="str">
        <f>HYPERLINK("http://www.ncbi.nlm.nih.gov/protein/160333472","2510049J12Rik")</f>
        <v>2510049J12Rik</v>
      </c>
      <c r="E8565" t="str">
        <f>HYPERLINK("J:\Depot - mpkCCD Fractions\Main Web Page\Web Pages_old\proteomic_fractions_linear_files/Yang_linear_img/160333472.jpg","show blot")</f>
        <v>show blot</v>
      </c>
      <c r="G8565" t="s">
        <v>8312</v>
      </c>
      <c r="I8565" s="6">
        <v>4.2525525738374048</v>
      </c>
      <c r="K8565" s="8"/>
    </row>
    <row r="8566" spans="1:11" ht="15" x14ac:dyDescent="0.25">
      <c r="A8566" s="3" t="str">
        <f>HYPERLINK("proteomic_fractions_linear_files/Yang_linear_img/19526920.jpg", "19526920")</f>
        <v>19526920</v>
      </c>
      <c r="C8566" s="3" t="str">
        <f>HYPERLINK("http://www.ncbi.nlm.nih.gov/protein/19526920","2610018G03Rik")</f>
        <v>2610018G03Rik</v>
      </c>
      <c r="E8566" t="str">
        <f>HYPERLINK("J:\Depot - mpkCCD Fractions\Main Web Page\Web Pages_old\proteomic_fractions_linear_files/Yang_linear_img/19526920.jpg","show blot")</f>
        <v>show blot</v>
      </c>
      <c r="G8566" t="s">
        <v>8313</v>
      </c>
      <c r="I8566" s="6">
        <v>5.264807496464126</v>
      </c>
      <c r="K8566" s="8"/>
    </row>
    <row r="8567" spans="1:11" ht="15" x14ac:dyDescent="0.25">
      <c r="A8567" s="3" t="str">
        <f>HYPERLINK("proteomic_fractions_linear_files/Yang_linear_img/47498088.jpg", "47498088")</f>
        <v>47498088</v>
      </c>
      <c r="C8567" s="3" t="str">
        <f>HYPERLINK("http://www.ncbi.nlm.nih.gov/protein/47498088","2610034B18Rik")</f>
        <v>2610034B18Rik</v>
      </c>
      <c r="E8567" t="str">
        <f>HYPERLINK("J:\Depot - mpkCCD Fractions\Main Web Page\Web Pages_old\proteomic_fractions_linear_files/Yang_linear_img/47498088.jpg","show blot")</f>
        <v>show blot</v>
      </c>
      <c r="G8567" t="s">
        <v>8314</v>
      </c>
      <c r="I8567" s="6">
        <v>5.2165259098269843</v>
      </c>
      <c r="K8567" s="8"/>
    </row>
    <row r="8568" spans="1:11" ht="15" x14ac:dyDescent="0.25">
      <c r="A8568" s="3" t="str">
        <f>HYPERLINK("proteomic_fractions_linear_files/Yang_linear_img/198278498.jpg", "198278498")</f>
        <v>198278498</v>
      </c>
      <c r="C8568" s="3" t="str">
        <f>HYPERLINK("http://www.ncbi.nlm.nih.gov/protein/198278498","2700029M09Rik")</f>
        <v>2700029M09Rik</v>
      </c>
      <c r="E8568" t="str">
        <f>HYPERLINK("J:\Depot - mpkCCD Fractions\Main Web Page\Web Pages_old\proteomic_fractions_linear_files/Yang_linear_img/198278498.jpg","show blot")</f>
        <v>show blot</v>
      </c>
      <c r="G8568" t="s">
        <v>8315</v>
      </c>
      <c r="I8568" s="6">
        <v>4.780176816454011</v>
      </c>
      <c r="K8568" s="8"/>
    </row>
    <row r="8569" spans="1:11" ht="15" x14ac:dyDescent="0.25">
      <c r="A8569" s="3" t="str">
        <f>HYPERLINK("proteomic_fractions_linear_files/Yang_linear_img/295389569.jpg", "295389569")</f>
        <v>295389569</v>
      </c>
      <c r="C8569" s="3" t="str">
        <f>HYPERLINK("http://www.ncbi.nlm.nih.gov/protein/295389569","2700050L05Rik")</f>
        <v>2700050L05Rik</v>
      </c>
      <c r="E8569" t="str">
        <f>HYPERLINK("J:\Depot - mpkCCD Fractions\Main Web Page\Web Pages_old\proteomic_fractions_linear_files/Yang_linear_img/295389569.jpg","show blot")</f>
        <v>show blot</v>
      </c>
      <c r="G8569" t="s">
        <v>8316</v>
      </c>
      <c r="I8569" s="6">
        <v>0.63658169100372952</v>
      </c>
      <c r="K8569" s="8"/>
    </row>
    <row r="8570" spans="1:11" ht="15" x14ac:dyDescent="0.25">
      <c r="A8570" s="3" t="str">
        <f>HYPERLINK("proteomic_fractions_linear_files/Yang_linear_img/13386026.jpg", "13386026")</f>
        <v>13386026</v>
      </c>
      <c r="C8570" s="3" t="str">
        <f>HYPERLINK("http://www.ncbi.nlm.nih.gov/protein/13386026","2700060E02Rik")</f>
        <v>2700060E02Rik</v>
      </c>
      <c r="E8570" t="str">
        <f>HYPERLINK("J:\Depot - mpkCCD Fractions\Main Web Page\Web Pages_old\proteomic_fractions_linear_files/Yang_linear_img/13386026.jpg","show blot")</f>
        <v>show blot</v>
      </c>
      <c r="G8570" t="s">
        <v>8317</v>
      </c>
      <c r="I8570" s="6">
        <v>5.4536319041466212</v>
      </c>
      <c r="K8570" s="8"/>
    </row>
    <row r="8571" spans="1:11" ht="15" x14ac:dyDescent="0.25">
      <c r="A8571" s="3" t="str">
        <f>HYPERLINK("proteomic_fractions_linear_files/Yang_linear_img/13386028.jpg", "13386028")</f>
        <v>13386028</v>
      </c>
      <c r="C8571" s="3" t="str">
        <f>HYPERLINK("http://www.ncbi.nlm.nih.gov/protein/13386028","2700062C07Rik")</f>
        <v>2700062C07Rik</v>
      </c>
      <c r="E8571" t="str">
        <f>HYPERLINK("J:\Depot - mpkCCD Fractions\Main Web Page\Web Pages_old\proteomic_fractions_linear_files/Yang_linear_img/13386028.jpg","show blot")</f>
        <v>show blot</v>
      </c>
      <c r="G8571" t="s">
        <v>8318</v>
      </c>
      <c r="I8571" s="6">
        <v>3.6384561903905017</v>
      </c>
      <c r="K8571" s="8"/>
    </row>
    <row r="8572" spans="1:11" ht="15" x14ac:dyDescent="0.25">
      <c r="A8572" s="3" t="str">
        <f>HYPERLINK("proteomic_fractions_linear_files/Yang_linear_img/254540194.jpg", "254540194")</f>
        <v>254540194</v>
      </c>
      <c r="C8572" s="3" t="str">
        <f>HYPERLINK("http://www.ncbi.nlm.nih.gov/protein/254540194","2700089E24Rik")</f>
        <v>2700089E24Rik</v>
      </c>
      <c r="E8572" t="str">
        <f>HYPERLINK("J:\Depot - mpkCCD Fractions\Main Web Page\Web Pages_old\proteomic_fractions_linear_files/Yang_linear_img/254540194.jpg","show blot")</f>
        <v>show blot</v>
      </c>
      <c r="G8572" t="s">
        <v>8319</v>
      </c>
      <c r="I8572" s="6">
        <v>3.7877585439797992</v>
      </c>
      <c r="K8572" s="8"/>
    </row>
    <row r="8573" spans="1:11" ht="15" x14ac:dyDescent="0.25">
      <c r="A8573" s="3" t="str">
        <f>HYPERLINK("proteomic_fractions_linear_files/Yang_linear_img/409264588.jpg", "409264588")</f>
        <v>409264588</v>
      </c>
      <c r="C8573" s="3" t="str">
        <f>HYPERLINK("http://www.ncbi.nlm.nih.gov/protein/409264588","2700089E24Rik")</f>
        <v>2700089E24Rik</v>
      </c>
      <c r="E8573" t="str">
        <f>HYPERLINK("J:\Depot - mpkCCD Fractions\Main Web Page\Web Pages_old\proteomic_fractions_linear_files/Yang_linear_img/409264588.jpg","show blot")</f>
        <v>show blot</v>
      </c>
      <c r="G8573" t="s">
        <v>8320</v>
      </c>
      <c r="I8573" s="6">
        <v>3.7877585439797992</v>
      </c>
      <c r="K8573" s="8"/>
    </row>
    <row r="8574" spans="1:11" ht="15" x14ac:dyDescent="0.25">
      <c r="A8574" s="3" t="str">
        <f>HYPERLINK("proteomic_fractions_linear_files/Yang_linear_img/409264649.jpg", "409264649")</f>
        <v>409264649</v>
      </c>
      <c r="C8574" s="3" t="str">
        <f>HYPERLINK("http://www.ncbi.nlm.nih.gov/protein/409264649","2700089E24Rik")</f>
        <v>2700089E24Rik</v>
      </c>
      <c r="E8574" t="str">
        <f>HYPERLINK("J:\Depot - mpkCCD Fractions\Main Web Page\Web Pages_old\proteomic_fractions_linear_files/Yang_linear_img/409264649.jpg","show blot")</f>
        <v>show blot</v>
      </c>
      <c r="G8574" t="s">
        <v>8321</v>
      </c>
      <c r="I8574" s="6">
        <v>3.7877585439797992</v>
      </c>
      <c r="K8574" s="8"/>
    </row>
    <row r="8575" spans="1:11" ht="15" x14ac:dyDescent="0.25">
      <c r="A8575" s="3" t="str">
        <f>HYPERLINK("proteomic_fractions_linear_files/Yang_linear_img/76781489.jpg", "76781489")</f>
        <v>76781489</v>
      </c>
      <c r="C8575" s="3" t="str">
        <f>HYPERLINK("http://www.ncbi.nlm.nih.gov/protein/76781489","2700094K13Rik")</f>
        <v>2700094K13Rik</v>
      </c>
      <c r="E8575" t="str">
        <f>HYPERLINK("J:\Depot - mpkCCD Fractions\Main Web Page\Web Pages_old\proteomic_fractions_linear_files/Yang_linear_img/76781489.jpg","show blot")</f>
        <v>show blot</v>
      </c>
      <c r="G8575" t="s">
        <v>8322</v>
      </c>
      <c r="I8575" s="6">
        <v>5.4896759864395275</v>
      </c>
      <c r="K8575" s="8"/>
    </row>
    <row r="8576" spans="1:11" ht="15" x14ac:dyDescent="0.25">
      <c r="A8576" s="3" t="str">
        <f>HYPERLINK("proteomic_fractions_linear_files/Yang_linear_img/62510085.jpg", "62510085")</f>
        <v>62510085</v>
      </c>
      <c r="C8576" s="3" t="str">
        <f>HYPERLINK("http://www.ncbi.nlm.nih.gov/protein/62510085","2810408M09Rik")</f>
        <v>2810408M09Rik</v>
      </c>
      <c r="E8576" t="str">
        <f>HYPERLINK("J:\Depot - mpkCCD Fractions\Main Web Page\Web Pages_old\proteomic_fractions_linear_files/Yang_linear_img/62510085.jpg","show blot")</f>
        <v>show blot</v>
      </c>
      <c r="G8576" t="s">
        <v>8323</v>
      </c>
      <c r="I8576" s="6">
        <v>4.2669934837592356</v>
      </c>
      <c r="K8576" s="8"/>
    </row>
    <row r="8577" spans="1:11" ht="15" x14ac:dyDescent="0.25">
      <c r="A8577" s="3" t="str">
        <f>HYPERLINK("proteomic_fractions_linear_files/Yang_linear_img/71773932.jpg", "71773932")</f>
        <v>71773932</v>
      </c>
      <c r="C8577" s="3" t="str">
        <f>HYPERLINK("http://www.ncbi.nlm.nih.gov/protein/71773932","2810417H13Rik")</f>
        <v>2810417H13Rik</v>
      </c>
      <c r="E8577" t="str">
        <f>HYPERLINK("J:\Depot - mpkCCD Fractions\Main Web Page\Web Pages_old\proteomic_fractions_linear_files/Yang_linear_img/71773932.jpg","show blot")</f>
        <v>show blot</v>
      </c>
      <c r="G8577" t="s">
        <v>8324</v>
      </c>
      <c r="I8577" s="6">
        <v>4.6011651217252272</v>
      </c>
      <c r="K8577" s="8"/>
    </row>
    <row r="8578" spans="1:11" ht="15" x14ac:dyDescent="0.25">
      <c r="A8578" s="3" t="str">
        <f>HYPERLINK("proteomic_fractions_linear_files/Yang_linear_img/13385020.jpg", "13385020")</f>
        <v>13385020</v>
      </c>
      <c r="C8578" s="3" t="str">
        <f>HYPERLINK("http://www.ncbi.nlm.nih.gov/protein/13385020","2810428I15Rik")</f>
        <v>2810428I15Rik</v>
      </c>
      <c r="E8578" t="str">
        <f>HYPERLINK("J:\Depot - mpkCCD Fractions\Main Web Page\Web Pages_old\proteomic_fractions_linear_files/Yang_linear_img/13385020.jpg","show blot")</f>
        <v>show blot</v>
      </c>
      <c r="G8578" t="s">
        <v>8325</v>
      </c>
      <c r="I8578" s="6">
        <v>3.9155012923624759</v>
      </c>
      <c r="K8578" s="8"/>
    </row>
    <row r="8579" spans="1:11" ht="15" x14ac:dyDescent="0.25">
      <c r="A8579" s="3" t="str">
        <f>HYPERLINK("proteomic_fractions_linear_files/Yang_linear_img/28077063.jpg", "28077063")</f>
        <v>28077063</v>
      </c>
      <c r="C8579" s="3" t="str">
        <f>HYPERLINK("http://www.ncbi.nlm.nih.gov/protein/28077063","3110002H16Rik")</f>
        <v>3110002H16Rik</v>
      </c>
      <c r="E8579" t="str">
        <f>HYPERLINK("J:\Depot - mpkCCD Fractions\Main Web Page\Web Pages_old\proteomic_fractions_linear_files/Yang_linear_img/28077063.jpg","show blot")</f>
        <v>show blot</v>
      </c>
      <c r="G8579" t="s">
        <v>8326</v>
      </c>
      <c r="I8579" s="6">
        <v>3.1913156869550607</v>
      </c>
      <c r="K8579" s="8"/>
    </row>
    <row r="8580" spans="1:11" ht="15" x14ac:dyDescent="0.25">
      <c r="A8580" s="3" t="str">
        <f>HYPERLINK("proteomic_fractions_linear_files/Yang_linear_img/13385576.jpg", "13385576")</f>
        <v>13385576</v>
      </c>
      <c r="C8580" s="3" t="str">
        <f>HYPERLINK("http://www.ncbi.nlm.nih.gov/protein/13385576","3110040N11Rik")</f>
        <v>3110040N11Rik</v>
      </c>
      <c r="E8580" t="str">
        <f>HYPERLINK("J:\Depot - mpkCCD Fractions\Main Web Page\Web Pages_old\proteomic_fractions_linear_files/Yang_linear_img/13385576.jpg","show blot")</f>
        <v>show blot</v>
      </c>
      <c r="G8580" t="s">
        <v>8327</v>
      </c>
      <c r="I8580" s="6">
        <v>4.6776922185320018</v>
      </c>
      <c r="K8580" s="8"/>
    </row>
    <row r="8581" spans="1:11" ht="15" x14ac:dyDescent="0.25">
      <c r="A8581" s="3" t="str">
        <f>HYPERLINK("proteomic_fractions_linear_files/Yang_linear_img/146134371.jpg", "146134371")</f>
        <v>146134371</v>
      </c>
      <c r="C8581" s="3" t="str">
        <f>HYPERLINK("http://www.ncbi.nlm.nih.gov/protein/146134371","3110082I17Rik")</f>
        <v>3110082I17Rik</v>
      </c>
      <c r="E8581" t="str">
        <f>HYPERLINK("J:\Depot - mpkCCD Fractions\Main Web Page\Web Pages_old\proteomic_fractions_linear_files/Yang_linear_img/146134371.jpg","show blot")</f>
        <v>show blot</v>
      </c>
      <c r="G8581" t="s">
        <v>8328</v>
      </c>
      <c r="I8581" s="6">
        <v>4.7183932356801748</v>
      </c>
      <c r="K8581" s="8"/>
    </row>
    <row r="8582" spans="1:11" ht="15" x14ac:dyDescent="0.25">
      <c r="A8582" s="3" t="str">
        <f>HYPERLINK("proteomic_fractions_linear_files/Yang_linear_img/269914154.jpg", "269914154")</f>
        <v>269914154</v>
      </c>
      <c r="C8582" s="3" t="str">
        <f>HYPERLINK("http://www.ncbi.nlm.nih.gov/protein/269914154","4732456N10Rik")</f>
        <v>4732456N10Rik</v>
      </c>
      <c r="E8582" t="str">
        <f>HYPERLINK("J:\Depot - mpkCCD Fractions\Main Web Page\Web Pages_old\proteomic_fractions_linear_files/Yang_linear_img/269914154.jpg","show blot")</f>
        <v>show blot</v>
      </c>
      <c r="G8582" t="s">
        <v>8329</v>
      </c>
      <c r="I8582" s="6">
        <v>6.9145939352626637</v>
      </c>
      <c r="K8582" s="8"/>
    </row>
    <row r="8583" spans="1:11" ht="15" x14ac:dyDescent="0.25">
      <c r="A8583" s="3" t="str">
        <f>HYPERLINK("proteomic_fractions_linear_files/Yang_linear_img/34328303.jpg", "34328303")</f>
        <v>34328303</v>
      </c>
      <c r="C8583" s="3" t="str">
        <f>HYPERLINK("http://www.ncbi.nlm.nih.gov/protein/34328303","4921504E06Rik")</f>
        <v>4921504E06Rik</v>
      </c>
      <c r="E8583" t="str">
        <f>HYPERLINK("J:\Depot - mpkCCD Fractions\Main Web Page\Web Pages_old\proteomic_fractions_linear_files/Yang_linear_img/34328303.jpg","show blot")</f>
        <v>show blot</v>
      </c>
      <c r="G8583" t="s">
        <v>8330</v>
      </c>
      <c r="I8583" s="6">
        <v>2.3980468987739565</v>
      </c>
      <c r="K8583" s="8"/>
    </row>
    <row r="8584" spans="1:11" ht="15" x14ac:dyDescent="0.25">
      <c r="A8584" s="3" t="str">
        <f>HYPERLINK("proteomic_fractions_linear_files/Yang_linear_img/13385182.jpg", "13385182")</f>
        <v>13385182</v>
      </c>
      <c r="C8584" s="3" t="str">
        <f>HYPERLINK("http://www.ncbi.nlm.nih.gov/protein/13385182","4921524J17Rik")</f>
        <v>4921524J17Rik</v>
      </c>
      <c r="E8584" t="str">
        <f>HYPERLINK("J:\Depot - mpkCCD Fractions\Main Web Page\Web Pages_old\proteomic_fractions_linear_files/Yang_linear_img/13385182.jpg","show blot")</f>
        <v>show blot</v>
      </c>
      <c r="G8584" t="s">
        <v>8331</v>
      </c>
      <c r="I8584" s="6">
        <v>2.9328220795071802</v>
      </c>
      <c r="K8584" s="8"/>
    </row>
    <row r="8585" spans="1:11" ht="15" x14ac:dyDescent="0.25">
      <c r="A8585" s="3" t="str">
        <f>HYPERLINK("proteomic_fractions_linear_files/Yang_linear_img/147905039.jpg", "147905039")</f>
        <v>147905039</v>
      </c>
      <c r="C8585" s="3" t="str">
        <f>HYPERLINK("http://www.ncbi.nlm.nih.gov/protein/147905039","4922501C03Rik")</f>
        <v>4922501C03Rik</v>
      </c>
      <c r="E8585" t="str">
        <f>HYPERLINK("J:\Depot - mpkCCD Fractions\Main Web Page\Web Pages_old\proteomic_fractions_linear_files/Yang_linear_img/147905039.jpg","show blot")</f>
        <v>show blot</v>
      </c>
      <c r="G8585" t="s">
        <v>8332</v>
      </c>
      <c r="I8585" s="6">
        <v>4.265211523169695</v>
      </c>
      <c r="K8585" s="8"/>
    </row>
    <row r="8586" spans="1:11" ht="15" x14ac:dyDescent="0.25">
      <c r="A8586" s="3" t="str">
        <f>HYPERLINK("proteomic_fractions_linear_files/Yang_linear_img/197116351.jpg", "197116351")</f>
        <v>197116351</v>
      </c>
      <c r="C8586" s="3" t="str">
        <f>HYPERLINK("http://www.ncbi.nlm.nih.gov/protein/197116351","4930404A10Rik")</f>
        <v>4930404A10Rik</v>
      </c>
      <c r="E8586" t="str">
        <f>HYPERLINK("J:\Depot - mpkCCD Fractions\Main Web Page\Web Pages_old\proteomic_fractions_linear_files/Yang_linear_img/197116351.jpg","show blot")</f>
        <v>show blot</v>
      </c>
      <c r="G8586" t="s">
        <v>8333</v>
      </c>
      <c r="I8586" s="6">
        <v>4.2214419856289442</v>
      </c>
      <c r="K8586" s="8"/>
    </row>
    <row r="8587" spans="1:11" ht="15" x14ac:dyDescent="0.25">
      <c r="A8587" s="3" t="str">
        <f>HYPERLINK("proteomic_fractions_linear_files/Yang_linear_img/171906608.jpg", "171906608")</f>
        <v>171906608</v>
      </c>
      <c r="C8587" s="3" t="str">
        <f>HYPERLINK("http://www.ncbi.nlm.nih.gov/protein/171906608","4930430F08Rik")</f>
        <v>4930430F08Rik</v>
      </c>
      <c r="E8587" t="str">
        <f>HYPERLINK("J:\Depot - mpkCCD Fractions\Main Web Page\Web Pages_old\proteomic_fractions_linear_files/Yang_linear_img/171906608.jpg","show blot")</f>
        <v>show blot</v>
      </c>
      <c r="G8587" t="s">
        <v>8334</v>
      </c>
      <c r="I8587" s="6">
        <v>3.714314073147853</v>
      </c>
      <c r="K8587" s="8"/>
    </row>
    <row r="8588" spans="1:11" ht="15" x14ac:dyDescent="0.25">
      <c r="A8588" s="3" t="str">
        <f>HYPERLINK("proteomic_fractions_linear_files/Yang_linear_img/166851844.jpg", "166851844")</f>
        <v>166851844</v>
      </c>
      <c r="C8588" s="3" t="str">
        <f>HYPERLINK("http://www.ncbi.nlm.nih.gov/protein/166851844","4930506M07Rik")</f>
        <v>4930506M07Rik</v>
      </c>
      <c r="E8588" t="str">
        <f>HYPERLINK("J:\Depot - mpkCCD Fractions\Main Web Page\Web Pages_old\proteomic_fractions_linear_files/Yang_linear_img/166851844.jpg","show blot")</f>
        <v>show blot</v>
      </c>
      <c r="G8588" t="s">
        <v>8335</v>
      </c>
      <c r="I8588" s="6">
        <v>5.5978102077825449</v>
      </c>
      <c r="K8588" s="8"/>
    </row>
    <row r="8589" spans="1:11" ht="15" x14ac:dyDescent="0.25">
      <c r="A8589" s="3" t="str">
        <f>HYPERLINK("proteomic_fractions_linear_files/Yang_linear_img/30424776.jpg", "30424776")</f>
        <v>30424776</v>
      </c>
      <c r="C8589" s="3" t="str">
        <f>HYPERLINK("http://www.ncbi.nlm.nih.gov/protein/30424776","4930506M07Rik")</f>
        <v>4930506M07Rik</v>
      </c>
      <c r="E8589" t="str">
        <f>HYPERLINK("J:\Depot - mpkCCD Fractions\Main Web Page\Web Pages_old\proteomic_fractions_linear_files/Yang_linear_img/30424776.jpg","show blot")</f>
        <v>show blot</v>
      </c>
      <c r="G8589" t="s">
        <v>8336</v>
      </c>
      <c r="I8589" s="6">
        <v>5.5978102077825449</v>
      </c>
      <c r="K8589" s="8"/>
    </row>
    <row r="8590" spans="1:11" ht="15" x14ac:dyDescent="0.25">
      <c r="A8590" s="3" t="str">
        <f>HYPERLINK("proteomic_fractions_linear_files/Yang_linear_img/240120058.jpg", "240120058")</f>
        <v>240120058</v>
      </c>
      <c r="C8590" s="3" t="str">
        <f>HYPERLINK("http://www.ncbi.nlm.nih.gov/protein/240120058","4930544G11Rik")</f>
        <v>4930544G11Rik</v>
      </c>
      <c r="E8590" t="str">
        <f>HYPERLINK("J:\Depot - mpkCCD Fractions\Main Web Page\Web Pages_old\proteomic_fractions_linear_files/Yang_linear_img/240120058.jpg","show blot")</f>
        <v>show blot</v>
      </c>
      <c r="G8590" t="s">
        <v>8337</v>
      </c>
      <c r="I8590" s="6">
        <v>6.3967740398367567</v>
      </c>
      <c r="K8590" s="8"/>
    </row>
    <row r="8591" spans="1:11" ht="15" x14ac:dyDescent="0.25">
      <c r="A8591" s="3" t="str">
        <f>HYPERLINK("proteomic_fractions_linear_files/Yang_linear_img/254692981.jpg", "254692981")</f>
        <v>254692981</v>
      </c>
      <c r="C8591" s="3" t="str">
        <f>HYPERLINK("http://www.ncbi.nlm.nih.gov/protein/254692981","4930579G24Rik")</f>
        <v>4930579G24Rik</v>
      </c>
      <c r="E8591" t="str">
        <f>HYPERLINK("J:\Depot - mpkCCD Fractions\Main Web Page\Web Pages_old\proteomic_fractions_linear_files/Yang_linear_img/254692981.jpg","show blot")</f>
        <v>show blot</v>
      </c>
      <c r="G8591" t="s">
        <v>8338</v>
      </c>
      <c r="I8591" s="6">
        <v>3.9450565359241918</v>
      </c>
      <c r="K8591" s="8"/>
    </row>
    <row r="8592" spans="1:11" ht="15" x14ac:dyDescent="0.25">
      <c r="A8592" s="3" t="str">
        <f>HYPERLINK("proteomic_fractions_linear_files/Yang_linear_img/313747468.jpg", "313747468")</f>
        <v>313747468</v>
      </c>
      <c r="C8592" s="3" t="str">
        <f>HYPERLINK("http://www.ncbi.nlm.nih.gov/protein/313747468","4931406C07Rik")</f>
        <v>4931406C07Rik</v>
      </c>
      <c r="E8592" t="str">
        <f>HYPERLINK("J:\Depot - mpkCCD Fractions\Main Web Page\Web Pages_old\proteomic_fractions_linear_files/Yang_linear_img/313747468.jpg","show blot")</f>
        <v>show blot</v>
      </c>
      <c r="G8592" t="s">
        <v>8339</v>
      </c>
      <c r="I8592" s="6">
        <v>5.5467151513866648</v>
      </c>
      <c r="K8592" s="8"/>
    </row>
    <row r="8593" spans="1:11" ht="15" x14ac:dyDescent="0.25">
      <c r="A8593" s="3" t="str">
        <f>HYPERLINK("proteomic_fractions_linear_files/Yang_linear_img/282721066.jpg", "282721066")</f>
        <v>282721066</v>
      </c>
      <c r="C8593" s="3" t="str">
        <f>HYPERLINK("http://www.ncbi.nlm.nih.gov/protein/282721066","4931409K22Rik")</f>
        <v>4931409K22Rik</v>
      </c>
      <c r="E8593" t="str">
        <f>HYPERLINK("J:\Depot - mpkCCD Fractions\Main Web Page\Web Pages_old\proteomic_fractions_linear_files/Yang_linear_img/282721066.jpg","show blot")</f>
        <v>show blot</v>
      </c>
      <c r="G8593" t="s">
        <v>8340</v>
      </c>
      <c r="I8593" s="6">
        <v>4.1275733218937907</v>
      </c>
      <c r="K8593" s="8"/>
    </row>
    <row r="8594" spans="1:11" ht="15" x14ac:dyDescent="0.25">
      <c r="A8594" s="3" t="str">
        <f>HYPERLINK("proteomic_fractions_linear_files/Yang_linear_img/124487449.jpg", "124487449")</f>
        <v>124487449</v>
      </c>
      <c r="C8594" s="3" t="str">
        <f>HYPERLINK("http://www.ncbi.nlm.nih.gov/protein/124487449","4931429I11Rik")</f>
        <v>4931429I11Rik</v>
      </c>
      <c r="E8594" t="str">
        <f>HYPERLINK("J:\Depot - mpkCCD Fractions\Main Web Page\Web Pages_old\proteomic_fractions_linear_files/Yang_linear_img/124487449.jpg","show blot")</f>
        <v>show blot</v>
      </c>
      <c r="G8594" t="s">
        <v>8341</v>
      </c>
      <c r="I8594" s="6">
        <v>3.3947033676701057</v>
      </c>
      <c r="K8594" s="8"/>
    </row>
    <row r="8595" spans="1:11" ht="15" x14ac:dyDescent="0.25">
      <c r="A8595" s="3" t="str">
        <f>HYPERLINK("proteomic_fractions_linear_files/Yang_linear_img/237757320.jpg", "237757320")</f>
        <v>237757320</v>
      </c>
      <c r="C8595" s="3" t="str">
        <f>HYPERLINK("http://www.ncbi.nlm.nih.gov/protein/237757320","4933406M09Rik")</f>
        <v>4933406M09Rik</v>
      </c>
      <c r="E8595" t="str">
        <f>HYPERLINK("J:\Depot - mpkCCD Fractions\Main Web Page\Web Pages_old\proteomic_fractions_linear_files/Yang_linear_img/237757320.jpg","show blot")</f>
        <v>show blot</v>
      </c>
      <c r="G8595" t="s">
        <v>8342</v>
      </c>
      <c r="I8595" s="6">
        <v>4.9325101565205483</v>
      </c>
      <c r="K8595" s="8"/>
    </row>
    <row r="8596" spans="1:11" ht="15" x14ac:dyDescent="0.25">
      <c r="A8596" s="3" t="str">
        <f>HYPERLINK("proteomic_fractions_linear_files/Yang_linear_img/33859728.jpg", "33859728")</f>
        <v>33859728</v>
      </c>
      <c r="C8596" s="3" t="str">
        <f>HYPERLINK("http://www.ncbi.nlm.nih.gov/protein/33859728","4933427D14Rik")</f>
        <v>4933427D14Rik</v>
      </c>
      <c r="E8596" t="str">
        <f>HYPERLINK("J:\Depot - mpkCCD Fractions\Main Web Page\Web Pages_old\proteomic_fractions_linear_files/Yang_linear_img/33859728.jpg","show blot")</f>
        <v>show blot</v>
      </c>
      <c r="G8596" t="s">
        <v>8343</v>
      </c>
      <c r="I8596" s="6">
        <v>3.5282865178031892</v>
      </c>
      <c r="K8596" s="8"/>
    </row>
    <row r="8597" spans="1:11" ht="15" x14ac:dyDescent="0.25">
      <c r="A8597" s="3" t="str">
        <f>HYPERLINK("proteomic_fractions_linear_files/Yang_linear_img/110625765.jpg", "110625765")</f>
        <v>110625765</v>
      </c>
      <c r="C8597" s="3" t="str">
        <f>HYPERLINK("http://www.ncbi.nlm.nih.gov/protein/110625765","5730455P16Rik")</f>
        <v>5730455P16Rik</v>
      </c>
      <c r="E8597" t="str">
        <f>HYPERLINK("J:\Depot - mpkCCD Fractions\Main Web Page\Web Pages_old\proteomic_fractions_linear_files/Yang_linear_img/110625765.jpg","show blot")</f>
        <v>show blot</v>
      </c>
      <c r="G8597" t="s">
        <v>8344</v>
      </c>
      <c r="I8597" s="6">
        <v>3.9063483622529085</v>
      </c>
      <c r="K8597" s="8"/>
    </row>
    <row r="8598" spans="1:11" ht="15" x14ac:dyDescent="0.25">
      <c r="A8598" s="3" t="str">
        <f>HYPERLINK("proteomic_fractions_linear_files/Yang_linear_img/28076961.jpg", "28076961")</f>
        <v>28076961</v>
      </c>
      <c r="C8598" s="3" t="str">
        <f>HYPERLINK("http://www.ncbi.nlm.nih.gov/protein/28076961","5730508B09Rik")</f>
        <v>5730508B09Rik</v>
      </c>
      <c r="E8598" t="str">
        <f>HYPERLINK("J:\Depot - mpkCCD Fractions\Main Web Page\Web Pages_old\proteomic_fractions_linear_files/Yang_linear_img/28076961.jpg","show blot")</f>
        <v>show blot</v>
      </c>
      <c r="G8598" t="s">
        <v>8345</v>
      </c>
      <c r="I8598" s="6">
        <v>4.3163602076209013</v>
      </c>
      <c r="K8598" s="8"/>
    </row>
    <row r="8599" spans="1:11" ht="15" x14ac:dyDescent="0.25">
      <c r="A8599" s="3" t="str">
        <f>HYPERLINK("proteomic_fractions_linear_files/Yang_linear_img/58037511.jpg", "58037511")</f>
        <v>58037511</v>
      </c>
      <c r="C8599" s="3" t="str">
        <f>HYPERLINK("http://www.ncbi.nlm.nih.gov/protein/58037511","6030458C11Rik")</f>
        <v>6030458C11Rik</v>
      </c>
      <c r="E8599" t="str">
        <f>HYPERLINK("J:\Depot - mpkCCD Fractions\Main Web Page\Web Pages_old\proteomic_fractions_linear_files/Yang_linear_img/58037511.jpg","show blot")</f>
        <v>show blot</v>
      </c>
      <c r="G8599" t="s">
        <v>8346</v>
      </c>
      <c r="I8599" s="6">
        <v>3.4916495553049711</v>
      </c>
      <c r="K8599" s="8"/>
    </row>
    <row r="8600" spans="1:11" ht="15" x14ac:dyDescent="0.25">
      <c r="A8600" s="3" t="str">
        <f>HYPERLINK("proteomic_fractions_linear_files/Yang_linear_img/87196345.jpg", "87196345")</f>
        <v>87196345</v>
      </c>
      <c r="C8600" s="3" t="str">
        <f>HYPERLINK("http://www.ncbi.nlm.nih.gov/protein/87196345","8030462N17Rik")</f>
        <v>8030462N17Rik</v>
      </c>
      <c r="E8600" t="str">
        <f>HYPERLINK("J:\Depot - mpkCCD Fractions\Main Web Page\Web Pages_old\proteomic_fractions_linear_files/Yang_linear_img/87196345.jpg","show blot")</f>
        <v>show blot</v>
      </c>
      <c r="G8600" t="s">
        <v>8347</v>
      </c>
      <c r="I8600" s="6">
        <v>3.6540107611668113</v>
      </c>
      <c r="K8600" s="8"/>
    </row>
    <row r="8601" spans="1:11" ht="15" x14ac:dyDescent="0.25">
      <c r="A8601" s="3" t="str">
        <f>HYPERLINK("proteomic_fractions_linear_files/Yang_linear_img/31560063.jpg", "31560063")</f>
        <v>31560063</v>
      </c>
      <c r="C8601" s="3" t="str">
        <f>HYPERLINK("http://www.ncbi.nlm.nih.gov/protein/31560063","8430419L09Rik")</f>
        <v>8430419L09Rik</v>
      </c>
      <c r="E8601" t="str">
        <f>HYPERLINK("J:\Depot - mpkCCD Fractions\Main Web Page\Web Pages_old\proteomic_fractions_linear_files/Yang_linear_img/31560063.jpg","show blot")</f>
        <v>show blot</v>
      </c>
      <c r="G8601" t="s">
        <v>8348</v>
      </c>
      <c r="I8601" s="6">
        <v>2.8580892401162203</v>
      </c>
      <c r="K8601" s="8"/>
    </row>
    <row r="8602" spans="1:11" ht="15" x14ac:dyDescent="0.25">
      <c r="A8602" s="3" t="str">
        <f>HYPERLINK("proteomic_fractions_linear_files/Yang_linear_img/31981784.jpg", "31981784")</f>
        <v>31981784</v>
      </c>
      <c r="C8602" s="3" t="str">
        <f>HYPERLINK("http://www.ncbi.nlm.nih.gov/protein/31981784","9030617O03Rik")</f>
        <v>9030617O03Rik</v>
      </c>
      <c r="E8602" t="str">
        <f>HYPERLINK("J:\Depot - mpkCCD Fractions\Main Web Page\Web Pages_old\proteomic_fractions_linear_files/Yang_linear_img/31981784.jpg","show blot")</f>
        <v>show blot</v>
      </c>
      <c r="G8602" t="s">
        <v>8349</v>
      </c>
      <c r="I8602" s="6">
        <v>4.3284437833736895</v>
      </c>
      <c r="K8602" s="8"/>
    </row>
    <row r="8603" spans="1:11" ht="15" x14ac:dyDescent="0.25">
      <c r="A8603" s="3" t="str">
        <f>HYPERLINK("proteomic_fractions_linear_files/Yang_linear_img/270047485.jpg", "270047485")</f>
        <v>270047485</v>
      </c>
      <c r="C8603" s="3" t="str">
        <f>HYPERLINK("http://www.ncbi.nlm.nih.gov/protein/270047485","9030624J02Rik")</f>
        <v>9030624J02Rik</v>
      </c>
      <c r="E8603" t="str">
        <f>HYPERLINK("J:\Depot - mpkCCD Fractions\Main Web Page\Web Pages_old\proteomic_fractions_linear_files/Yang_linear_img/270047485.jpg","show blot")</f>
        <v>show blot</v>
      </c>
      <c r="G8603" t="s">
        <v>8350</v>
      </c>
      <c r="I8603" s="6">
        <v>4.3779524669407266</v>
      </c>
      <c r="K8603" s="8"/>
    </row>
    <row r="8604" spans="1:11" ht="15" x14ac:dyDescent="0.25">
      <c r="A8604" s="3" t="str">
        <f>HYPERLINK("proteomic_fractions_linear_files/Yang_linear_img/139947660.jpg", "139947660")</f>
        <v>139947660</v>
      </c>
      <c r="C8604" s="3" t="str">
        <f>HYPERLINK("http://www.ncbi.nlm.nih.gov/protein/139947660","9130011E15Rik")</f>
        <v>9130011E15Rik</v>
      </c>
      <c r="E8604" t="str">
        <f>HYPERLINK("J:\Depot - mpkCCD Fractions\Main Web Page\Web Pages_old\proteomic_fractions_linear_files/Yang_linear_img/139947660.jpg","show blot")</f>
        <v>show blot</v>
      </c>
      <c r="G8604" t="s">
        <v>8351</v>
      </c>
      <c r="I8604" s="6">
        <v>3.796231439516438</v>
      </c>
      <c r="K8604" s="8"/>
    </row>
    <row r="8605" spans="1:11" ht="15" x14ac:dyDescent="0.25">
      <c r="A8605" s="3" t="str">
        <f>HYPERLINK("proteomic_fractions_linear_files/Yang_linear_img/110625972.jpg", "110625972")</f>
        <v>110625972</v>
      </c>
      <c r="C8605" s="3" t="str">
        <f>HYPERLINK("http://www.ncbi.nlm.nih.gov/protein/110625972","9330182L06Rik")</f>
        <v>9330182L06Rik</v>
      </c>
      <c r="E8605" t="str">
        <f>HYPERLINK("J:\Depot - mpkCCD Fractions\Main Web Page\Web Pages_old\proteomic_fractions_linear_files/Yang_linear_img/110625972.jpg","show blot")</f>
        <v>show blot</v>
      </c>
      <c r="G8605" t="s">
        <v>8352</v>
      </c>
      <c r="I8605" s="6">
        <v>3.264941003460172</v>
      </c>
      <c r="K8605" s="8"/>
    </row>
    <row r="8606" spans="1:11" ht="15" x14ac:dyDescent="0.25">
      <c r="A8606" s="3" t="str">
        <f>HYPERLINK("proteomic_fractions_linear_files/Yang_linear_img/145587094.jpg", "145587094")</f>
        <v>145587094</v>
      </c>
      <c r="C8606" s="3" t="str">
        <f>HYPERLINK("http://www.ncbi.nlm.nih.gov/protein/145587094","9430016H08Rik")</f>
        <v>9430016H08Rik</v>
      </c>
      <c r="E8606" t="str">
        <f>HYPERLINK("J:\Depot - mpkCCD Fractions\Main Web Page\Web Pages_old\proteomic_fractions_linear_files/Yang_linear_img/145587094.jpg","show blot")</f>
        <v>show blot</v>
      </c>
      <c r="G8606" t="s">
        <v>8353</v>
      </c>
      <c r="I8606" s="6">
        <v>4.0220226683585887</v>
      </c>
      <c r="K8606" s="8"/>
    </row>
    <row r="8607" spans="1:11" ht="15" x14ac:dyDescent="0.25">
      <c r="A8607" s="3" t="str">
        <f>HYPERLINK("proteomic_fractions_linear_files/Yang_linear_img/21311929.jpg", "21311929")</f>
        <v>21311929</v>
      </c>
      <c r="C8607" s="3" t="str">
        <f>HYPERLINK("http://www.ncbi.nlm.nih.gov/protein/21311929","9430023L20Rik")</f>
        <v>9430023L20Rik</v>
      </c>
      <c r="E8607" t="str">
        <f>HYPERLINK("J:\Depot - mpkCCD Fractions\Main Web Page\Web Pages_old\proteomic_fractions_linear_files/Yang_linear_img/21311929.jpg","show blot")</f>
        <v>show blot</v>
      </c>
      <c r="G8607" t="s">
        <v>8354</v>
      </c>
      <c r="I8607" s="6">
        <v>3.159931663466248</v>
      </c>
      <c r="K8607" s="8"/>
    </row>
    <row r="8608" spans="1:11" ht="15" x14ac:dyDescent="0.25">
      <c r="A8608" s="3" t="str">
        <f>HYPERLINK("proteomic_fractions_linear_files/Yang_linear_img/242397485.jpg", "242397485")</f>
        <v>242397485</v>
      </c>
      <c r="C8608" s="3" t="str">
        <f>HYPERLINK("http://www.ncbi.nlm.nih.gov/protein/242397485","9430038I01Rik")</f>
        <v>9430038I01Rik</v>
      </c>
      <c r="E8608" t="str">
        <f>HYPERLINK("J:\Depot - mpkCCD Fractions\Main Web Page\Web Pages_old\proteomic_fractions_linear_files/Yang_linear_img/242397485.jpg","show blot")</f>
        <v>show blot</v>
      </c>
      <c r="G8608" t="s">
        <v>8355</v>
      </c>
      <c r="I8608" s="6">
        <v>3.166905285540548</v>
      </c>
      <c r="K8608" s="8"/>
    </row>
    <row r="8609" spans="1:11" ht="15" x14ac:dyDescent="0.25">
      <c r="A8609" s="3" t="str">
        <f>HYPERLINK("proteomic_fractions_linear_files/Yang_linear_img/257467625.jpg", "257467625")</f>
        <v>257467625</v>
      </c>
      <c r="C8609" s="3" t="str">
        <f>HYPERLINK("http://www.ncbi.nlm.nih.gov/protein/257467625","9530053A07Rik")</f>
        <v>9530053A07Rik</v>
      </c>
      <c r="E8609" t="str">
        <f>HYPERLINK("J:\Depot - mpkCCD Fractions\Main Web Page\Web Pages_old\proteomic_fractions_linear_files/Yang_linear_img/257467625.jpg","show blot")</f>
        <v>show blot</v>
      </c>
      <c r="G8609" t="s">
        <v>8356</v>
      </c>
      <c r="I8609" s="6">
        <v>3.1397474777393808</v>
      </c>
      <c r="K8609" s="8"/>
    </row>
    <row r="8610" spans="1:11" ht="15" x14ac:dyDescent="0.25">
      <c r="A8610" s="3" t="str">
        <f>HYPERLINK("proteomic_fractions_linear_files/Yang_linear_img/28892859.jpg", "28892859")</f>
        <v>28892859</v>
      </c>
      <c r="C8610" s="3" t="str">
        <f>HYPERLINK("http://www.ncbi.nlm.nih.gov/protein/28892859","9630033F20Rik")</f>
        <v>9630033F20Rik</v>
      </c>
      <c r="E8610" t="str">
        <f>HYPERLINK("J:\Depot - mpkCCD Fractions\Main Web Page\Web Pages_old\proteomic_fractions_linear_files/Yang_linear_img/28892859.jpg","show blot")</f>
        <v>show blot</v>
      </c>
      <c r="G8610" t="s">
        <v>8357</v>
      </c>
      <c r="I8610" s="6">
        <v>4.4070096680412858</v>
      </c>
      <c r="K8610" s="8"/>
    </row>
    <row r="8611" spans="1:11" ht="15" x14ac:dyDescent="0.25">
      <c r="A8611" s="3" t="str">
        <f>HYPERLINK("proteomic_fractions_linear_files/Yang_linear_img/257467641.jpg", "257467641")</f>
        <v>257467641</v>
      </c>
      <c r="C8611" s="3" t="str">
        <f>HYPERLINK("http://www.ncbi.nlm.nih.gov/protein/257467641","9830001H06Rik")</f>
        <v>9830001H06Rik</v>
      </c>
      <c r="E8611" t="str">
        <f>HYPERLINK("J:\Depot - mpkCCD Fractions\Main Web Page\Web Pages_old\proteomic_fractions_linear_files/Yang_linear_img/257467641.jpg","show blot")</f>
        <v>show blot</v>
      </c>
      <c r="G8611" t="s">
        <v>8358</v>
      </c>
      <c r="I8611" s="6">
        <v>2.4640886722252207</v>
      </c>
      <c r="K8611" s="8"/>
    </row>
    <row r="8612" spans="1:11" ht="15" x14ac:dyDescent="0.25">
      <c r="A8612" s="3" t="str">
        <f>HYPERLINK("proteomic_fractions_linear_files/Yang_linear_img/295293085.jpg", "295293085")</f>
        <v>295293085</v>
      </c>
      <c r="C8612" s="3" t="str">
        <f>HYPERLINK("http://www.ncbi.nlm.nih.gov/protein/295293085","9930021J03Rik")</f>
        <v>9930021J03Rik</v>
      </c>
      <c r="E8612" t="str">
        <f>HYPERLINK("J:\Depot - mpkCCD Fractions\Main Web Page\Web Pages_old\proteomic_fractions_linear_files/Yang_linear_img/295293085.jpg","show blot")</f>
        <v>show blot</v>
      </c>
      <c r="G8612" t="s">
        <v>8359</v>
      </c>
      <c r="I8612" s="6">
        <v>1.4466773511803617</v>
      </c>
      <c r="K8612" s="8"/>
    </row>
  </sheetData>
  <conditionalFormatting sqref="I5:I8612">
    <cfRule type="colorScale" priority="1">
      <colorScale>
        <cfvo type="num" val="4"/>
        <cfvo type="max"/>
        <color theme="0"/>
        <color theme="7" tint="0.39997558519241921"/>
      </colorScale>
    </cfRule>
  </conditionalFormatting>
  <pageMargins left="0.7" right="0.7" top="0.75" bottom="0.75" header="0.3" footer="0.3"/>
  <webPublishItems count="1">
    <webPublishItem id="10787" divId="Virtual Blots_10787" sourceType="range" sourceRef="C3:I8612" destinationFile="J:\Web Materials\Virtual Blots - Yash\Files for Virtual Blots\Virtual Blots Data.htm" title="xxxx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Mehta, Yash (NIH/NHLBI) [F]</dc:creator>
  <cp:lastModifiedBy>Mehta, Yash (NIH/NHLBI) [F]</cp:lastModifiedBy>
  <dcterms:created xsi:type="dcterms:W3CDTF">2022-05-04T14:35:18Z</dcterms:created>
  <dcterms:modified xsi:type="dcterms:W3CDTF">2022-05-04T15:19:52Z</dcterms:modified>
</cp:coreProperties>
</file>